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activeTab="7"/>
  </bookViews>
  <sheets>
    <sheet name="forRPM" sheetId="10" r:id="rId1"/>
    <sheet name="7PSourceSummary" sheetId="5" r:id="rId2"/>
    <sheet name="SC-New" sheetId="18" r:id="rId3"/>
    <sheet name="SC-NR" sheetId="19" r:id="rId4"/>
    <sheet name="M_Input_Out" sheetId="16" r:id="rId5"/>
    <sheet name="M_Input" sheetId="6" r:id="rId6"/>
    <sheet name="MMap" sheetId="7" r:id="rId7"/>
    <sheet name="Sources" sheetId="11" r:id="rId8"/>
    <sheet name="Back of Envelope" sheetId="13" r:id="rId9"/>
    <sheet name="Stock" sheetId="14" r:id="rId10"/>
    <sheet name="CBSA" sheetId="15" r:id="rId11"/>
    <sheet name="LOG" sheetId="17" r:id="rId12"/>
  </sheets>
  <externalReferences>
    <externalReference r:id="rId13"/>
    <externalReference r:id="rId14"/>
    <externalReference r:id="rId15"/>
  </externalReferences>
  <definedNames>
    <definedName name="_Key1" hidden="1">#REF!</definedName>
    <definedName name="_Order1" hidden="1">255</definedName>
    <definedName name="_Sort" hidden="1">#REF!</definedName>
    <definedName name="ACHIEV">[1]!ACHIEV</definedName>
    <definedName name="APPLIC">[1]!APPLIC</definedName>
    <definedName name="BLDGTYPE">[1]!BLDGTYPE</definedName>
    <definedName name="CostMatrix">'[3]Savings and Cost Analysis'!$AM$12:$CW$49</definedName>
    <definedName name="ExitApplic">Sources!$Q$51:$T$56</definedName>
    <definedName name="MeasOut">M_Input_Out!$A$1:$AP$18</definedName>
    <definedName name="OLE_LINK1" localSheetId="7">Sources!$T$44</definedName>
    <definedName name="Population">'[2]Pop Forecast (Base Case)'!$B$5:$BC$10</definedName>
    <definedName name="POST2013">[1]!POST2013</definedName>
    <definedName name="Resid_Carryover">'SC-New'!$C$141:$Y$147</definedName>
    <definedName name="VSTOCK">[1]Lookup!$C$4:$D$12</definedName>
    <definedName name="Watt_Allocation">'[3]Watt Allocation'!$C$38:$K$46</definedName>
    <definedName name="Watt_Class_Ext">'[3]Reference Fixtures'!$A$10:$M$34</definedName>
  </definedNames>
  <calcPr calcId="125725"/>
</workbook>
</file>

<file path=xl/calcChain.xml><?xml version="1.0" encoding="utf-8"?>
<calcChain xmlns="http://schemas.openxmlformats.org/spreadsheetml/2006/main">
  <c r="E14" i="5"/>
  <c r="AF4" i="10"/>
  <c r="AG4"/>
  <c r="AH4"/>
  <c r="AI4"/>
  <c r="AJ4"/>
  <c r="AK4"/>
  <c r="AL4"/>
  <c r="AM4"/>
  <c r="AN4"/>
  <c r="AO4"/>
  <c r="AP4"/>
  <c r="AQ4"/>
  <c r="AR4"/>
  <c r="AS4"/>
  <c r="AT4"/>
  <c r="AU4"/>
  <c r="AV4"/>
  <c r="AW4"/>
  <c r="AX4"/>
  <c r="AY4"/>
  <c r="AZ4"/>
  <c r="BA4"/>
  <c r="BB4"/>
  <c r="BC4"/>
  <c r="BD4"/>
  <c r="AF5"/>
  <c r="AG5"/>
  <c r="AH5"/>
  <c r="AI5"/>
  <c r="AJ5"/>
  <c r="AK5"/>
  <c r="AL5"/>
  <c r="AM5"/>
  <c r="AN5"/>
  <c r="AO5"/>
  <c r="AP5"/>
  <c r="AQ5"/>
  <c r="AR5"/>
  <c r="AS5"/>
  <c r="AT5"/>
  <c r="AU5"/>
  <c r="AV5"/>
  <c r="AW5"/>
  <c r="AX5"/>
  <c r="AY5"/>
  <c r="AZ5"/>
  <c r="BA5"/>
  <c r="BB5"/>
  <c r="BC5"/>
  <c r="BD5"/>
  <c r="AF6"/>
  <c r="AG6"/>
  <c r="AH6"/>
  <c r="AI6"/>
  <c r="AJ6"/>
  <c r="AK6"/>
  <c r="AL6"/>
  <c r="AM6"/>
  <c r="AN6"/>
  <c r="AO6"/>
  <c r="AP6"/>
  <c r="AQ6"/>
  <c r="AR6"/>
  <c r="AS6"/>
  <c r="AT6"/>
  <c r="AU6"/>
  <c r="AV6"/>
  <c r="AW6"/>
  <c r="AX6"/>
  <c r="AY6"/>
  <c r="AZ6"/>
  <c r="BA6"/>
  <c r="BB6"/>
  <c r="BC6"/>
  <c r="BD6"/>
  <c r="AG3"/>
  <c r="AH3"/>
  <c r="AI3"/>
  <c r="AJ3"/>
  <c r="AK3"/>
  <c r="AL3"/>
  <c r="AM3"/>
  <c r="AN3"/>
  <c r="AO3"/>
  <c r="AP3"/>
  <c r="AQ3"/>
  <c r="AR3"/>
  <c r="AS3"/>
  <c r="AT3"/>
  <c r="AU3"/>
  <c r="AV3"/>
  <c r="AW3"/>
  <c r="AX3"/>
  <c r="AY3"/>
  <c r="AZ3"/>
  <c r="BA3"/>
  <c r="BB3"/>
  <c r="BC3"/>
  <c r="BD3"/>
  <c r="AF3"/>
  <c r="L5"/>
  <c r="M5"/>
  <c r="N5"/>
  <c r="O5"/>
  <c r="P5"/>
  <c r="Q5"/>
  <c r="R5"/>
  <c r="S5"/>
  <c r="T5"/>
  <c r="U5"/>
  <c r="V5"/>
  <c r="W5"/>
  <c r="X5"/>
  <c r="Y5"/>
  <c r="Z5"/>
  <c r="AA5"/>
  <c r="AB5"/>
  <c r="AC5"/>
  <c r="AD5"/>
  <c r="AE5"/>
  <c r="L6"/>
  <c r="M6"/>
  <c r="N6"/>
  <c r="O6"/>
  <c r="P6"/>
  <c r="Q6"/>
  <c r="R6"/>
  <c r="S6"/>
  <c r="T6"/>
  <c r="U6"/>
  <c r="V6"/>
  <c r="W6"/>
  <c r="X6"/>
  <c r="Y6"/>
  <c r="Z6"/>
  <c r="AA6"/>
  <c r="AB6"/>
  <c r="AC6"/>
  <c r="AD6"/>
  <c r="AE6"/>
  <c r="K6"/>
  <c r="K5"/>
  <c r="C5"/>
  <c r="F5"/>
  <c r="G5"/>
  <c r="H5"/>
  <c r="C6"/>
  <c r="A6" s="1"/>
  <c r="F6"/>
  <c r="G6"/>
  <c r="H6"/>
  <c r="A5"/>
  <c r="L3"/>
  <c r="M3"/>
  <c r="N3"/>
  <c r="O3"/>
  <c r="P3"/>
  <c r="Q3"/>
  <c r="R3"/>
  <c r="S3"/>
  <c r="T3"/>
  <c r="U3"/>
  <c r="V3"/>
  <c r="W3"/>
  <c r="X3"/>
  <c r="Y3"/>
  <c r="Z3"/>
  <c r="AA3"/>
  <c r="AB3"/>
  <c r="AC3"/>
  <c r="AD3"/>
  <c r="AE3"/>
  <c r="L4"/>
  <c r="M4"/>
  <c r="N4"/>
  <c r="O4"/>
  <c r="P4"/>
  <c r="Q4"/>
  <c r="R4"/>
  <c r="S4"/>
  <c r="T4"/>
  <c r="U4"/>
  <c r="V4"/>
  <c r="W4"/>
  <c r="X4"/>
  <c r="Y4"/>
  <c r="Z4"/>
  <c r="AA4"/>
  <c r="AB4"/>
  <c r="AC4"/>
  <c r="AD4"/>
  <c r="AE4"/>
  <c r="A10" i="6" l="1"/>
  <c r="B10"/>
  <c r="C10"/>
  <c r="D10"/>
  <c r="E10"/>
  <c r="G10"/>
  <c r="I10"/>
  <c r="J10"/>
  <c r="K10"/>
  <c r="L10"/>
  <c r="A11"/>
  <c r="B11"/>
  <c r="C11"/>
  <c r="D11"/>
  <c r="E11"/>
  <c r="G11"/>
  <c r="I11"/>
  <c r="J11"/>
  <c r="K11"/>
  <c r="L11"/>
  <c r="O14" i="7"/>
  <c r="N14"/>
  <c r="M14"/>
  <c r="L14"/>
  <c r="I14"/>
  <c r="H14"/>
  <c r="G14"/>
  <c r="O13"/>
  <c r="N13"/>
  <c r="M13"/>
  <c r="L13"/>
  <c r="I13"/>
  <c r="G13"/>
  <c r="H13" s="1"/>
  <c r="G12"/>
  <c r="A13"/>
  <c r="D13" s="1"/>
  <c r="B13"/>
  <c r="C13"/>
  <c r="A14"/>
  <c r="B14"/>
  <c r="C14"/>
  <c r="D14"/>
  <c r="A54" i="18"/>
  <c r="A55"/>
  <c r="B54"/>
  <c r="B55"/>
  <c r="G4" i="10"/>
  <c r="H4"/>
  <c r="H3"/>
  <c r="G3"/>
  <c r="F4"/>
  <c r="F3"/>
  <c r="C4"/>
  <c r="A4" s="1"/>
  <c r="C3"/>
  <c r="A3" s="1"/>
  <c r="B13" i="17"/>
  <c r="Y55" i="19"/>
  <c r="Y56"/>
  <c r="F55"/>
  <c r="G55"/>
  <c r="H55"/>
  <c r="I55"/>
  <c r="J55"/>
  <c r="K55"/>
  <c r="L55"/>
  <c r="M55"/>
  <c r="N55"/>
  <c r="O55"/>
  <c r="P55"/>
  <c r="Q55"/>
  <c r="R55"/>
  <c r="S55"/>
  <c r="T55"/>
  <c r="U55"/>
  <c r="V55"/>
  <c r="W55"/>
  <c r="X55"/>
  <c r="F56"/>
  <c r="G56"/>
  <c r="H56"/>
  <c r="I56"/>
  <c r="J56"/>
  <c r="K56"/>
  <c r="L56"/>
  <c r="M56"/>
  <c r="N56"/>
  <c r="O56"/>
  <c r="P56"/>
  <c r="Q56"/>
  <c r="R56"/>
  <c r="S56"/>
  <c r="T56"/>
  <c r="U56"/>
  <c r="V56"/>
  <c r="W56"/>
  <c r="X56"/>
  <c r="E56"/>
  <c r="Z55"/>
  <c r="Z56" l="1"/>
  <c r="C63" l="1"/>
  <c r="B63"/>
  <c r="A63"/>
  <c r="C62"/>
  <c r="B62"/>
  <c r="A62"/>
  <c r="B56"/>
  <c r="B55"/>
  <c r="A56"/>
  <c r="A55"/>
  <c r="C56"/>
  <c r="D85"/>
  <c r="D86"/>
  <c r="B86" s="1"/>
  <c r="D76"/>
  <c r="D77"/>
  <c r="D69"/>
  <c r="D70"/>
  <c r="D62"/>
  <c r="D63"/>
  <c r="D55"/>
  <c r="D56"/>
  <c r="C55"/>
  <c r="B42"/>
  <c r="B41"/>
  <c r="B47"/>
  <c r="D47"/>
  <c r="D48"/>
  <c r="B34"/>
  <c r="C8"/>
  <c r="C11" s="1"/>
  <c r="C141" i="18"/>
  <c r="C142"/>
  <c r="D54"/>
  <c r="D55"/>
  <c r="C46"/>
  <c r="C47"/>
  <c r="B41"/>
  <c r="B40"/>
  <c r="A41"/>
  <c r="A40"/>
  <c r="B34"/>
  <c r="D12" i="7"/>
  <c r="D11"/>
  <c r="T52" i="11"/>
  <c r="T53"/>
  <c r="C8" i="18"/>
  <c r="F10" i="19"/>
  <c r="G10" s="1"/>
  <c r="H10" s="1"/>
  <c r="I10" s="1"/>
  <c r="J10" s="1"/>
  <c r="K10" s="1"/>
  <c r="L10" s="1"/>
  <c r="M10" s="1"/>
  <c r="N10" s="1"/>
  <c r="O10" s="1"/>
  <c r="P10" s="1"/>
  <c r="Q10" s="1"/>
  <c r="R10" s="1"/>
  <c r="S10" s="1"/>
  <c r="T10" s="1"/>
  <c r="U10" s="1"/>
  <c r="V10" s="1"/>
  <c r="W10" s="1"/>
  <c r="X10" s="1"/>
  <c r="D9"/>
  <c r="C9"/>
  <c r="E11" s="1"/>
  <c r="F11" s="1"/>
  <c r="F54" s="1"/>
  <c r="D8"/>
  <c r="D133" i="18"/>
  <c r="D134" s="1"/>
  <c r="F10"/>
  <c r="G10" s="1"/>
  <c r="H10" s="1"/>
  <c r="I10" s="1"/>
  <c r="J10" s="1"/>
  <c r="K10" s="1"/>
  <c r="L10" s="1"/>
  <c r="M10" s="1"/>
  <c r="N10" s="1"/>
  <c r="O10" s="1"/>
  <c r="P10" s="1"/>
  <c r="Q10" s="1"/>
  <c r="R10" s="1"/>
  <c r="S10" s="1"/>
  <c r="T10" s="1"/>
  <c r="U10" s="1"/>
  <c r="V10" s="1"/>
  <c r="W10" s="1"/>
  <c r="X10" s="1"/>
  <c r="D9"/>
  <c r="C9"/>
  <c r="C99" s="1"/>
  <c r="D8"/>
  <c r="A86" i="19" l="1"/>
  <c r="A85"/>
  <c r="B85"/>
  <c r="Z58"/>
  <c r="Y58"/>
  <c r="E84"/>
  <c r="E61"/>
  <c r="C45" i="18"/>
  <c r="C11"/>
  <c r="C39"/>
  <c r="D129" i="19"/>
  <c r="D61"/>
  <c r="E11" i="18"/>
  <c r="E24" s="1"/>
  <c r="D54" i="19"/>
  <c r="E16" i="18"/>
  <c r="E129" i="19"/>
  <c r="E130"/>
  <c r="E92"/>
  <c r="E93"/>
  <c r="E54"/>
  <c r="E40"/>
  <c r="E12"/>
  <c r="E83"/>
  <c r="F12"/>
  <c r="F14"/>
  <c r="F16"/>
  <c r="F18"/>
  <c r="F20"/>
  <c r="F22"/>
  <c r="F24"/>
  <c r="F26"/>
  <c r="F28"/>
  <c r="F30"/>
  <c r="F40"/>
  <c r="E30"/>
  <c r="E29"/>
  <c r="E28"/>
  <c r="E27"/>
  <c r="E26"/>
  <c r="E25"/>
  <c r="E24"/>
  <c r="E23"/>
  <c r="E22"/>
  <c r="E21"/>
  <c r="E20"/>
  <c r="E19"/>
  <c r="E18"/>
  <c r="E17"/>
  <c r="E16"/>
  <c r="E15"/>
  <c r="E14"/>
  <c r="E13"/>
  <c r="F130"/>
  <c r="F129"/>
  <c r="F93"/>
  <c r="F84"/>
  <c r="F83"/>
  <c r="F92"/>
  <c r="F61"/>
  <c r="G11"/>
  <c r="G13" s="1"/>
  <c r="F13"/>
  <c r="F15"/>
  <c r="F17"/>
  <c r="F19"/>
  <c r="F21"/>
  <c r="F23"/>
  <c r="F25"/>
  <c r="F27"/>
  <c r="F29"/>
  <c r="D75"/>
  <c r="D68"/>
  <c r="B57" i="18" l="1"/>
  <c r="E20"/>
  <c r="E28"/>
  <c r="G130" i="19"/>
  <c r="G129"/>
  <c r="G93"/>
  <c r="G92"/>
  <c r="G84"/>
  <c r="G83"/>
  <c r="G54"/>
  <c r="G40"/>
  <c r="G12"/>
  <c r="G61"/>
  <c r="H11"/>
  <c r="G15"/>
  <c r="G19"/>
  <c r="G23"/>
  <c r="G27"/>
  <c r="E32"/>
  <c r="E34" s="1"/>
  <c r="G14"/>
  <c r="G18"/>
  <c r="G22"/>
  <c r="G26"/>
  <c r="G30"/>
  <c r="E140" i="18"/>
  <c r="E61"/>
  <c r="E98" s="1"/>
  <c r="E38"/>
  <c r="E30"/>
  <c r="E26"/>
  <c r="E22"/>
  <c r="E18"/>
  <c r="E14"/>
  <c r="E52"/>
  <c r="E29"/>
  <c r="E25"/>
  <c r="E21"/>
  <c r="E17"/>
  <c r="E53"/>
  <c r="E15"/>
  <c r="F11"/>
  <c r="E19"/>
  <c r="E23"/>
  <c r="E13"/>
  <c r="E27"/>
  <c r="E12"/>
  <c r="G17" i="19"/>
  <c r="G21"/>
  <c r="G25"/>
  <c r="G29"/>
  <c r="F32"/>
  <c r="F34" s="1"/>
  <c r="G16"/>
  <c r="G20"/>
  <c r="G24"/>
  <c r="G28"/>
  <c r="E41" l="1"/>
  <c r="E42"/>
  <c r="F42"/>
  <c r="F41"/>
  <c r="B88"/>
  <c r="G32"/>
  <c r="F140" i="18"/>
  <c r="F29"/>
  <c r="F25"/>
  <c r="F21"/>
  <c r="F17"/>
  <c r="F53"/>
  <c r="F52"/>
  <c r="F28"/>
  <c r="F24"/>
  <c r="F20"/>
  <c r="F61"/>
  <c r="F98" s="1"/>
  <c r="F18"/>
  <c r="F12"/>
  <c r="F22"/>
  <c r="F13"/>
  <c r="F38"/>
  <c r="F26"/>
  <c r="F14"/>
  <c r="G11"/>
  <c r="F30"/>
  <c r="F16"/>
  <c r="F15"/>
  <c r="F19"/>
  <c r="F23"/>
  <c r="F27"/>
  <c r="E62"/>
  <c r="E99" s="1"/>
  <c r="E32"/>
  <c r="E34" s="1"/>
  <c r="H129" i="19"/>
  <c r="H130"/>
  <c r="H92"/>
  <c r="H84"/>
  <c r="H83"/>
  <c r="H93"/>
  <c r="H61"/>
  <c r="I11"/>
  <c r="H40"/>
  <c r="H28"/>
  <c r="H24"/>
  <c r="H20"/>
  <c r="H16"/>
  <c r="H12"/>
  <c r="H54"/>
  <c r="H30"/>
  <c r="H26"/>
  <c r="H22"/>
  <c r="H18"/>
  <c r="H14"/>
  <c r="H27"/>
  <c r="H23"/>
  <c r="H19"/>
  <c r="H15"/>
  <c r="H29"/>
  <c r="H13"/>
  <c r="H17"/>
  <c r="H21"/>
  <c r="H25"/>
  <c r="G34" l="1"/>
  <c r="E40" i="18"/>
  <c r="E41"/>
  <c r="E35"/>
  <c r="H32" i="19"/>
  <c r="I130"/>
  <c r="I93"/>
  <c r="I129"/>
  <c r="I84"/>
  <c r="I54"/>
  <c r="I40"/>
  <c r="I12"/>
  <c r="I92"/>
  <c r="J11"/>
  <c r="I61"/>
  <c r="I83"/>
  <c r="I29"/>
  <c r="I25"/>
  <c r="I21"/>
  <c r="I17"/>
  <c r="I13"/>
  <c r="I30"/>
  <c r="I26"/>
  <c r="I22"/>
  <c r="I18"/>
  <c r="I14"/>
  <c r="I27"/>
  <c r="I23"/>
  <c r="I19"/>
  <c r="I15"/>
  <c r="I28"/>
  <c r="I24"/>
  <c r="I20"/>
  <c r="I16"/>
  <c r="E55"/>
  <c r="F62" i="18"/>
  <c r="F99" s="1"/>
  <c r="E33"/>
  <c r="G53"/>
  <c r="G52"/>
  <c r="G38"/>
  <c r="G28"/>
  <c r="G24"/>
  <c r="G20"/>
  <c r="G16"/>
  <c r="G140"/>
  <c r="G61"/>
  <c r="G98" s="1"/>
  <c r="H11"/>
  <c r="G27"/>
  <c r="G23"/>
  <c r="G19"/>
  <c r="G21"/>
  <c r="G13"/>
  <c r="G25"/>
  <c r="G15"/>
  <c r="G12"/>
  <c r="G29"/>
  <c r="G17"/>
  <c r="G14"/>
  <c r="G18"/>
  <c r="G22"/>
  <c r="G26"/>
  <c r="G30"/>
  <c r="F32"/>
  <c r="F34" s="1"/>
  <c r="G41" i="19" l="1"/>
  <c r="G42"/>
  <c r="H34"/>
  <c r="F41" i="18"/>
  <c r="F40"/>
  <c r="F35"/>
  <c r="G62"/>
  <c r="G99" s="1"/>
  <c r="H140"/>
  <c r="H52"/>
  <c r="H27"/>
  <c r="H23"/>
  <c r="H19"/>
  <c r="H15"/>
  <c r="H38"/>
  <c r="H12"/>
  <c r="H61"/>
  <c r="H98" s="1"/>
  <c r="H53"/>
  <c r="H30"/>
  <c r="H26"/>
  <c r="H22"/>
  <c r="H18"/>
  <c r="H24"/>
  <c r="H16"/>
  <c r="H28"/>
  <c r="H20"/>
  <c r="H14"/>
  <c r="I11"/>
  <c r="H13"/>
  <c r="H17"/>
  <c r="H21"/>
  <c r="H25"/>
  <c r="H29"/>
  <c r="F33"/>
  <c r="I32" i="19"/>
  <c r="I34" s="1"/>
  <c r="G32" i="18"/>
  <c r="G34" s="1"/>
  <c r="J130" i="19"/>
  <c r="J129"/>
  <c r="J92"/>
  <c r="J84"/>
  <c r="J83"/>
  <c r="J61"/>
  <c r="K11"/>
  <c r="J93"/>
  <c r="J54"/>
  <c r="J40"/>
  <c r="J12"/>
  <c r="J15"/>
  <c r="J23"/>
  <c r="J16"/>
  <c r="J24"/>
  <c r="J13"/>
  <c r="J21"/>
  <c r="J29"/>
  <c r="J19"/>
  <c r="J27"/>
  <c r="J20"/>
  <c r="J28"/>
  <c r="J17"/>
  <c r="J25"/>
  <c r="J18"/>
  <c r="J26"/>
  <c r="J14"/>
  <c r="J22"/>
  <c r="J30"/>
  <c r="I41" l="1"/>
  <c r="I42"/>
  <c r="H41"/>
  <c r="H42"/>
  <c r="G40" i="18"/>
  <c r="G41"/>
  <c r="G35"/>
  <c r="I140"/>
  <c r="I61"/>
  <c r="I98" s="1"/>
  <c r="I53"/>
  <c r="I30"/>
  <c r="I26"/>
  <c r="I22"/>
  <c r="I18"/>
  <c r="I14"/>
  <c r="I38"/>
  <c r="I29"/>
  <c r="I25"/>
  <c r="I21"/>
  <c r="I17"/>
  <c r="I27"/>
  <c r="J11"/>
  <c r="I13"/>
  <c r="I52"/>
  <c r="I19"/>
  <c r="I15"/>
  <c r="I12"/>
  <c r="I23"/>
  <c r="I16"/>
  <c r="I20"/>
  <c r="I24"/>
  <c r="I28"/>
  <c r="J32" i="19"/>
  <c r="J34" s="1"/>
  <c r="H32" i="18"/>
  <c r="H34" s="1"/>
  <c r="H62"/>
  <c r="H99" s="1"/>
  <c r="G33"/>
  <c r="K130" i="19"/>
  <c r="K129"/>
  <c r="K93"/>
  <c r="K92"/>
  <c r="K84"/>
  <c r="K83"/>
  <c r="K54"/>
  <c r="K40"/>
  <c r="K12"/>
  <c r="K61"/>
  <c r="L11"/>
  <c r="K27"/>
  <c r="K23"/>
  <c r="K19"/>
  <c r="K15"/>
  <c r="K28"/>
  <c r="K29"/>
  <c r="K25"/>
  <c r="K21"/>
  <c r="K17"/>
  <c r="K13"/>
  <c r="K30"/>
  <c r="K26"/>
  <c r="K22"/>
  <c r="K18"/>
  <c r="K14"/>
  <c r="K24"/>
  <c r="K20"/>
  <c r="K16"/>
  <c r="J42" l="1"/>
  <c r="J41"/>
  <c r="H40" i="18"/>
  <c r="H41"/>
  <c r="H35"/>
  <c r="H33"/>
  <c r="K32" i="19"/>
  <c r="K34" s="1"/>
  <c r="L130"/>
  <c r="L129"/>
  <c r="L84"/>
  <c r="L83"/>
  <c r="L93"/>
  <c r="L92"/>
  <c r="L61"/>
  <c r="M11"/>
  <c r="L27"/>
  <c r="L23"/>
  <c r="L19"/>
  <c r="L15"/>
  <c r="L29"/>
  <c r="L25"/>
  <c r="L21"/>
  <c r="L17"/>
  <c r="L13"/>
  <c r="L54"/>
  <c r="L30"/>
  <c r="L26"/>
  <c r="L22"/>
  <c r="L18"/>
  <c r="L14"/>
  <c r="L40"/>
  <c r="L16"/>
  <c r="L20"/>
  <c r="L24"/>
  <c r="L28"/>
  <c r="L12"/>
  <c r="J61" i="18"/>
  <c r="J98" s="1"/>
  <c r="J38"/>
  <c r="J29"/>
  <c r="J25"/>
  <c r="J21"/>
  <c r="J17"/>
  <c r="J13"/>
  <c r="J52"/>
  <c r="J140"/>
  <c r="J28"/>
  <c r="J24"/>
  <c r="J20"/>
  <c r="J30"/>
  <c r="J14"/>
  <c r="J53"/>
  <c r="J18"/>
  <c r="J16"/>
  <c r="K11"/>
  <c r="J22"/>
  <c r="J26"/>
  <c r="J12"/>
  <c r="J15"/>
  <c r="J19"/>
  <c r="J23"/>
  <c r="J27"/>
  <c r="I62"/>
  <c r="I99" s="1"/>
  <c r="I32"/>
  <c r="I34" s="1"/>
  <c r="K41" i="19" l="1"/>
  <c r="K42"/>
  <c r="I40" i="18"/>
  <c r="I41"/>
  <c r="I35"/>
  <c r="I33"/>
  <c r="K140"/>
  <c r="K53"/>
  <c r="K52"/>
  <c r="K38"/>
  <c r="K28"/>
  <c r="K24"/>
  <c r="K20"/>
  <c r="K16"/>
  <c r="L11"/>
  <c r="K27"/>
  <c r="K23"/>
  <c r="K19"/>
  <c r="K17"/>
  <c r="K12"/>
  <c r="K61"/>
  <c r="K98" s="1"/>
  <c r="K21"/>
  <c r="K15"/>
  <c r="K25"/>
  <c r="K13"/>
  <c r="K29"/>
  <c r="K14"/>
  <c r="K18"/>
  <c r="K22"/>
  <c r="K26"/>
  <c r="K30"/>
  <c r="M129" i="19"/>
  <c r="M92"/>
  <c r="M93"/>
  <c r="M83"/>
  <c r="M54"/>
  <c r="M40"/>
  <c r="M12"/>
  <c r="M130"/>
  <c r="M84"/>
  <c r="N11"/>
  <c r="M61"/>
  <c r="M28"/>
  <c r="M24"/>
  <c r="M20"/>
  <c r="M16"/>
  <c r="M29"/>
  <c r="M25"/>
  <c r="M21"/>
  <c r="M17"/>
  <c r="M13"/>
  <c r="M30"/>
  <c r="M26"/>
  <c r="M22"/>
  <c r="M18"/>
  <c r="M14"/>
  <c r="M27"/>
  <c r="M23"/>
  <c r="M19"/>
  <c r="M15"/>
  <c r="J62" i="18"/>
  <c r="J99" s="1"/>
  <c r="J32"/>
  <c r="J34" s="1"/>
  <c r="L32" i="19"/>
  <c r="L34" s="1"/>
  <c r="L41" l="1"/>
  <c r="L42"/>
  <c r="J41" i="18"/>
  <c r="J40"/>
  <c r="J35"/>
  <c r="K32"/>
  <c r="K34" s="1"/>
  <c r="N130" i="19"/>
  <c r="N129"/>
  <c r="N93"/>
  <c r="N84"/>
  <c r="N83"/>
  <c r="N92"/>
  <c r="N61"/>
  <c r="O11"/>
  <c r="N54"/>
  <c r="N40"/>
  <c r="N12"/>
  <c r="N18"/>
  <c r="N26"/>
  <c r="N19"/>
  <c r="N27"/>
  <c r="N16"/>
  <c r="N24"/>
  <c r="N14"/>
  <c r="N22"/>
  <c r="N30"/>
  <c r="N15"/>
  <c r="N23"/>
  <c r="N20"/>
  <c r="N28"/>
  <c r="N13"/>
  <c r="N21"/>
  <c r="N29"/>
  <c r="N17"/>
  <c r="N25"/>
  <c r="L140" i="18"/>
  <c r="L27"/>
  <c r="L23"/>
  <c r="L19"/>
  <c r="L15"/>
  <c r="L61"/>
  <c r="L98" s="1"/>
  <c r="L53"/>
  <c r="L12"/>
  <c r="L52"/>
  <c r="L30"/>
  <c r="L26"/>
  <c r="L22"/>
  <c r="L18"/>
  <c r="L20"/>
  <c r="L24"/>
  <c r="L14"/>
  <c r="L28"/>
  <c r="L16"/>
  <c r="M11"/>
  <c r="L38"/>
  <c r="L13"/>
  <c r="L17"/>
  <c r="L21"/>
  <c r="L25"/>
  <c r="L29"/>
  <c r="J33"/>
  <c r="K62"/>
  <c r="K99" s="1"/>
  <c r="M32" i="19"/>
  <c r="M34" s="1"/>
  <c r="M41" l="1"/>
  <c r="M42"/>
  <c r="K41" i="18"/>
  <c r="K40"/>
  <c r="K35"/>
  <c r="O130" i="19"/>
  <c r="O129"/>
  <c r="O93"/>
  <c r="O92"/>
  <c r="O84"/>
  <c r="O83"/>
  <c r="O54"/>
  <c r="O40"/>
  <c r="O12"/>
  <c r="O61"/>
  <c r="P11"/>
  <c r="O30"/>
  <c r="O26"/>
  <c r="O22"/>
  <c r="O18"/>
  <c r="O14"/>
  <c r="O27"/>
  <c r="O23"/>
  <c r="O19"/>
  <c r="O15"/>
  <c r="O28"/>
  <c r="O24"/>
  <c r="O20"/>
  <c r="O16"/>
  <c r="O29"/>
  <c r="O25"/>
  <c r="O21"/>
  <c r="O17"/>
  <c r="O13"/>
  <c r="K33" i="18"/>
  <c r="L32"/>
  <c r="L34" s="1"/>
  <c r="N32" i="19"/>
  <c r="N34" s="1"/>
  <c r="M140" i="18"/>
  <c r="M61"/>
  <c r="M98" s="1"/>
  <c r="M52"/>
  <c r="M30"/>
  <c r="M26"/>
  <c r="M22"/>
  <c r="M18"/>
  <c r="M14"/>
  <c r="M38"/>
  <c r="M53"/>
  <c r="M29"/>
  <c r="M25"/>
  <c r="M21"/>
  <c r="M17"/>
  <c r="M23"/>
  <c r="M15"/>
  <c r="M13"/>
  <c r="M27"/>
  <c r="M12"/>
  <c r="M19"/>
  <c r="N11"/>
  <c r="M16"/>
  <c r="M20"/>
  <c r="M24"/>
  <c r="M28"/>
  <c r="L62"/>
  <c r="L99" s="1"/>
  <c r="N42" i="19" l="1"/>
  <c r="N41"/>
  <c r="L40" i="18"/>
  <c r="L41"/>
  <c r="L35"/>
  <c r="L33"/>
  <c r="N140"/>
  <c r="N53"/>
  <c r="N29"/>
  <c r="N25"/>
  <c r="N21"/>
  <c r="N17"/>
  <c r="N13"/>
  <c r="N61"/>
  <c r="N98" s="1"/>
  <c r="N38"/>
  <c r="N28"/>
  <c r="N24"/>
  <c r="N20"/>
  <c r="N26"/>
  <c r="O11"/>
  <c r="N30"/>
  <c r="N52"/>
  <c r="N18"/>
  <c r="N14"/>
  <c r="N12"/>
  <c r="N22"/>
  <c r="N16"/>
  <c r="N15"/>
  <c r="N19"/>
  <c r="N23"/>
  <c r="N27"/>
  <c r="M32"/>
  <c r="M34" s="1"/>
  <c r="O32" i="19"/>
  <c r="O34" s="1"/>
  <c r="M62" i="18"/>
  <c r="M99" s="1"/>
  <c r="P129" i="19"/>
  <c r="P130"/>
  <c r="P84"/>
  <c r="P83"/>
  <c r="P92"/>
  <c r="P61"/>
  <c r="Q11"/>
  <c r="P93"/>
  <c r="P54"/>
  <c r="P30"/>
  <c r="P26"/>
  <c r="P22"/>
  <c r="P18"/>
  <c r="P14"/>
  <c r="P40"/>
  <c r="P28"/>
  <c r="P24"/>
  <c r="P20"/>
  <c r="P16"/>
  <c r="P12"/>
  <c r="P29"/>
  <c r="P25"/>
  <c r="P21"/>
  <c r="P17"/>
  <c r="P13"/>
  <c r="P19"/>
  <c r="P23"/>
  <c r="P27"/>
  <c r="P15"/>
  <c r="O41" l="1"/>
  <c r="O42"/>
  <c r="M40" i="18"/>
  <c r="M41"/>
  <c r="M35"/>
  <c r="Q130" i="19"/>
  <c r="Q93"/>
  <c r="Q129"/>
  <c r="Q92"/>
  <c r="Q54"/>
  <c r="Q40"/>
  <c r="Q12"/>
  <c r="Q84"/>
  <c r="Q83"/>
  <c r="R11"/>
  <c r="Q61"/>
  <c r="Q27"/>
  <c r="Q23"/>
  <c r="Q19"/>
  <c r="Q15"/>
  <c r="Q28"/>
  <c r="Q24"/>
  <c r="Q20"/>
  <c r="Q16"/>
  <c r="Q29"/>
  <c r="Q25"/>
  <c r="Q21"/>
  <c r="Q17"/>
  <c r="Q13"/>
  <c r="Q30"/>
  <c r="Q26"/>
  <c r="Q22"/>
  <c r="Q18"/>
  <c r="Q14"/>
  <c r="O53" i="18"/>
  <c r="O52"/>
  <c r="O38"/>
  <c r="O61"/>
  <c r="O98" s="1"/>
  <c r="O28"/>
  <c r="O24"/>
  <c r="O20"/>
  <c r="O16"/>
  <c r="P11"/>
  <c r="O27"/>
  <c r="O23"/>
  <c r="O19"/>
  <c r="O29"/>
  <c r="O13"/>
  <c r="O140"/>
  <c r="O17"/>
  <c r="O15"/>
  <c r="O21"/>
  <c r="O25"/>
  <c r="O12"/>
  <c r="O14"/>
  <c r="O18"/>
  <c r="O22"/>
  <c r="O26"/>
  <c r="O30"/>
  <c r="N62"/>
  <c r="N99" s="1"/>
  <c r="P32" i="19"/>
  <c r="P34" s="1"/>
  <c r="M33" i="18"/>
  <c r="N32"/>
  <c r="N34" s="1"/>
  <c r="P41" i="19" l="1"/>
  <c r="P42"/>
  <c r="N41" i="18"/>
  <c r="N40"/>
  <c r="N35"/>
  <c r="Q32" i="19"/>
  <c r="Q34" s="1"/>
  <c r="P140" i="18"/>
  <c r="P38"/>
  <c r="P27"/>
  <c r="P23"/>
  <c r="P19"/>
  <c r="P15"/>
  <c r="P52"/>
  <c r="P12"/>
  <c r="P30"/>
  <c r="P26"/>
  <c r="P22"/>
  <c r="P18"/>
  <c r="P16"/>
  <c r="P20"/>
  <c r="Q11"/>
  <c r="P14"/>
  <c r="P61"/>
  <c r="P98" s="1"/>
  <c r="P53"/>
  <c r="P24"/>
  <c r="P28"/>
  <c r="P13"/>
  <c r="P17"/>
  <c r="P21"/>
  <c r="P25"/>
  <c r="P29"/>
  <c r="O62"/>
  <c r="O99" s="1"/>
  <c r="N33"/>
  <c r="R130" i="19"/>
  <c r="R129"/>
  <c r="R92"/>
  <c r="R84"/>
  <c r="R83"/>
  <c r="R93"/>
  <c r="R61"/>
  <c r="S11"/>
  <c r="R54"/>
  <c r="R40"/>
  <c r="R12"/>
  <c r="R13"/>
  <c r="R21"/>
  <c r="R29"/>
  <c r="R14"/>
  <c r="R22"/>
  <c r="R30"/>
  <c r="R19"/>
  <c r="R27"/>
  <c r="R20"/>
  <c r="R17"/>
  <c r="R25"/>
  <c r="R18"/>
  <c r="R26"/>
  <c r="R15"/>
  <c r="R23"/>
  <c r="R16"/>
  <c r="R24"/>
  <c r="R28"/>
  <c r="O32" i="18"/>
  <c r="O34" s="1"/>
  <c r="Q41" i="19" l="1"/>
  <c r="Q42"/>
  <c r="O41" i="18"/>
  <c r="O40"/>
  <c r="O35"/>
  <c r="P62"/>
  <c r="P99" s="1"/>
  <c r="Q140"/>
  <c r="Q61"/>
  <c r="Q98" s="1"/>
  <c r="Q30"/>
  <c r="Q26"/>
  <c r="Q22"/>
  <c r="Q18"/>
  <c r="Q14"/>
  <c r="Q53"/>
  <c r="Q52"/>
  <c r="Q29"/>
  <c r="Q25"/>
  <c r="Q21"/>
  <c r="Q17"/>
  <c r="Q38"/>
  <c r="Q19"/>
  <c r="Q12"/>
  <c r="Q23"/>
  <c r="Q13"/>
  <c r="Q27"/>
  <c r="Q15"/>
  <c r="R11"/>
  <c r="Q16"/>
  <c r="Q20"/>
  <c r="Q24"/>
  <c r="Q28"/>
  <c r="O33"/>
  <c r="S130" i="19"/>
  <c r="S129"/>
  <c r="S93"/>
  <c r="S92"/>
  <c r="S84"/>
  <c r="S83"/>
  <c r="S54"/>
  <c r="S40"/>
  <c r="S12"/>
  <c r="S61"/>
  <c r="T11"/>
  <c r="S29"/>
  <c r="S25"/>
  <c r="S21"/>
  <c r="S17"/>
  <c r="S13"/>
  <c r="S30"/>
  <c r="S26"/>
  <c r="S27"/>
  <c r="S23"/>
  <c r="S19"/>
  <c r="S15"/>
  <c r="S28"/>
  <c r="S24"/>
  <c r="S20"/>
  <c r="S16"/>
  <c r="S22"/>
  <c r="S18"/>
  <c r="S14"/>
  <c r="R32"/>
  <c r="R34" s="1"/>
  <c r="P32" i="18"/>
  <c r="P34" s="1"/>
  <c r="R42" i="19" l="1"/>
  <c r="R41"/>
  <c r="P40" i="18"/>
  <c r="P41"/>
  <c r="P35"/>
  <c r="Q62"/>
  <c r="Q99" s="1"/>
  <c r="R52"/>
  <c r="R29"/>
  <c r="R25"/>
  <c r="R21"/>
  <c r="R17"/>
  <c r="R13"/>
  <c r="R140"/>
  <c r="R61"/>
  <c r="R98" s="1"/>
  <c r="R38"/>
  <c r="R53"/>
  <c r="R28"/>
  <c r="R24"/>
  <c r="R20"/>
  <c r="R16"/>
  <c r="R22"/>
  <c r="R14"/>
  <c r="R26"/>
  <c r="R12"/>
  <c r="R30"/>
  <c r="R18"/>
  <c r="S11"/>
  <c r="R15"/>
  <c r="R19"/>
  <c r="R23"/>
  <c r="R27"/>
  <c r="S32" i="19"/>
  <c r="S34" s="1"/>
  <c r="T130"/>
  <c r="T129"/>
  <c r="T93"/>
  <c r="T84"/>
  <c r="T83"/>
  <c r="T61"/>
  <c r="U11"/>
  <c r="T29"/>
  <c r="T25"/>
  <c r="T21"/>
  <c r="T17"/>
  <c r="T13"/>
  <c r="T27"/>
  <c r="T23"/>
  <c r="T19"/>
  <c r="T15"/>
  <c r="T40"/>
  <c r="T28"/>
  <c r="T24"/>
  <c r="T20"/>
  <c r="T16"/>
  <c r="T12"/>
  <c r="T22"/>
  <c r="T54"/>
  <c r="T26"/>
  <c r="T30"/>
  <c r="T14"/>
  <c r="T92"/>
  <c r="T18"/>
  <c r="P33" i="18"/>
  <c r="Q32"/>
  <c r="Q34" s="1"/>
  <c r="S41" i="19" l="1"/>
  <c r="S42"/>
  <c r="Q40" i="18"/>
  <c r="Q41"/>
  <c r="Q35"/>
  <c r="Q33"/>
  <c r="S140"/>
  <c r="S53"/>
  <c r="S52"/>
  <c r="S38"/>
  <c r="S28"/>
  <c r="S24"/>
  <c r="S20"/>
  <c r="S16"/>
  <c r="T11"/>
  <c r="S61"/>
  <c r="S98" s="1"/>
  <c r="S27"/>
  <c r="S23"/>
  <c r="S19"/>
  <c r="S25"/>
  <c r="S29"/>
  <c r="S17"/>
  <c r="S13"/>
  <c r="S12"/>
  <c r="S21"/>
  <c r="S15"/>
  <c r="S14"/>
  <c r="S18"/>
  <c r="S22"/>
  <c r="S26"/>
  <c r="S30"/>
  <c r="U129" i="19"/>
  <c r="U130"/>
  <c r="U92"/>
  <c r="U54"/>
  <c r="U40"/>
  <c r="U12"/>
  <c r="U83"/>
  <c r="V11"/>
  <c r="U93"/>
  <c r="U84"/>
  <c r="U61"/>
  <c r="U30"/>
  <c r="U26"/>
  <c r="U22"/>
  <c r="U18"/>
  <c r="U14"/>
  <c r="U27"/>
  <c r="U23"/>
  <c r="U19"/>
  <c r="U15"/>
  <c r="U28"/>
  <c r="U24"/>
  <c r="U20"/>
  <c r="U16"/>
  <c r="U29"/>
  <c r="U25"/>
  <c r="U21"/>
  <c r="U17"/>
  <c r="U13"/>
  <c r="R62" i="18"/>
  <c r="R99" s="1"/>
  <c r="R32"/>
  <c r="R34" s="1"/>
  <c r="T32" i="19"/>
  <c r="T34" s="1"/>
  <c r="T41" l="1"/>
  <c r="T42"/>
  <c r="R35" i="18"/>
  <c r="R41"/>
  <c r="R40"/>
  <c r="V130" i="19"/>
  <c r="V129"/>
  <c r="V93"/>
  <c r="V84"/>
  <c r="V83"/>
  <c r="V92"/>
  <c r="V61"/>
  <c r="W11"/>
  <c r="V54"/>
  <c r="V40"/>
  <c r="V12"/>
  <c r="V16"/>
  <c r="V24"/>
  <c r="V17"/>
  <c r="V25"/>
  <c r="V30"/>
  <c r="V14"/>
  <c r="V22"/>
  <c r="V15"/>
  <c r="V23"/>
  <c r="V20"/>
  <c r="V28"/>
  <c r="V13"/>
  <c r="V21"/>
  <c r="V29"/>
  <c r="V18"/>
  <c r="V26"/>
  <c r="V19"/>
  <c r="V27"/>
  <c r="S62" i="18"/>
  <c r="S99" s="1"/>
  <c r="U32" i="19"/>
  <c r="U34" s="1"/>
  <c r="T61" i="18"/>
  <c r="T98" s="1"/>
  <c r="T53"/>
  <c r="T27"/>
  <c r="T23"/>
  <c r="T19"/>
  <c r="T15"/>
  <c r="T12"/>
  <c r="T140"/>
  <c r="T38"/>
  <c r="T30"/>
  <c r="T26"/>
  <c r="T22"/>
  <c r="T18"/>
  <c r="T28"/>
  <c r="U11"/>
  <c r="T16"/>
  <c r="T14"/>
  <c r="T20"/>
  <c r="T52"/>
  <c r="T24"/>
  <c r="T13"/>
  <c r="T17"/>
  <c r="T21"/>
  <c r="T25"/>
  <c r="T29"/>
  <c r="R33"/>
  <c r="S32"/>
  <c r="S34" s="1"/>
  <c r="U41" i="19" l="1"/>
  <c r="U42"/>
  <c r="S35" i="18"/>
  <c r="S40"/>
  <c r="S41"/>
  <c r="S33"/>
  <c r="T62"/>
  <c r="T99" s="1"/>
  <c r="U140"/>
  <c r="U61"/>
  <c r="U98" s="1"/>
  <c r="U38"/>
  <c r="U30"/>
  <c r="U26"/>
  <c r="U22"/>
  <c r="U18"/>
  <c r="U14"/>
  <c r="U52"/>
  <c r="U29"/>
  <c r="U25"/>
  <c r="U21"/>
  <c r="U17"/>
  <c r="U15"/>
  <c r="U19"/>
  <c r="V11"/>
  <c r="U23"/>
  <c r="U53"/>
  <c r="U27"/>
  <c r="U13"/>
  <c r="U12"/>
  <c r="U16"/>
  <c r="U20"/>
  <c r="U24"/>
  <c r="U28"/>
  <c r="V32" i="19"/>
  <c r="V34" s="1"/>
  <c r="W130"/>
  <c r="W129"/>
  <c r="W93"/>
  <c r="W92"/>
  <c r="W84"/>
  <c r="W83"/>
  <c r="W54"/>
  <c r="W40"/>
  <c r="W12"/>
  <c r="W61"/>
  <c r="X11"/>
  <c r="W28"/>
  <c r="W24"/>
  <c r="W20"/>
  <c r="W16"/>
  <c r="W29"/>
  <c r="W25"/>
  <c r="W30"/>
  <c r="W26"/>
  <c r="W22"/>
  <c r="W18"/>
  <c r="W14"/>
  <c r="W27"/>
  <c r="W23"/>
  <c r="W19"/>
  <c r="W15"/>
  <c r="W21"/>
  <c r="W17"/>
  <c r="W13"/>
  <c r="T32" i="18"/>
  <c r="T34" s="1"/>
  <c r="V42" i="19" l="1"/>
  <c r="V41"/>
  <c r="T40" i="18"/>
  <c r="T41"/>
  <c r="T35"/>
  <c r="W32" i="19"/>
  <c r="V140" i="18"/>
  <c r="V29"/>
  <c r="V25"/>
  <c r="V21"/>
  <c r="V17"/>
  <c r="V13"/>
  <c r="V53"/>
  <c r="V52"/>
  <c r="V28"/>
  <c r="V24"/>
  <c r="V20"/>
  <c r="V16"/>
  <c r="V18"/>
  <c r="V12"/>
  <c r="V38"/>
  <c r="V22"/>
  <c r="V26"/>
  <c r="V14"/>
  <c r="W11"/>
  <c r="V61"/>
  <c r="V98" s="1"/>
  <c r="V30"/>
  <c r="V15"/>
  <c r="V19"/>
  <c r="V23"/>
  <c r="V27"/>
  <c r="U32"/>
  <c r="U34" s="1"/>
  <c r="U62"/>
  <c r="U99" s="1"/>
  <c r="X129" i="19"/>
  <c r="X130"/>
  <c r="X92"/>
  <c r="X84"/>
  <c r="X83"/>
  <c r="X93"/>
  <c r="X61"/>
  <c r="X40"/>
  <c r="X28"/>
  <c r="X24"/>
  <c r="X20"/>
  <c r="X16"/>
  <c r="X12"/>
  <c r="X54"/>
  <c r="X30"/>
  <c r="X26"/>
  <c r="X22"/>
  <c r="X18"/>
  <c r="X14"/>
  <c r="X27"/>
  <c r="X23"/>
  <c r="X19"/>
  <c r="X15"/>
  <c r="X25"/>
  <c r="X29"/>
  <c r="X13"/>
  <c r="X17"/>
  <c r="X21"/>
  <c r="T33" i="18"/>
  <c r="W34" i="19" l="1"/>
  <c r="U40" i="18"/>
  <c r="U41"/>
  <c r="U35"/>
  <c r="U33"/>
  <c r="W53"/>
  <c r="W52"/>
  <c r="W38"/>
  <c r="W140"/>
  <c r="W28"/>
  <c r="W24"/>
  <c r="W20"/>
  <c r="W16"/>
  <c r="W61"/>
  <c r="W98" s="1"/>
  <c r="X11"/>
  <c r="W27"/>
  <c r="W23"/>
  <c r="W19"/>
  <c r="W21"/>
  <c r="W13"/>
  <c r="W25"/>
  <c r="W15"/>
  <c r="W12"/>
  <c r="W29"/>
  <c r="W17"/>
  <c r="W30"/>
  <c r="W14"/>
  <c r="W18"/>
  <c r="W22"/>
  <c r="W26"/>
  <c r="V62"/>
  <c r="V99" s="1"/>
  <c r="V32"/>
  <c r="V34" s="1"/>
  <c r="X32" i="19"/>
  <c r="X34" s="1"/>
  <c r="X41" l="1"/>
  <c r="X42"/>
  <c r="W41"/>
  <c r="W42"/>
  <c r="V41" i="18"/>
  <c r="V40"/>
  <c r="V35"/>
  <c r="X140"/>
  <c r="X52"/>
  <c r="X27"/>
  <c r="Z27" s="1"/>
  <c r="X23"/>
  <c r="Z23" s="1"/>
  <c r="X19"/>
  <c r="Z19" s="1"/>
  <c r="X15"/>
  <c r="Z15" s="1"/>
  <c r="X38"/>
  <c r="X12"/>
  <c r="X61"/>
  <c r="X98" s="1"/>
  <c r="X53"/>
  <c r="X30"/>
  <c r="Z30" s="1"/>
  <c r="X26"/>
  <c r="Z26" s="1"/>
  <c r="X22"/>
  <c r="Z22" s="1"/>
  <c r="X18"/>
  <c r="Z18" s="1"/>
  <c r="X24"/>
  <c r="Z24" s="1"/>
  <c r="X28"/>
  <c r="Z28" s="1"/>
  <c r="X16"/>
  <c r="Z16" s="1"/>
  <c r="X20"/>
  <c r="Z20" s="1"/>
  <c r="X14"/>
  <c r="Z14" s="1"/>
  <c r="X13"/>
  <c r="X17"/>
  <c r="Z17" s="1"/>
  <c r="X21"/>
  <c r="Z21" s="1"/>
  <c r="X25"/>
  <c r="Z25" s="1"/>
  <c r="X29"/>
  <c r="Z29" s="1"/>
  <c r="V33"/>
  <c r="W32"/>
  <c r="W34" s="1"/>
  <c r="W62"/>
  <c r="W99" s="1"/>
  <c r="W41" l="1"/>
  <c r="W40"/>
  <c r="W35"/>
  <c r="X62"/>
  <c r="X99" s="1"/>
  <c r="X32"/>
  <c r="X34" s="1"/>
  <c r="Z13"/>
  <c r="W33"/>
  <c r="X40" l="1"/>
  <c r="X41"/>
  <c r="Z34"/>
  <c r="X35"/>
  <c r="X33"/>
  <c r="Z32"/>
  <c r="Y32" s="1"/>
  <c r="Y41" l="1"/>
  <c r="Y40"/>
  <c r="D9" i="6" l="1"/>
  <c r="G9"/>
  <c r="G8"/>
  <c r="D8"/>
  <c r="L12" i="7"/>
  <c r="I9" i="6" s="1"/>
  <c r="M12" i="7"/>
  <c r="J9" i="6" s="1"/>
  <c r="N12" i="7"/>
  <c r="K9" i="6" s="1"/>
  <c r="O12" i="7"/>
  <c r="L9" i="6" s="1"/>
  <c r="O11" i="7"/>
  <c r="L8" i="6" s="1"/>
  <c r="N11" i="7"/>
  <c r="K8" i="6" s="1"/>
  <c r="M11" i="7"/>
  <c r="J8" i="6" s="1"/>
  <c r="L11" i="7"/>
  <c r="I8" i="6" s="1"/>
  <c r="U15" i="11"/>
  <c r="U16"/>
  <c r="U23"/>
  <c r="U24" s="1"/>
  <c r="U35" s="1"/>
  <c r="A11" i="7"/>
  <c r="C11" s="1"/>
  <c r="B11" s="1"/>
  <c r="A8" i="6" s="1"/>
  <c r="D2" i="5"/>
  <c r="A12" i="7" s="1"/>
  <c r="C12" s="1"/>
  <c r="B12" s="1"/>
  <c r="A9" i="6" s="1"/>
  <c r="R31" i="11"/>
  <c r="R29"/>
  <c r="R26"/>
  <c r="R20"/>
  <c r="R28" s="1"/>
  <c r="R21"/>
  <c r="R27" s="1"/>
  <c r="B9" i="6" l="1"/>
  <c r="B8"/>
  <c r="U34" i="11"/>
  <c r="G11" i="7" s="1"/>
  <c r="H11" s="1"/>
  <c r="C8" i="6" s="1"/>
  <c r="R34" i="11"/>
  <c r="I12" i="7" l="1"/>
  <c r="E9" i="6" s="1"/>
  <c r="R35" i="11"/>
  <c r="H12" i="7"/>
  <c r="C9" i="6" s="1"/>
  <c r="I11" i="7"/>
  <c r="E8" i="6" s="1"/>
  <c r="B8" i="17" l="1"/>
  <c r="B9"/>
  <c r="B10"/>
  <c r="B11"/>
  <c r="B12"/>
  <c r="B5"/>
  <c r="B6"/>
  <c r="B7"/>
  <c r="B4"/>
  <c r="N49" i="15" l="1"/>
  <c r="M49"/>
  <c r="N48" s="1"/>
  <c r="M48"/>
  <c r="D21" i="13"/>
  <c r="D22" s="1"/>
  <c r="G13"/>
  <c r="F13"/>
  <c r="D13"/>
  <c r="G12"/>
  <c r="F12"/>
  <c r="F11"/>
  <c r="H13" s="1"/>
  <c r="G9"/>
  <c r="I9" s="1"/>
  <c r="M9" s="1"/>
  <c r="F9"/>
  <c r="D9"/>
  <c r="G8"/>
  <c r="F8"/>
  <c r="F7"/>
  <c r="H9" s="1"/>
  <c r="I13" l="1"/>
  <c r="M13" s="1"/>
  <c r="H8"/>
  <c r="I8" s="1"/>
  <c r="M8" s="1"/>
  <c r="H12"/>
  <c r="D23" l="1"/>
  <c r="D24" s="1"/>
  <c r="D25" s="1"/>
  <c r="I12"/>
  <c r="M12" s="1"/>
  <c r="AD2" i="10"/>
  <c r="AC2"/>
  <c r="AB2"/>
  <c r="AA2"/>
  <c r="Z2"/>
  <c r="Y2"/>
  <c r="X2"/>
  <c r="W2"/>
  <c r="V2"/>
  <c r="U2"/>
  <c r="T2"/>
  <c r="S2"/>
  <c r="R2"/>
  <c r="Q2"/>
  <c r="P2"/>
  <c r="O2"/>
  <c r="N2"/>
  <c r="M2"/>
  <c r="L2"/>
  <c r="K2"/>
  <c r="B2" i="6" l="1"/>
  <c r="A2" i="7"/>
  <c r="B140" i="18" l="1"/>
  <c r="A9" i="19" l="1"/>
  <c r="A9" i="18"/>
  <c r="C67" i="19"/>
  <c r="E45" i="18"/>
  <c r="D44"/>
  <c r="F45"/>
  <c r="G45"/>
  <c r="H45"/>
  <c r="I45"/>
  <c r="J45"/>
  <c r="K45"/>
  <c r="L45"/>
  <c r="M45"/>
  <c r="N45"/>
  <c r="O45"/>
  <c r="P45"/>
  <c r="Q45"/>
  <c r="R45"/>
  <c r="S45"/>
  <c r="T45"/>
  <c r="U45"/>
  <c r="V45"/>
  <c r="W45"/>
  <c r="X45"/>
  <c r="E68" i="19"/>
  <c r="E48" l="1"/>
  <c r="E63" s="1"/>
  <c r="G48"/>
  <c r="G63" s="1"/>
  <c r="E47"/>
  <c r="F48"/>
  <c r="F63" s="1"/>
  <c r="I48"/>
  <c r="I63" s="1"/>
  <c r="I47"/>
  <c r="I62" s="1"/>
  <c r="F47"/>
  <c r="F62" s="1"/>
  <c r="H47"/>
  <c r="H62" s="1"/>
  <c r="H48"/>
  <c r="H63" s="1"/>
  <c r="G47"/>
  <c r="G62" s="1"/>
  <c r="U47" i="18"/>
  <c r="U142" s="1"/>
  <c r="U46"/>
  <c r="U141" s="1"/>
  <c r="Q47"/>
  <c r="Q142" s="1"/>
  <c r="Q46"/>
  <c r="Q141" s="1"/>
  <c r="M47"/>
  <c r="M142" s="1"/>
  <c r="M46"/>
  <c r="M141" s="1"/>
  <c r="G47"/>
  <c r="G142" s="1"/>
  <c r="G46"/>
  <c r="G141" s="1"/>
  <c r="R46"/>
  <c r="R141" s="1"/>
  <c r="R47"/>
  <c r="R142" s="1"/>
  <c r="J46"/>
  <c r="J141" s="1"/>
  <c r="J47"/>
  <c r="J142" s="1"/>
  <c r="W46"/>
  <c r="W141" s="1"/>
  <c r="W47"/>
  <c r="W142" s="1"/>
  <c r="S47"/>
  <c r="S142" s="1"/>
  <c r="S46"/>
  <c r="S141" s="1"/>
  <c r="O47"/>
  <c r="O142" s="1"/>
  <c r="O46"/>
  <c r="O141" s="1"/>
  <c r="K47"/>
  <c r="K142" s="1"/>
  <c r="K46"/>
  <c r="K141" s="1"/>
  <c r="I46"/>
  <c r="I141" s="1"/>
  <c r="I47"/>
  <c r="I142" s="1"/>
  <c r="V47"/>
  <c r="V142" s="1"/>
  <c r="V46"/>
  <c r="V141" s="1"/>
  <c r="N47"/>
  <c r="N142" s="1"/>
  <c r="N46"/>
  <c r="N141" s="1"/>
  <c r="H47"/>
  <c r="H142" s="1"/>
  <c r="H46"/>
  <c r="H141" s="1"/>
  <c r="X47"/>
  <c r="X142" s="1"/>
  <c r="X147" s="1"/>
  <c r="X152" s="1"/>
  <c r="X46"/>
  <c r="X141" s="1"/>
  <c r="T46"/>
  <c r="T141" s="1"/>
  <c r="T47"/>
  <c r="T142" s="1"/>
  <c r="P47"/>
  <c r="P142" s="1"/>
  <c r="P46"/>
  <c r="P141" s="1"/>
  <c r="L47"/>
  <c r="L142" s="1"/>
  <c r="L46"/>
  <c r="L141" s="1"/>
  <c r="F46"/>
  <c r="F141" s="1"/>
  <c r="F47"/>
  <c r="F142" s="1"/>
  <c r="E47"/>
  <c r="E142" s="1"/>
  <c r="E145" s="1"/>
  <c r="E46"/>
  <c r="E141" s="1"/>
  <c r="E144" s="1"/>
  <c r="F68" i="19"/>
  <c r="H147" i="18" l="1"/>
  <c r="H152" s="1"/>
  <c r="L147"/>
  <c r="L152" s="1"/>
  <c r="F144"/>
  <c r="T47" i="19"/>
  <c r="T62" s="1"/>
  <c r="F145" i="18"/>
  <c r="T48" i="19"/>
  <c r="T63" s="1"/>
  <c r="O147" i="18"/>
  <c r="O152" s="1"/>
  <c r="W147"/>
  <c r="W152" s="1"/>
  <c r="R147"/>
  <c r="R152" s="1"/>
  <c r="Q147"/>
  <c r="Q152" s="1"/>
  <c r="K147"/>
  <c r="K152" s="1"/>
  <c r="M147"/>
  <c r="M152" s="1"/>
  <c r="U147"/>
  <c r="U152" s="1"/>
  <c r="E147"/>
  <c r="E152" s="1"/>
  <c r="V147"/>
  <c r="V152" s="1"/>
  <c r="I147"/>
  <c r="I152" s="1"/>
  <c r="G147"/>
  <c r="G152" s="1"/>
  <c r="F147"/>
  <c r="F152" s="1"/>
  <c r="P147"/>
  <c r="P152" s="1"/>
  <c r="N147"/>
  <c r="N152" s="1"/>
  <c r="S147"/>
  <c r="S152" s="1"/>
  <c r="J147"/>
  <c r="J152" s="1"/>
  <c r="Y142"/>
  <c r="T147"/>
  <c r="T152" s="1"/>
  <c r="E70" i="19"/>
  <c r="E77" s="1"/>
  <c r="E62"/>
  <c r="E69" s="1"/>
  <c r="E76" s="1"/>
  <c r="F70"/>
  <c r="F86" s="1"/>
  <c r="F69"/>
  <c r="F85" s="1"/>
  <c r="P54" i="18"/>
  <c r="P49"/>
  <c r="T55"/>
  <c r="T49"/>
  <c r="T153" s="1"/>
  <c r="T154" s="1"/>
  <c r="T54"/>
  <c r="X55"/>
  <c r="I55"/>
  <c r="J55"/>
  <c r="G55"/>
  <c r="M54"/>
  <c r="M49"/>
  <c r="M153" s="1"/>
  <c r="M154" s="1"/>
  <c r="U55"/>
  <c r="F55"/>
  <c r="F49"/>
  <c r="F54"/>
  <c r="L55"/>
  <c r="X54"/>
  <c r="X49"/>
  <c r="X153" s="1"/>
  <c r="X154" s="1"/>
  <c r="H55"/>
  <c r="N49"/>
  <c r="N54"/>
  <c r="V49"/>
  <c r="V54"/>
  <c r="O54"/>
  <c r="O49"/>
  <c r="S54"/>
  <c r="S49"/>
  <c r="R55"/>
  <c r="Q49"/>
  <c r="Q54"/>
  <c r="E54"/>
  <c r="K3" i="10" s="1"/>
  <c r="E49" i="18"/>
  <c r="Y46"/>
  <c r="L54"/>
  <c r="L49"/>
  <c r="L153" s="1"/>
  <c r="L154" s="1"/>
  <c r="H49"/>
  <c r="H54"/>
  <c r="K55"/>
  <c r="O55"/>
  <c r="W49"/>
  <c r="W153" s="1"/>
  <c r="W154" s="1"/>
  <c r="W54"/>
  <c r="J49"/>
  <c r="J54"/>
  <c r="R54"/>
  <c r="R49"/>
  <c r="G49"/>
  <c r="G54"/>
  <c r="Q55"/>
  <c r="U49"/>
  <c r="U54"/>
  <c r="E55"/>
  <c r="K4" i="10" s="1"/>
  <c r="Y47" i="18"/>
  <c r="P55"/>
  <c r="N55"/>
  <c r="V55"/>
  <c r="I54"/>
  <c r="I49"/>
  <c r="K49"/>
  <c r="K153" s="1"/>
  <c r="K154" s="1"/>
  <c r="K54"/>
  <c r="S55"/>
  <c r="W55"/>
  <c r="M55"/>
  <c r="G68" i="19"/>
  <c r="H153" i="18" l="1"/>
  <c r="H154" s="1"/>
  <c r="G153"/>
  <c r="G154" s="1"/>
  <c r="G145"/>
  <c r="U48" i="19"/>
  <c r="U63" s="1"/>
  <c r="G144" i="18"/>
  <c r="U47" i="19"/>
  <c r="U62" s="1"/>
  <c r="S153" i="18"/>
  <c r="S154" s="1"/>
  <c r="U153"/>
  <c r="U154" s="1"/>
  <c r="R153"/>
  <c r="R154" s="1"/>
  <c r="Q153"/>
  <c r="Q154" s="1"/>
  <c r="O153"/>
  <c r="O154" s="1"/>
  <c r="E153"/>
  <c r="Y152"/>
  <c r="I153"/>
  <c r="I154" s="1"/>
  <c r="P153"/>
  <c r="P154" s="1"/>
  <c r="N153"/>
  <c r="N154" s="1"/>
  <c r="J153"/>
  <c r="J154" s="1"/>
  <c r="F153"/>
  <c r="F154" s="1"/>
  <c r="V153"/>
  <c r="V154" s="1"/>
  <c r="E85" i="19"/>
  <c r="E86"/>
  <c r="E72"/>
  <c r="F77"/>
  <c r="I87" i="18"/>
  <c r="I82"/>
  <c r="I79"/>
  <c r="I67"/>
  <c r="I91"/>
  <c r="I66"/>
  <c r="I76"/>
  <c r="I80"/>
  <c r="I89"/>
  <c r="I90"/>
  <c r="I63"/>
  <c r="I100" s="1"/>
  <c r="I64"/>
  <c r="I68"/>
  <c r="I69"/>
  <c r="I73"/>
  <c r="I72"/>
  <c r="I70"/>
  <c r="I86"/>
  <c r="I77"/>
  <c r="I114" s="1"/>
  <c r="I88"/>
  <c r="I85"/>
  <c r="I81"/>
  <c r="I83"/>
  <c r="I65"/>
  <c r="I102" s="1"/>
  <c r="I75"/>
  <c r="I74"/>
  <c r="I93"/>
  <c r="I92"/>
  <c r="I78"/>
  <c r="I94"/>
  <c r="I57"/>
  <c r="I71"/>
  <c r="I84"/>
  <c r="R57"/>
  <c r="R70"/>
  <c r="R63"/>
  <c r="R100" s="1"/>
  <c r="R78"/>
  <c r="R69"/>
  <c r="R83"/>
  <c r="R74"/>
  <c r="R72"/>
  <c r="R90"/>
  <c r="R67"/>
  <c r="R86"/>
  <c r="R80"/>
  <c r="R94"/>
  <c r="R75"/>
  <c r="R65"/>
  <c r="R73"/>
  <c r="R110" s="1"/>
  <c r="R88"/>
  <c r="R82"/>
  <c r="R76"/>
  <c r="R91"/>
  <c r="R84"/>
  <c r="R64"/>
  <c r="R66"/>
  <c r="R103" s="1"/>
  <c r="R85"/>
  <c r="R93"/>
  <c r="R77"/>
  <c r="R92"/>
  <c r="R71"/>
  <c r="R68"/>
  <c r="R87"/>
  <c r="R89"/>
  <c r="R81"/>
  <c r="R118" s="1"/>
  <c r="R79"/>
  <c r="J69"/>
  <c r="J68"/>
  <c r="J85"/>
  <c r="J78"/>
  <c r="J66"/>
  <c r="J65"/>
  <c r="J73"/>
  <c r="J79"/>
  <c r="J116" s="1"/>
  <c r="J93"/>
  <c r="J88"/>
  <c r="J57"/>
  <c r="J64"/>
  <c r="J83"/>
  <c r="J74"/>
  <c r="J94"/>
  <c r="J91"/>
  <c r="J87"/>
  <c r="J70"/>
  <c r="J92"/>
  <c r="J82"/>
  <c r="J76"/>
  <c r="J67"/>
  <c r="J80"/>
  <c r="J90"/>
  <c r="J77"/>
  <c r="J114" s="1"/>
  <c r="J63"/>
  <c r="J100" s="1"/>
  <c r="J81"/>
  <c r="J118" s="1"/>
  <c r="J89"/>
  <c r="J72"/>
  <c r="J71"/>
  <c r="J86"/>
  <c r="J123" s="1"/>
  <c r="J75"/>
  <c r="P47" i="19"/>
  <c r="P62" s="1"/>
  <c r="P48"/>
  <c r="P63" s="1"/>
  <c r="H65" i="18"/>
  <c r="H90"/>
  <c r="H82"/>
  <c r="H92"/>
  <c r="H78"/>
  <c r="H85"/>
  <c r="H93"/>
  <c r="H91"/>
  <c r="H74"/>
  <c r="H70"/>
  <c r="H73"/>
  <c r="H89"/>
  <c r="H76"/>
  <c r="H79"/>
  <c r="H80"/>
  <c r="H64"/>
  <c r="H57"/>
  <c r="H75"/>
  <c r="H81"/>
  <c r="H87"/>
  <c r="H63"/>
  <c r="H100" s="1"/>
  <c r="H72"/>
  <c r="H86"/>
  <c r="H84"/>
  <c r="H69"/>
  <c r="H68"/>
  <c r="H71"/>
  <c r="H67"/>
  <c r="H94"/>
  <c r="H83"/>
  <c r="H66"/>
  <c r="H77"/>
  <c r="S77"/>
  <c r="S80"/>
  <c r="S81"/>
  <c r="S88"/>
  <c r="S85"/>
  <c r="S84"/>
  <c r="S73"/>
  <c r="S72"/>
  <c r="S75"/>
  <c r="S94"/>
  <c r="S67"/>
  <c r="S68"/>
  <c r="S91"/>
  <c r="S79"/>
  <c r="S93"/>
  <c r="S78"/>
  <c r="S71"/>
  <c r="S86"/>
  <c r="S89"/>
  <c r="S70"/>
  <c r="S83"/>
  <c r="S74"/>
  <c r="S66"/>
  <c r="S57"/>
  <c r="S90"/>
  <c r="S64"/>
  <c r="S65"/>
  <c r="S92"/>
  <c r="S69"/>
  <c r="S76"/>
  <c r="S82"/>
  <c r="S119" s="1"/>
  <c r="S63"/>
  <c r="S100" s="1"/>
  <c r="S87"/>
  <c r="V57"/>
  <c r="V91"/>
  <c r="V69"/>
  <c r="V92"/>
  <c r="V75"/>
  <c r="V85"/>
  <c r="V93"/>
  <c r="V83"/>
  <c r="V77"/>
  <c r="V64"/>
  <c r="V94"/>
  <c r="V86"/>
  <c r="V82"/>
  <c r="V90"/>
  <c r="V78"/>
  <c r="V65"/>
  <c r="V73"/>
  <c r="V70"/>
  <c r="V63"/>
  <c r="V100" s="1"/>
  <c r="V68"/>
  <c r="V74"/>
  <c r="V67"/>
  <c r="V66"/>
  <c r="V81"/>
  <c r="V89"/>
  <c r="V84"/>
  <c r="V87"/>
  <c r="V72"/>
  <c r="V76"/>
  <c r="V113" s="1"/>
  <c r="V71"/>
  <c r="V108" s="1"/>
  <c r="V88"/>
  <c r="V80"/>
  <c r="V79"/>
  <c r="Q47" i="19"/>
  <c r="Q62" s="1"/>
  <c r="Q48"/>
  <c r="Q63" s="1"/>
  <c r="F57" i="18"/>
  <c r="F66"/>
  <c r="F92"/>
  <c r="F75"/>
  <c r="F69"/>
  <c r="F83"/>
  <c r="F93"/>
  <c r="F91"/>
  <c r="F85"/>
  <c r="F76"/>
  <c r="F80"/>
  <c r="F84"/>
  <c r="F82"/>
  <c r="F77"/>
  <c r="F70"/>
  <c r="F63"/>
  <c r="F100" s="1"/>
  <c r="F74"/>
  <c r="F64"/>
  <c r="F78"/>
  <c r="F65"/>
  <c r="F88"/>
  <c r="F87"/>
  <c r="F72"/>
  <c r="F73"/>
  <c r="F86"/>
  <c r="F123" s="1"/>
  <c r="F81"/>
  <c r="F90"/>
  <c r="F89"/>
  <c r="F94"/>
  <c r="F67"/>
  <c r="F104" s="1"/>
  <c r="F68"/>
  <c r="F71"/>
  <c r="F79"/>
  <c r="L47" i="19"/>
  <c r="L62" s="1"/>
  <c r="L48"/>
  <c r="L63" s="1"/>
  <c r="S48"/>
  <c r="S63" s="1"/>
  <c r="S47"/>
  <c r="S62" s="1"/>
  <c r="J47"/>
  <c r="J62" s="1"/>
  <c r="J48"/>
  <c r="J63" s="1"/>
  <c r="W71" i="18"/>
  <c r="W82"/>
  <c r="W66"/>
  <c r="W63"/>
  <c r="W100" s="1"/>
  <c r="W85"/>
  <c r="W89"/>
  <c r="W93"/>
  <c r="W74"/>
  <c r="W87"/>
  <c r="W70"/>
  <c r="W84"/>
  <c r="W86"/>
  <c r="W75"/>
  <c r="W90"/>
  <c r="W83"/>
  <c r="W57"/>
  <c r="W65"/>
  <c r="W72"/>
  <c r="W73"/>
  <c r="W91"/>
  <c r="W78"/>
  <c r="W88"/>
  <c r="W94"/>
  <c r="W131" s="1"/>
  <c r="W80"/>
  <c r="W81"/>
  <c r="W76"/>
  <c r="W79"/>
  <c r="W92"/>
  <c r="W129" s="1"/>
  <c r="W69"/>
  <c r="W67"/>
  <c r="W77"/>
  <c r="W68"/>
  <c r="W64"/>
  <c r="L57"/>
  <c r="L72"/>
  <c r="L65"/>
  <c r="L76"/>
  <c r="L66"/>
  <c r="L80"/>
  <c r="L67"/>
  <c r="L68"/>
  <c r="L71"/>
  <c r="L88"/>
  <c r="L83"/>
  <c r="L92"/>
  <c r="L91"/>
  <c r="L70"/>
  <c r="L73"/>
  <c r="L84"/>
  <c r="L75"/>
  <c r="L78"/>
  <c r="L89"/>
  <c r="L82"/>
  <c r="L63"/>
  <c r="L100" s="1"/>
  <c r="L86"/>
  <c r="L69"/>
  <c r="L74"/>
  <c r="L81"/>
  <c r="L94"/>
  <c r="L85"/>
  <c r="L87"/>
  <c r="L93"/>
  <c r="L79"/>
  <c r="L116" s="1"/>
  <c r="L64"/>
  <c r="L90"/>
  <c r="L77"/>
  <c r="X78"/>
  <c r="X65"/>
  <c r="X82"/>
  <c r="X66"/>
  <c r="X86"/>
  <c r="X67"/>
  <c r="X90"/>
  <c r="X73"/>
  <c r="X68"/>
  <c r="X94"/>
  <c r="X81"/>
  <c r="X63"/>
  <c r="X100" s="1"/>
  <c r="X89"/>
  <c r="X91"/>
  <c r="X64"/>
  <c r="X83"/>
  <c r="X72"/>
  <c r="X71"/>
  <c r="X76"/>
  <c r="X79"/>
  <c r="X80"/>
  <c r="X87"/>
  <c r="X84"/>
  <c r="X75"/>
  <c r="X57"/>
  <c r="X88"/>
  <c r="X69"/>
  <c r="X92"/>
  <c r="X77"/>
  <c r="X70"/>
  <c r="X85"/>
  <c r="X122" s="1"/>
  <c r="X74"/>
  <c r="X111" s="1"/>
  <c r="X93"/>
  <c r="K47" i="19"/>
  <c r="K62" s="1"/>
  <c r="K48"/>
  <c r="K63" s="1"/>
  <c r="M57" i="18"/>
  <c r="M66"/>
  <c r="M85"/>
  <c r="M93"/>
  <c r="M70"/>
  <c r="M86"/>
  <c r="M73"/>
  <c r="M64"/>
  <c r="M88"/>
  <c r="M94"/>
  <c r="M75"/>
  <c r="M82"/>
  <c r="M74"/>
  <c r="M76"/>
  <c r="M72"/>
  <c r="M89"/>
  <c r="M80"/>
  <c r="M77"/>
  <c r="M83"/>
  <c r="M91"/>
  <c r="M78"/>
  <c r="M92"/>
  <c r="M65"/>
  <c r="M63"/>
  <c r="M100" s="1"/>
  <c r="M90"/>
  <c r="M67"/>
  <c r="M104" s="1"/>
  <c r="M68"/>
  <c r="M81"/>
  <c r="M84"/>
  <c r="M79"/>
  <c r="M71"/>
  <c r="M69"/>
  <c r="M87"/>
  <c r="O47" i="19"/>
  <c r="O62" s="1"/>
  <c r="O48"/>
  <c r="O63" s="1"/>
  <c r="N48"/>
  <c r="N63" s="1"/>
  <c r="N47"/>
  <c r="N62" s="1"/>
  <c r="H88" i="18"/>
  <c r="Y55"/>
  <c r="J84"/>
  <c r="G57"/>
  <c r="G65"/>
  <c r="G80"/>
  <c r="G69"/>
  <c r="G66"/>
  <c r="G73"/>
  <c r="G67"/>
  <c r="G77"/>
  <c r="G68"/>
  <c r="G81"/>
  <c r="G76"/>
  <c r="G85"/>
  <c r="G89"/>
  <c r="G92"/>
  <c r="G74"/>
  <c r="G63"/>
  <c r="G100" s="1"/>
  <c r="G83"/>
  <c r="G87"/>
  <c r="G78"/>
  <c r="G86"/>
  <c r="G94"/>
  <c r="G84"/>
  <c r="G93"/>
  <c r="G70"/>
  <c r="G107" s="1"/>
  <c r="G72"/>
  <c r="G88"/>
  <c r="G125" s="1"/>
  <c r="G71"/>
  <c r="G82"/>
  <c r="G75"/>
  <c r="G90"/>
  <c r="G79"/>
  <c r="G116" s="1"/>
  <c r="G64"/>
  <c r="G101" s="1"/>
  <c r="G91"/>
  <c r="Y141"/>
  <c r="Y157" s="1"/>
  <c r="O93"/>
  <c r="O63"/>
  <c r="O100" s="1"/>
  <c r="O81"/>
  <c r="O76"/>
  <c r="O85"/>
  <c r="O84"/>
  <c r="O89"/>
  <c r="O92"/>
  <c r="O74"/>
  <c r="O82"/>
  <c r="O88"/>
  <c r="O77"/>
  <c r="O114" s="1"/>
  <c r="O65"/>
  <c r="O80"/>
  <c r="O72"/>
  <c r="O83"/>
  <c r="O90"/>
  <c r="O71"/>
  <c r="O64"/>
  <c r="O75"/>
  <c r="O79"/>
  <c r="O86"/>
  <c r="O68"/>
  <c r="O73"/>
  <c r="O57"/>
  <c r="O94"/>
  <c r="O87"/>
  <c r="O70"/>
  <c r="O91"/>
  <c r="O128" s="1"/>
  <c r="O78"/>
  <c r="O66"/>
  <c r="O67"/>
  <c r="O69"/>
  <c r="N74"/>
  <c r="N77"/>
  <c r="N78"/>
  <c r="N63"/>
  <c r="N100" s="1"/>
  <c r="N66"/>
  <c r="N64"/>
  <c r="N70"/>
  <c r="N65"/>
  <c r="N73"/>
  <c r="N86"/>
  <c r="N93"/>
  <c r="N90"/>
  <c r="N89"/>
  <c r="N94"/>
  <c r="N69"/>
  <c r="N82"/>
  <c r="N81"/>
  <c r="N80"/>
  <c r="N87"/>
  <c r="N84"/>
  <c r="N67"/>
  <c r="N104" s="1"/>
  <c r="N72"/>
  <c r="N71"/>
  <c r="N108" s="1"/>
  <c r="N76"/>
  <c r="N79"/>
  <c r="N57"/>
  <c r="N83"/>
  <c r="N85"/>
  <c r="N122" s="1"/>
  <c r="N91"/>
  <c r="N88"/>
  <c r="N68"/>
  <c r="N92"/>
  <c r="N75"/>
  <c r="R48" i="19"/>
  <c r="R63" s="1"/>
  <c r="R47"/>
  <c r="R62" s="1"/>
  <c r="K81" i="18"/>
  <c r="K63"/>
  <c r="K100" s="1"/>
  <c r="K84"/>
  <c r="K85"/>
  <c r="K79"/>
  <c r="K86"/>
  <c r="K83"/>
  <c r="K94"/>
  <c r="K90"/>
  <c r="K71"/>
  <c r="K88"/>
  <c r="K66"/>
  <c r="K75"/>
  <c r="K68"/>
  <c r="K82"/>
  <c r="K76"/>
  <c r="K87"/>
  <c r="K70"/>
  <c r="K74"/>
  <c r="K91"/>
  <c r="K64"/>
  <c r="K73"/>
  <c r="K72"/>
  <c r="K77"/>
  <c r="K114" s="1"/>
  <c r="K57"/>
  <c r="K65"/>
  <c r="K69"/>
  <c r="K80"/>
  <c r="K78"/>
  <c r="K89"/>
  <c r="K67"/>
  <c r="K93"/>
  <c r="K92"/>
  <c r="U87"/>
  <c r="U64"/>
  <c r="U68"/>
  <c r="U63"/>
  <c r="U100" s="1"/>
  <c r="U74"/>
  <c r="U92"/>
  <c r="U83"/>
  <c r="U75"/>
  <c r="U77"/>
  <c r="U84"/>
  <c r="U91"/>
  <c r="U79"/>
  <c r="U86"/>
  <c r="U81"/>
  <c r="U73"/>
  <c r="U93"/>
  <c r="U88"/>
  <c r="U125" s="1"/>
  <c r="U82"/>
  <c r="U69"/>
  <c r="U106" s="1"/>
  <c r="U66"/>
  <c r="U94"/>
  <c r="U89"/>
  <c r="U76"/>
  <c r="U57"/>
  <c r="U71"/>
  <c r="U70"/>
  <c r="U85"/>
  <c r="U72"/>
  <c r="U80"/>
  <c r="U78"/>
  <c r="U67"/>
  <c r="U65"/>
  <c r="U90"/>
  <c r="E77"/>
  <c r="E71"/>
  <c r="E70"/>
  <c r="E83"/>
  <c r="E76"/>
  <c r="E72"/>
  <c r="E81"/>
  <c r="E92"/>
  <c r="E78"/>
  <c r="E88"/>
  <c r="E80"/>
  <c r="E65"/>
  <c r="E89"/>
  <c r="E66"/>
  <c r="E94"/>
  <c r="E57"/>
  <c r="E69"/>
  <c r="E68"/>
  <c r="E75"/>
  <c r="E91"/>
  <c r="E85"/>
  <c r="E79"/>
  <c r="E86"/>
  <c r="E73"/>
  <c r="E82"/>
  <c r="E67"/>
  <c r="E104" s="1"/>
  <c r="E74"/>
  <c r="E90"/>
  <c r="E93"/>
  <c r="E87"/>
  <c r="E63"/>
  <c r="E100" s="1"/>
  <c r="E64"/>
  <c r="E84"/>
  <c r="Y54"/>
  <c r="Q75"/>
  <c r="Q94"/>
  <c r="Q64"/>
  <c r="Q79"/>
  <c r="Q66"/>
  <c r="Q89"/>
  <c r="Q84"/>
  <c r="Q71"/>
  <c r="Q91"/>
  <c r="Q65"/>
  <c r="Q80"/>
  <c r="Q69"/>
  <c r="Q68"/>
  <c r="Q92"/>
  <c r="Q67"/>
  <c r="Q78"/>
  <c r="Q82"/>
  <c r="Q81"/>
  <c r="Q90"/>
  <c r="Q87"/>
  <c r="Q85"/>
  <c r="Q76"/>
  <c r="Q93"/>
  <c r="Q83"/>
  <c r="Q74"/>
  <c r="Q57"/>
  <c r="Q88"/>
  <c r="Q77"/>
  <c r="Q70"/>
  <c r="Q63"/>
  <c r="Q100" s="1"/>
  <c r="Q86"/>
  <c r="Q73"/>
  <c r="Q72"/>
  <c r="M48" i="19"/>
  <c r="M63" s="1"/>
  <c r="M47"/>
  <c r="M62" s="1"/>
  <c r="T57" i="18"/>
  <c r="T64"/>
  <c r="T78"/>
  <c r="T71"/>
  <c r="T84"/>
  <c r="T75"/>
  <c r="T81"/>
  <c r="T93"/>
  <c r="T65"/>
  <c r="T73"/>
  <c r="T76"/>
  <c r="T70"/>
  <c r="T63"/>
  <c r="T100" s="1"/>
  <c r="T85"/>
  <c r="T77"/>
  <c r="T94"/>
  <c r="T92"/>
  <c r="T80"/>
  <c r="T66"/>
  <c r="T83"/>
  <c r="T74"/>
  <c r="T72"/>
  <c r="T87"/>
  <c r="T90"/>
  <c r="T91"/>
  <c r="T86"/>
  <c r="T123" s="1"/>
  <c r="T69"/>
  <c r="T88"/>
  <c r="T79"/>
  <c r="T68"/>
  <c r="T67"/>
  <c r="T104" s="1"/>
  <c r="T82"/>
  <c r="T89"/>
  <c r="P86"/>
  <c r="P69"/>
  <c r="P67"/>
  <c r="P84"/>
  <c r="P65"/>
  <c r="P88"/>
  <c r="P91"/>
  <c r="P79"/>
  <c r="P71"/>
  <c r="P93"/>
  <c r="P89"/>
  <c r="P75"/>
  <c r="P90"/>
  <c r="P94"/>
  <c r="P76"/>
  <c r="P72"/>
  <c r="P57"/>
  <c r="P64"/>
  <c r="P92"/>
  <c r="P129" s="1"/>
  <c r="P74"/>
  <c r="P77"/>
  <c r="P78"/>
  <c r="P80"/>
  <c r="P73"/>
  <c r="P110" s="1"/>
  <c r="P66"/>
  <c r="P103" s="1"/>
  <c r="P85"/>
  <c r="P70"/>
  <c r="P87"/>
  <c r="P83"/>
  <c r="P68"/>
  <c r="P63"/>
  <c r="P100" s="1"/>
  <c r="P81"/>
  <c r="P82"/>
  <c r="Y49"/>
  <c r="F95" i="19"/>
  <c r="F96"/>
  <c r="F94"/>
  <c r="F131" s="1"/>
  <c r="F72"/>
  <c r="G70"/>
  <c r="G86" s="1"/>
  <c r="G69"/>
  <c r="H68"/>
  <c r="F88"/>
  <c r="F119"/>
  <c r="F116"/>
  <c r="F109"/>
  <c r="F111"/>
  <c r="F104"/>
  <c r="F110"/>
  <c r="F124"/>
  <c r="F103"/>
  <c r="F98"/>
  <c r="F106"/>
  <c r="F125"/>
  <c r="F123"/>
  <c r="F120"/>
  <c r="F113"/>
  <c r="F121"/>
  <c r="F99"/>
  <c r="F108"/>
  <c r="F97"/>
  <c r="F122"/>
  <c r="F117"/>
  <c r="F101"/>
  <c r="F112"/>
  <c r="F102"/>
  <c r="F115"/>
  <c r="F105"/>
  <c r="F142" s="1"/>
  <c r="F107"/>
  <c r="F144" s="1"/>
  <c r="F118"/>
  <c r="F100"/>
  <c r="F137" s="1"/>
  <c r="F114"/>
  <c r="F76"/>
  <c r="E79"/>
  <c r="E115" i="18" l="1"/>
  <c r="X125"/>
  <c r="G123"/>
  <c r="H145"/>
  <c r="V48" i="19"/>
  <c r="V63" s="1"/>
  <c r="H144" i="18"/>
  <c r="V47" i="19"/>
  <c r="V62" s="1"/>
  <c r="E154" i="18"/>
  <c r="Y154" s="1"/>
  <c r="Y153"/>
  <c r="J108"/>
  <c r="W127"/>
  <c r="V125"/>
  <c r="U119"/>
  <c r="E109"/>
  <c r="V111"/>
  <c r="F114"/>
  <c r="T131"/>
  <c r="M114"/>
  <c r="E116" i="19"/>
  <c r="E124"/>
  <c r="E123"/>
  <c r="E95"/>
  <c r="E114"/>
  <c r="E115"/>
  <c r="E118"/>
  <c r="E94"/>
  <c r="E131" s="1"/>
  <c r="E117"/>
  <c r="E119"/>
  <c r="E108"/>
  <c r="E122"/>
  <c r="E99"/>
  <c r="E109"/>
  <c r="E105"/>
  <c r="E103"/>
  <c r="E102"/>
  <c r="E110"/>
  <c r="E120"/>
  <c r="E113"/>
  <c r="E125"/>
  <c r="E112"/>
  <c r="E101"/>
  <c r="E121"/>
  <c r="E100"/>
  <c r="E137" s="1"/>
  <c r="E88"/>
  <c r="E96"/>
  <c r="E98"/>
  <c r="E97"/>
  <c r="E104"/>
  <c r="E107"/>
  <c r="E106"/>
  <c r="E111"/>
  <c r="V131" i="18"/>
  <c r="P105"/>
  <c r="P101"/>
  <c r="P130"/>
  <c r="Q110"/>
  <c r="Q120"/>
  <c r="Q106"/>
  <c r="Q108"/>
  <c r="E124"/>
  <c r="E108"/>
  <c r="U127"/>
  <c r="U108"/>
  <c r="K126"/>
  <c r="K110"/>
  <c r="K107"/>
  <c r="K105"/>
  <c r="Y147"/>
  <c r="N125"/>
  <c r="N109"/>
  <c r="N131"/>
  <c r="O116"/>
  <c r="O122"/>
  <c r="G108"/>
  <c r="G115"/>
  <c r="J121"/>
  <c r="M113"/>
  <c r="M123"/>
  <c r="X121"/>
  <c r="X113"/>
  <c r="X101"/>
  <c r="L123"/>
  <c r="L107"/>
  <c r="F126"/>
  <c r="F112"/>
  <c r="S129"/>
  <c r="S107"/>
  <c r="S115"/>
  <c r="S109"/>
  <c r="H114"/>
  <c r="H101"/>
  <c r="R105"/>
  <c r="R121"/>
  <c r="I131"/>
  <c r="I111"/>
  <c r="T114"/>
  <c r="F157" i="19"/>
  <c r="P118" i="18"/>
  <c r="T126"/>
  <c r="T128"/>
  <c r="T121"/>
  <c r="Q113"/>
  <c r="Q129"/>
  <c r="P114"/>
  <c r="P127"/>
  <c r="P108"/>
  <c r="P102"/>
  <c r="P123"/>
  <c r="T105"/>
  <c r="T109"/>
  <c r="Q123"/>
  <c r="Q125"/>
  <c r="Q104"/>
  <c r="Q117"/>
  <c r="Q121"/>
  <c r="E119"/>
  <c r="E106"/>
  <c r="E126"/>
  <c r="E113"/>
  <c r="U102"/>
  <c r="U109"/>
  <c r="U130"/>
  <c r="U116"/>
  <c r="U112"/>
  <c r="K101"/>
  <c r="K124"/>
  <c r="K112"/>
  <c r="K127"/>
  <c r="N116"/>
  <c r="N118"/>
  <c r="N126"/>
  <c r="N110"/>
  <c r="O107"/>
  <c r="O112"/>
  <c r="O120"/>
  <c r="O129"/>
  <c r="G124"/>
  <c r="G118"/>
  <c r="G102"/>
  <c r="M124"/>
  <c r="M121"/>
  <c r="M115"/>
  <c r="M117"/>
  <c r="M111"/>
  <c r="X107"/>
  <c r="X128"/>
  <c r="X104"/>
  <c r="X102"/>
  <c r="L118"/>
  <c r="L108"/>
  <c r="L103"/>
  <c r="W105"/>
  <c r="W128"/>
  <c r="W123"/>
  <c r="F127"/>
  <c r="F109"/>
  <c r="F107"/>
  <c r="F117"/>
  <c r="F129"/>
  <c r="V117"/>
  <c r="V109"/>
  <c r="V105"/>
  <c r="V102"/>
  <c r="V123"/>
  <c r="V120"/>
  <c r="V129"/>
  <c r="S126"/>
  <c r="S130"/>
  <c r="S110"/>
  <c r="H103"/>
  <c r="H130"/>
  <c r="J117"/>
  <c r="J129"/>
  <c r="J131"/>
  <c r="J110"/>
  <c r="J122"/>
  <c r="R108"/>
  <c r="R122"/>
  <c r="R128"/>
  <c r="R117"/>
  <c r="R115"/>
  <c r="I121"/>
  <c r="I115"/>
  <c r="I112"/>
  <c r="I107"/>
  <c r="I128"/>
  <c r="I124"/>
  <c r="N112"/>
  <c r="P124"/>
  <c r="P109"/>
  <c r="P116"/>
  <c r="P121"/>
  <c r="T116"/>
  <c r="T111"/>
  <c r="T102"/>
  <c r="Q118"/>
  <c r="Q102"/>
  <c r="Q126"/>
  <c r="Q131"/>
  <c r="F159" i="19"/>
  <c r="M103" i="18"/>
  <c r="W108"/>
  <c r="E121"/>
  <c r="K115"/>
  <c r="X124"/>
  <c r="L114"/>
  <c r="L128"/>
  <c r="W111"/>
  <c r="F115"/>
  <c r="H123"/>
  <c r="H117"/>
  <c r="I105"/>
  <c r="E111"/>
  <c r="U107"/>
  <c r="U121"/>
  <c r="U129"/>
  <c r="K104"/>
  <c r="N120"/>
  <c r="N130"/>
  <c r="O119"/>
  <c r="G106"/>
  <c r="M102"/>
  <c r="M120"/>
  <c r="X116"/>
  <c r="X110"/>
  <c r="L122"/>
  <c r="L106"/>
  <c r="L120"/>
  <c r="W104"/>
  <c r="F125"/>
  <c r="F119"/>
  <c r="V104"/>
  <c r="V107"/>
  <c r="V101"/>
  <c r="S124"/>
  <c r="S112"/>
  <c r="S122"/>
  <c r="S114"/>
  <c r="H106"/>
  <c r="H113"/>
  <c r="J109"/>
  <c r="J103"/>
  <c r="J106"/>
  <c r="R124"/>
  <c r="R114"/>
  <c r="R101"/>
  <c r="R112"/>
  <c r="R104"/>
  <c r="I130"/>
  <c r="I110"/>
  <c r="E130"/>
  <c r="K129"/>
  <c r="K118"/>
  <c r="N128"/>
  <c r="N103"/>
  <c r="O104"/>
  <c r="O110"/>
  <c r="G127"/>
  <c r="G121"/>
  <c r="G129"/>
  <c r="G110"/>
  <c r="M127"/>
  <c r="M107"/>
  <c r="X131"/>
  <c r="L130"/>
  <c r="L112"/>
  <c r="W117"/>
  <c r="F105"/>
  <c r="S102"/>
  <c r="S118"/>
  <c r="H108"/>
  <c r="I126"/>
  <c r="E103"/>
  <c r="U123"/>
  <c r="U114"/>
  <c r="U111"/>
  <c r="K123"/>
  <c r="N123"/>
  <c r="N101"/>
  <c r="N114"/>
  <c r="O106"/>
  <c r="O127"/>
  <c r="O102"/>
  <c r="G113"/>
  <c r="G104"/>
  <c r="M129"/>
  <c r="M131"/>
  <c r="X106"/>
  <c r="X118"/>
  <c r="X127"/>
  <c r="L125"/>
  <c r="W115"/>
  <c r="W122"/>
  <c r="F102"/>
  <c r="F121"/>
  <c r="V116"/>
  <c r="V126"/>
  <c r="S125"/>
  <c r="H121"/>
  <c r="H126"/>
  <c r="H128"/>
  <c r="J112"/>
  <c r="J126"/>
  <c r="J115"/>
  <c r="R130"/>
  <c r="R125"/>
  <c r="R127"/>
  <c r="I118"/>
  <c r="I103"/>
  <c r="Y74"/>
  <c r="Y86"/>
  <c r="Y73"/>
  <c r="Y63"/>
  <c r="Y100" s="1"/>
  <c r="Y79"/>
  <c r="Y91"/>
  <c r="Y87"/>
  <c r="Y72"/>
  <c r="Y94"/>
  <c r="Y67"/>
  <c r="Y85"/>
  <c r="Y82"/>
  <c r="Y78"/>
  <c r="Y88"/>
  <c r="Y92"/>
  <c r="Y66"/>
  <c r="Y65"/>
  <c r="Y84"/>
  <c r="Y81"/>
  <c r="Y77"/>
  <c r="Y69"/>
  <c r="Y68"/>
  <c r="Y105" s="1"/>
  <c r="Y83"/>
  <c r="Y57"/>
  <c r="Y80"/>
  <c r="Y117" s="1"/>
  <c r="Y76"/>
  <c r="Y71"/>
  <c r="Y75"/>
  <c r="Y70"/>
  <c r="Y107" s="1"/>
  <c r="Y64"/>
  <c r="Y93"/>
  <c r="Y130" s="1"/>
  <c r="Y89"/>
  <c r="Y90"/>
  <c r="P156"/>
  <c r="U156"/>
  <c r="X156"/>
  <c r="V156"/>
  <c r="T156"/>
  <c r="Q156"/>
  <c r="H156"/>
  <c r="K156"/>
  <c r="K116"/>
  <c r="M125"/>
  <c r="P119"/>
  <c r="T122"/>
  <c r="Q130"/>
  <c r="Q101"/>
  <c r="E116"/>
  <c r="U117"/>
  <c r="U124"/>
  <c r="K102"/>
  <c r="G130"/>
  <c r="G111"/>
  <c r="G117"/>
  <c r="X119"/>
  <c r="L117"/>
  <c r="W118"/>
  <c r="W102"/>
  <c r="W112"/>
  <c r="F108"/>
  <c r="F110"/>
  <c r="V110"/>
  <c r="V114"/>
  <c r="J119"/>
  <c r="R131"/>
  <c r="R106"/>
  <c r="I127"/>
  <c r="P122"/>
  <c r="P106"/>
  <c r="T106"/>
  <c r="T103"/>
  <c r="T118"/>
  <c r="Q124"/>
  <c r="E112"/>
  <c r="E117"/>
  <c r="U115"/>
  <c r="K106"/>
  <c r="K111"/>
  <c r="K119"/>
  <c r="K125"/>
  <c r="K120"/>
  <c r="K121"/>
  <c r="N105"/>
  <c r="N124"/>
  <c r="N106"/>
  <c r="N107"/>
  <c r="N115"/>
  <c r="O115"/>
  <c r="O131"/>
  <c r="O123"/>
  <c r="O108"/>
  <c r="O117"/>
  <c r="O121"/>
  <c r="G119"/>
  <c r="G122"/>
  <c r="G114"/>
  <c r="M108"/>
  <c r="M105"/>
  <c r="M109"/>
  <c r="M112"/>
  <c r="M110"/>
  <c r="M122"/>
  <c r="X129"/>
  <c r="X112"/>
  <c r="X120"/>
  <c r="X103"/>
  <c r="L101"/>
  <c r="L126"/>
  <c r="L110"/>
  <c r="L104"/>
  <c r="L102"/>
  <c r="W113"/>
  <c r="W125"/>
  <c r="W109"/>
  <c r="W107"/>
  <c r="W126"/>
  <c r="W119"/>
  <c r="F116"/>
  <c r="F131"/>
  <c r="F111"/>
  <c r="F122"/>
  <c r="F106"/>
  <c r="V121"/>
  <c r="V127"/>
  <c r="V122"/>
  <c r="V128"/>
  <c r="S106"/>
  <c r="S127"/>
  <c r="S120"/>
  <c r="S108"/>
  <c r="S128"/>
  <c r="H131"/>
  <c r="H111"/>
  <c r="H115"/>
  <c r="H102"/>
  <c r="J113"/>
  <c r="J124"/>
  <c r="J120"/>
  <c r="J130"/>
  <c r="R119"/>
  <c r="R120"/>
  <c r="R107"/>
  <c r="I120"/>
  <c r="I113"/>
  <c r="I116"/>
  <c r="W156"/>
  <c r="J156"/>
  <c r="I156"/>
  <c r="M156"/>
  <c r="S156"/>
  <c r="J102"/>
  <c r="J101"/>
  <c r="N156"/>
  <c r="R156"/>
  <c r="L156"/>
  <c r="F156"/>
  <c r="G156"/>
  <c r="O156"/>
  <c r="H110"/>
  <c r="H109"/>
  <c r="P111"/>
  <c r="P112"/>
  <c r="T129"/>
  <c r="E122"/>
  <c r="E114"/>
  <c r="U103"/>
  <c r="N111"/>
  <c r="O113"/>
  <c r="X108"/>
  <c r="F130"/>
  <c r="V118"/>
  <c r="S103"/>
  <c r="S104"/>
  <c r="H118"/>
  <c r="H119"/>
  <c r="R109"/>
  <c r="I122"/>
  <c r="P120"/>
  <c r="T117"/>
  <c r="T110"/>
  <c r="T112"/>
  <c r="T101"/>
  <c r="Q127"/>
  <c r="E105"/>
  <c r="E125"/>
  <c r="U131"/>
  <c r="K108"/>
  <c r="N117"/>
  <c r="O111"/>
  <c r="O130"/>
  <c r="M116"/>
  <c r="L131"/>
  <c r="L115"/>
  <c r="L109"/>
  <c r="W101"/>
  <c r="W106"/>
  <c r="W124"/>
  <c r="F128"/>
  <c r="V119"/>
  <c r="V112"/>
  <c r="S105"/>
  <c r="H104"/>
  <c r="H124"/>
  <c r="H129"/>
  <c r="J127"/>
  <c r="J128"/>
  <c r="R116"/>
  <c r="I123"/>
  <c r="I106"/>
  <c r="I119"/>
  <c r="P115"/>
  <c r="P131"/>
  <c r="P125"/>
  <c r="T124"/>
  <c r="T113"/>
  <c r="T115"/>
  <c r="Q114"/>
  <c r="Q115"/>
  <c r="Q116"/>
  <c r="C10"/>
  <c r="E123"/>
  <c r="E131"/>
  <c r="E118"/>
  <c r="E107"/>
  <c r="U126"/>
  <c r="U118"/>
  <c r="U101"/>
  <c r="K109"/>
  <c r="P107"/>
  <c r="P117"/>
  <c r="P113"/>
  <c r="P126"/>
  <c r="P128"/>
  <c r="P104"/>
  <c r="T119"/>
  <c r="T125"/>
  <c r="T127"/>
  <c r="T120"/>
  <c r="T107"/>
  <c r="T130"/>
  <c r="T108"/>
  <c r="Q109"/>
  <c r="Q107"/>
  <c r="Q111"/>
  <c r="Q122"/>
  <c r="Q119"/>
  <c r="Q105"/>
  <c r="Q128"/>
  <c r="Q103"/>
  <c r="Q112"/>
  <c r="E101"/>
  <c r="E127"/>
  <c r="E110"/>
  <c r="E128"/>
  <c r="E102"/>
  <c r="E129"/>
  <c r="E120"/>
  <c r="U104"/>
  <c r="U122"/>
  <c r="U113"/>
  <c r="U110"/>
  <c r="U128"/>
  <c r="U120"/>
  <c r="U105"/>
  <c r="K130"/>
  <c r="K117"/>
  <c r="K128"/>
  <c r="K113"/>
  <c r="K103"/>
  <c r="K131"/>
  <c r="K122"/>
  <c r="N129"/>
  <c r="N113"/>
  <c r="N121"/>
  <c r="N119"/>
  <c r="N127"/>
  <c r="N102"/>
  <c r="O103"/>
  <c r="O124"/>
  <c r="O105"/>
  <c r="O101"/>
  <c r="O109"/>
  <c r="O125"/>
  <c r="O126"/>
  <c r="O118"/>
  <c r="G128"/>
  <c r="G112"/>
  <c r="G109"/>
  <c r="G131"/>
  <c r="G120"/>
  <c r="G126"/>
  <c r="G105"/>
  <c r="G103"/>
  <c r="H125"/>
  <c r="M106"/>
  <c r="M118"/>
  <c r="M128"/>
  <c r="M126"/>
  <c r="M119"/>
  <c r="M101"/>
  <c r="M130"/>
  <c r="X130"/>
  <c r="X114"/>
  <c r="X117"/>
  <c r="X109"/>
  <c r="X126"/>
  <c r="X105"/>
  <c r="X123"/>
  <c r="X115"/>
  <c r="L127"/>
  <c r="L124"/>
  <c r="L111"/>
  <c r="L119"/>
  <c r="L121"/>
  <c r="L129"/>
  <c r="L105"/>
  <c r="L113"/>
  <c r="W114"/>
  <c r="W116"/>
  <c r="W110"/>
  <c r="W120"/>
  <c r="W121"/>
  <c r="W130"/>
  <c r="W103"/>
  <c r="F118"/>
  <c r="F124"/>
  <c r="F101"/>
  <c r="F113"/>
  <c r="F120"/>
  <c r="F103"/>
  <c r="V124"/>
  <c r="V103"/>
  <c r="V115"/>
  <c r="V130"/>
  <c r="V106"/>
  <c r="S113"/>
  <c r="S101"/>
  <c r="S111"/>
  <c r="S123"/>
  <c r="S116"/>
  <c r="S131"/>
  <c r="S121"/>
  <c r="S117"/>
  <c r="H120"/>
  <c r="H105"/>
  <c r="H112"/>
  <c r="H116"/>
  <c r="H107"/>
  <c r="H122"/>
  <c r="H127"/>
  <c r="J104"/>
  <c r="J107"/>
  <c r="J111"/>
  <c r="J125"/>
  <c r="J105"/>
  <c r="R126"/>
  <c r="R129"/>
  <c r="R113"/>
  <c r="R102"/>
  <c r="R123"/>
  <c r="R111"/>
  <c r="I108"/>
  <c r="I129"/>
  <c r="I125"/>
  <c r="I109"/>
  <c r="I101"/>
  <c r="I117"/>
  <c r="I104"/>
  <c r="G77" i="19"/>
  <c r="F134"/>
  <c r="F162"/>
  <c r="F133"/>
  <c r="F132"/>
  <c r="G94"/>
  <c r="G131" s="1"/>
  <c r="G85"/>
  <c r="G96" s="1"/>
  <c r="G72"/>
  <c r="H69"/>
  <c r="H70"/>
  <c r="I68"/>
  <c r="F149"/>
  <c r="F143"/>
  <c r="F155"/>
  <c r="F161"/>
  <c r="F147"/>
  <c r="F153"/>
  <c r="F141"/>
  <c r="F138"/>
  <c r="F151"/>
  <c r="F145"/>
  <c r="F135"/>
  <c r="F156"/>
  <c r="F139"/>
  <c r="F158"/>
  <c r="F146"/>
  <c r="G76"/>
  <c r="F79"/>
  <c r="F150"/>
  <c r="F152"/>
  <c r="F154"/>
  <c r="F136"/>
  <c r="F160"/>
  <c r="F140"/>
  <c r="F148"/>
  <c r="G95" l="1"/>
  <c r="G133" s="1"/>
  <c r="I145" i="18"/>
  <c r="W48" i="19"/>
  <c r="W63" s="1"/>
  <c r="I144" i="18"/>
  <c r="W47" i="19"/>
  <c r="W62" s="1"/>
  <c r="E147"/>
  <c r="E162"/>
  <c r="E152"/>
  <c r="E146"/>
  <c r="E156"/>
  <c r="E161"/>
  <c r="E153"/>
  <c r="E157"/>
  <c r="E149"/>
  <c r="E136"/>
  <c r="E143"/>
  <c r="E158"/>
  <c r="E150"/>
  <c r="E140"/>
  <c r="E132"/>
  <c r="E148"/>
  <c r="E155"/>
  <c r="E159"/>
  <c r="E154"/>
  <c r="E144"/>
  <c r="E133"/>
  <c r="E138"/>
  <c r="E142"/>
  <c r="E145"/>
  <c r="E139"/>
  <c r="E151"/>
  <c r="E134"/>
  <c r="E160"/>
  <c r="E135"/>
  <c r="E141"/>
  <c r="V133" i="18"/>
  <c r="I133"/>
  <c r="R133"/>
  <c r="Q133"/>
  <c r="N133"/>
  <c r="X133"/>
  <c r="F133"/>
  <c r="L133"/>
  <c r="Y94" i="19"/>
  <c r="Y131" s="1"/>
  <c r="M133" i="18"/>
  <c r="P133"/>
  <c r="E133"/>
  <c r="E134" s="1"/>
  <c r="H133"/>
  <c r="O133"/>
  <c r="W133"/>
  <c r="U133"/>
  <c r="Y125"/>
  <c r="G133"/>
  <c r="K133"/>
  <c r="J133"/>
  <c r="S133"/>
  <c r="T133"/>
  <c r="Y127"/>
  <c r="Y115"/>
  <c r="Y101"/>
  <c r="Y131"/>
  <c r="Y111"/>
  <c r="Y120"/>
  <c r="Y106"/>
  <c r="Y102"/>
  <c r="Y129"/>
  <c r="Y122"/>
  <c r="Y124"/>
  <c r="Y126"/>
  <c r="Y114"/>
  <c r="E156"/>
  <c r="Y156" s="1"/>
  <c r="Y160" s="1"/>
  <c r="Y116"/>
  <c r="Y113"/>
  <c r="Y121"/>
  <c r="Y104"/>
  <c r="Y128"/>
  <c r="Y123"/>
  <c r="Y108"/>
  <c r="Y118"/>
  <c r="Y110"/>
  <c r="Y112"/>
  <c r="Y103"/>
  <c r="Y119"/>
  <c r="Y109"/>
  <c r="G124" i="19"/>
  <c r="G113"/>
  <c r="G99"/>
  <c r="G110"/>
  <c r="G116"/>
  <c r="G114"/>
  <c r="G103"/>
  <c r="G112"/>
  <c r="G101"/>
  <c r="G106"/>
  <c r="G115"/>
  <c r="G108"/>
  <c r="G97"/>
  <c r="G134" s="1"/>
  <c r="G104"/>
  <c r="G123"/>
  <c r="G111"/>
  <c r="G100"/>
  <c r="G118"/>
  <c r="G119"/>
  <c r="G107"/>
  <c r="G121"/>
  <c r="G117"/>
  <c r="G88"/>
  <c r="G102"/>
  <c r="G105"/>
  <c r="G125"/>
  <c r="G109"/>
  <c r="G98"/>
  <c r="G120"/>
  <c r="G122"/>
  <c r="H94"/>
  <c r="H131" s="1"/>
  <c r="I70"/>
  <c r="I86" s="1"/>
  <c r="I69"/>
  <c r="H72"/>
  <c r="H85"/>
  <c r="J68"/>
  <c r="H86"/>
  <c r="H77"/>
  <c r="F164"/>
  <c r="G79"/>
  <c r="H76"/>
  <c r="G132" l="1"/>
  <c r="J145" i="18"/>
  <c r="K145" s="1"/>
  <c r="L145" s="1"/>
  <c r="M145" s="1"/>
  <c r="N145" s="1"/>
  <c r="O145" s="1"/>
  <c r="P145" s="1"/>
  <c r="Q145" s="1"/>
  <c r="R145" s="1"/>
  <c r="S145" s="1"/>
  <c r="T145" s="1"/>
  <c r="U145" s="1"/>
  <c r="V145" s="1"/>
  <c r="W145" s="1"/>
  <c r="X145" s="1"/>
  <c r="X48" i="19"/>
  <c r="X63" s="1"/>
  <c r="Z63" s="1"/>
  <c r="Y63" s="1"/>
  <c r="Y86" s="1"/>
  <c r="J144" i="18"/>
  <c r="K144" s="1"/>
  <c r="L144" s="1"/>
  <c r="M144" s="1"/>
  <c r="N144" s="1"/>
  <c r="O144" s="1"/>
  <c r="P144" s="1"/>
  <c r="Q144" s="1"/>
  <c r="R144" s="1"/>
  <c r="S144" s="1"/>
  <c r="T144" s="1"/>
  <c r="U144" s="1"/>
  <c r="V144" s="1"/>
  <c r="W144" s="1"/>
  <c r="X144" s="1"/>
  <c r="X47" i="19"/>
  <c r="F134" i="18"/>
  <c r="G134" s="1"/>
  <c r="H134" s="1"/>
  <c r="I134" s="1"/>
  <c r="J134" s="1"/>
  <c r="K134" s="1"/>
  <c r="L134" s="1"/>
  <c r="M134" s="1"/>
  <c r="N134" s="1"/>
  <c r="O134" s="1"/>
  <c r="P134" s="1"/>
  <c r="Q134" s="1"/>
  <c r="R134" s="1"/>
  <c r="S134" s="1"/>
  <c r="T134" s="1"/>
  <c r="U134" s="1"/>
  <c r="V134" s="1"/>
  <c r="W134" s="1"/>
  <c r="X134" s="1"/>
  <c r="E164" i="19"/>
  <c r="Y134" i="18"/>
  <c r="G151" i="19"/>
  <c r="G154"/>
  <c r="G162"/>
  <c r="I77"/>
  <c r="G142"/>
  <c r="G159"/>
  <c r="G148"/>
  <c r="G146"/>
  <c r="G156"/>
  <c r="G160"/>
  <c r="G152"/>
  <c r="G140"/>
  <c r="G136"/>
  <c r="G135"/>
  <c r="G139"/>
  <c r="G144"/>
  <c r="G145"/>
  <c r="G149"/>
  <c r="G147"/>
  <c r="G157"/>
  <c r="G158"/>
  <c r="G137"/>
  <c r="G138"/>
  <c r="G153"/>
  <c r="G161"/>
  <c r="G155"/>
  <c r="G141"/>
  <c r="G143"/>
  <c r="G150"/>
  <c r="K68"/>
  <c r="J70"/>
  <c r="J86" s="1"/>
  <c r="J69"/>
  <c r="H88"/>
  <c r="H105"/>
  <c r="H117"/>
  <c r="H124"/>
  <c r="H121"/>
  <c r="H97"/>
  <c r="H122"/>
  <c r="H110"/>
  <c r="H123"/>
  <c r="H98"/>
  <c r="H107"/>
  <c r="H112"/>
  <c r="H111"/>
  <c r="H120"/>
  <c r="H99"/>
  <c r="H114"/>
  <c r="H106"/>
  <c r="H115"/>
  <c r="H104"/>
  <c r="H113"/>
  <c r="H116"/>
  <c r="H102"/>
  <c r="H118"/>
  <c r="H155" s="1"/>
  <c r="H109"/>
  <c r="H101"/>
  <c r="H108"/>
  <c r="H103"/>
  <c r="H119"/>
  <c r="H125"/>
  <c r="H100"/>
  <c r="I94"/>
  <c r="I131" s="1"/>
  <c r="H95"/>
  <c r="H132" s="1"/>
  <c r="H96"/>
  <c r="I72"/>
  <c r="I85"/>
  <c r="I96" s="1"/>
  <c r="H79"/>
  <c r="I76"/>
  <c r="Z47" l="1"/>
  <c r="X62"/>
  <c r="Z62" s="1"/>
  <c r="Y62" s="1"/>
  <c r="Z48"/>
  <c r="I95"/>
  <c r="I132" s="1"/>
  <c r="J94"/>
  <c r="J131" s="1"/>
  <c r="H150"/>
  <c r="H137"/>
  <c r="H133"/>
  <c r="H149"/>
  <c r="H161"/>
  <c r="G164"/>
  <c r="H135"/>
  <c r="H140"/>
  <c r="H136"/>
  <c r="H156"/>
  <c r="H146"/>
  <c r="H153"/>
  <c r="H143"/>
  <c r="H160"/>
  <c r="H158"/>
  <c r="I102"/>
  <c r="I115"/>
  <c r="I124"/>
  <c r="I105"/>
  <c r="I114"/>
  <c r="I98"/>
  <c r="I108"/>
  <c r="I117"/>
  <c r="I122"/>
  <c r="I120"/>
  <c r="I101"/>
  <c r="I99"/>
  <c r="I106"/>
  <c r="I125"/>
  <c r="I109"/>
  <c r="I118"/>
  <c r="I111"/>
  <c r="I97"/>
  <c r="I134" s="1"/>
  <c r="I107"/>
  <c r="I110"/>
  <c r="I88"/>
  <c r="I112"/>
  <c r="I113"/>
  <c r="I121"/>
  <c r="I103"/>
  <c r="I140" s="1"/>
  <c r="I104"/>
  <c r="I116"/>
  <c r="I119"/>
  <c r="I156" s="1"/>
  <c r="I100"/>
  <c r="I123"/>
  <c r="H138"/>
  <c r="H148"/>
  <c r="J77"/>
  <c r="H162"/>
  <c r="H145"/>
  <c r="H139"/>
  <c r="H152"/>
  <c r="H157"/>
  <c r="H134"/>
  <c r="H142"/>
  <c r="J72"/>
  <c r="J85"/>
  <c r="J96" s="1"/>
  <c r="H141"/>
  <c r="H144"/>
  <c r="H159"/>
  <c r="H154"/>
  <c r="L68"/>
  <c r="K69"/>
  <c r="K70"/>
  <c r="K86" s="1"/>
  <c r="H151"/>
  <c r="H147"/>
  <c r="J76"/>
  <c r="I79"/>
  <c r="Y65" l="1"/>
  <c r="Y85"/>
  <c r="J95"/>
  <c r="J133" s="1"/>
  <c r="I133"/>
  <c r="I146"/>
  <c r="I155"/>
  <c r="K94"/>
  <c r="K131" s="1"/>
  <c r="I141"/>
  <c r="I160"/>
  <c r="I149"/>
  <c r="I144"/>
  <c r="I162"/>
  <c r="I152"/>
  <c r="H164"/>
  <c r="I137"/>
  <c r="I148"/>
  <c r="I143"/>
  <c r="I159"/>
  <c r="I157"/>
  <c r="I151"/>
  <c r="I139"/>
  <c r="I135"/>
  <c r="I153"/>
  <c r="I150"/>
  <c r="I138"/>
  <c r="I145"/>
  <c r="I161"/>
  <c r="M68"/>
  <c r="K85"/>
  <c r="K96" s="1"/>
  <c r="K72"/>
  <c r="J119"/>
  <c r="J122"/>
  <c r="J120"/>
  <c r="J110"/>
  <c r="J117"/>
  <c r="J98"/>
  <c r="J125"/>
  <c r="J102"/>
  <c r="J112"/>
  <c r="J101"/>
  <c r="J97"/>
  <c r="J134" s="1"/>
  <c r="J111"/>
  <c r="J124"/>
  <c r="J113"/>
  <c r="J115"/>
  <c r="J114"/>
  <c r="J123"/>
  <c r="J109"/>
  <c r="J121"/>
  <c r="J116"/>
  <c r="J108"/>
  <c r="J105"/>
  <c r="J106"/>
  <c r="J99"/>
  <c r="J118"/>
  <c r="J103"/>
  <c r="J88"/>
  <c r="J107"/>
  <c r="J100"/>
  <c r="J104"/>
  <c r="L69"/>
  <c r="L70"/>
  <c r="L86" s="1"/>
  <c r="K77"/>
  <c r="I158"/>
  <c r="I147"/>
  <c r="I136"/>
  <c r="I154"/>
  <c r="I142"/>
  <c r="K76"/>
  <c r="J79"/>
  <c r="Y95" l="1"/>
  <c r="Y132" s="1"/>
  <c r="Y88"/>
  <c r="Y118"/>
  <c r="Y125"/>
  <c r="Y108"/>
  <c r="Y99"/>
  <c r="Y136" s="1"/>
  <c r="Y115"/>
  <c r="Y112"/>
  <c r="Y116"/>
  <c r="Y114"/>
  <c r="Y151" s="1"/>
  <c r="Y122"/>
  <c r="Y106"/>
  <c r="Y143" s="1"/>
  <c r="Y105"/>
  <c r="Y97"/>
  <c r="Y103"/>
  <c r="Y119"/>
  <c r="Y111"/>
  <c r="Y120"/>
  <c r="Y157" s="1"/>
  <c r="Y104"/>
  <c r="Y141" s="1"/>
  <c r="Y101"/>
  <c r="Y124"/>
  <c r="Y96"/>
  <c r="Y133" s="1"/>
  <c r="Y98"/>
  <c r="Y110"/>
  <c r="Y107"/>
  <c r="Y144" s="1"/>
  <c r="Y100"/>
  <c r="Y137" s="1"/>
  <c r="Y121"/>
  <c r="Y113"/>
  <c r="Y150" s="1"/>
  <c r="Y109"/>
  <c r="Y146" s="1"/>
  <c r="Y102"/>
  <c r="Y139" s="1"/>
  <c r="Y117"/>
  <c r="Y154" s="1"/>
  <c r="Y123"/>
  <c r="K95"/>
  <c r="J132"/>
  <c r="J158"/>
  <c r="J155"/>
  <c r="L94"/>
  <c r="L131" s="1"/>
  <c r="K132"/>
  <c r="J148"/>
  <c r="J140"/>
  <c r="J146"/>
  <c r="J150"/>
  <c r="L77"/>
  <c r="J141"/>
  <c r="J144"/>
  <c r="J153"/>
  <c r="J137"/>
  <c r="J135"/>
  <c r="J159"/>
  <c r="J138"/>
  <c r="N68"/>
  <c r="L72"/>
  <c r="L85"/>
  <c r="L95" s="1"/>
  <c r="M69"/>
  <c r="M70"/>
  <c r="M86" s="1"/>
  <c r="J142"/>
  <c r="J143"/>
  <c r="J152"/>
  <c r="J162"/>
  <c r="J157"/>
  <c r="K133"/>
  <c r="K108"/>
  <c r="K122"/>
  <c r="K105"/>
  <c r="K118"/>
  <c r="K98"/>
  <c r="K119"/>
  <c r="K106"/>
  <c r="K114"/>
  <c r="K107"/>
  <c r="K102"/>
  <c r="K104"/>
  <c r="K112"/>
  <c r="K97"/>
  <c r="K134" s="1"/>
  <c r="K117"/>
  <c r="K121"/>
  <c r="K88"/>
  <c r="K110"/>
  <c r="K116"/>
  <c r="K115"/>
  <c r="K100"/>
  <c r="K103"/>
  <c r="K113"/>
  <c r="K111"/>
  <c r="K101"/>
  <c r="K109"/>
  <c r="K125"/>
  <c r="K124"/>
  <c r="K99"/>
  <c r="K123"/>
  <c r="K120"/>
  <c r="J136"/>
  <c r="J151"/>
  <c r="J139"/>
  <c r="J147"/>
  <c r="I164"/>
  <c r="J145"/>
  <c r="J160"/>
  <c r="J161"/>
  <c r="J149"/>
  <c r="J154"/>
  <c r="J156"/>
  <c r="K79"/>
  <c r="L76"/>
  <c r="Y134" l="1"/>
  <c r="Y135"/>
  <c r="Y159"/>
  <c r="Y155"/>
  <c r="Y161"/>
  <c r="Y148"/>
  <c r="Y142"/>
  <c r="Y153"/>
  <c r="Y145"/>
  <c r="Y158"/>
  <c r="Y140"/>
  <c r="Y152"/>
  <c r="Y160"/>
  <c r="Y147"/>
  <c r="Y138"/>
  <c r="Y156"/>
  <c r="Y149"/>
  <c r="Y165" s="1"/>
  <c r="E165" s="1"/>
  <c r="F165" s="1"/>
  <c r="G165" s="1"/>
  <c r="H165" s="1"/>
  <c r="I165" s="1"/>
  <c r="Y162"/>
  <c r="L96"/>
  <c r="L133" s="1"/>
  <c r="L132"/>
  <c r="K143"/>
  <c r="K146"/>
  <c r="J164"/>
  <c r="M94"/>
  <c r="M131" s="1"/>
  <c r="K157"/>
  <c r="M77"/>
  <c r="K161"/>
  <c r="K148"/>
  <c r="K136"/>
  <c r="K141"/>
  <c r="K150"/>
  <c r="K156"/>
  <c r="K152"/>
  <c r="K158"/>
  <c r="K162"/>
  <c r="K153"/>
  <c r="K154"/>
  <c r="K139"/>
  <c r="K159"/>
  <c r="M72"/>
  <c r="M85"/>
  <c r="M96" s="1"/>
  <c r="O68"/>
  <c r="N69"/>
  <c r="N70"/>
  <c r="N86" s="1"/>
  <c r="K137"/>
  <c r="K149"/>
  <c r="K151"/>
  <c r="K155"/>
  <c r="L118"/>
  <c r="L102"/>
  <c r="L105"/>
  <c r="L98"/>
  <c r="L111"/>
  <c r="L100"/>
  <c r="L124"/>
  <c r="L88"/>
  <c r="L115"/>
  <c r="L113"/>
  <c r="L117"/>
  <c r="L125"/>
  <c r="L101"/>
  <c r="L110"/>
  <c r="L103"/>
  <c r="L107"/>
  <c r="L108"/>
  <c r="L116"/>
  <c r="L112"/>
  <c r="L123"/>
  <c r="L119"/>
  <c r="L156" s="1"/>
  <c r="L114"/>
  <c r="L151" s="1"/>
  <c r="L121"/>
  <c r="L122"/>
  <c r="L120"/>
  <c r="L99"/>
  <c r="L104"/>
  <c r="L141" s="1"/>
  <c r="L97"/>
  <c r="L106"/>
  <c r="L109"/>
  <c r="K142"/>
  <c r="K138"/>
  <c r="K160"/>
  <c r="K140"/>
  <c r="K147"/>
  <c r="K144"/>
  <c r="K135"/>
  <c r="K145"/>
  <c r="L79"/>
  <c r="M76"/>
  <c r="L134" l="1"/>
  <c r="M95"/>
  <c r="M132" s="1"/>
  <c r="J165"/>
  <c r="K164"/>
  <c r="N94"/>
  <c r="N131" s="1"/>
  <c r="L157"/>
  <c r="L136"/>
  <c r="L153"/>
  <c r="M133"/>
  <c r="L146"/>
  <c r="L162"/>
  <c r="L159"/>
  <c r="L143"/>
  <c r="L145"/>
  <c r="L138"/>
  <c r="L155"/>
  <c r="L150"/>
  <c r="N72"/>
  <c r="N85"/>
  <c r="N95" s="1"/>
  <c r="M102"/>
  <c r="M111"/>
  <c r="M106"/>
  <c r="M103"/>
  <c r="M110"/>
  <c r="M125"/>
  <c r="M109"/>
  <c r="M116"/>
  <c r="M115"/>
  <c r="M120"/>
  <c r="M123"/>
  <c r="M124"/>
  <c r="M105"/>
  <c r="M118"/>
  <c r="M107"/>
  <c r="M144" s="1"/>
  <c r="M88"/>
  <c r="M104"/>
  <c r="M108"/>
  <c r="M112"/>
  <c r="M114"/>
  <c r="M98"/>
  <c r="M99"/>
  <c r="M119"/>
  <c r="M122"/>
  <c r="M121"/>
  <c r="M117"/>
  <c r="M100"/>
  <c r="M97"/>
  <c r="M134" s="1"/>
  <c r="M113"/>
  <c r="M101"/>
  <c r="L147"/>
  <c r="L137"/>
  <c r="L139"/>
  <c r="L158"/>
  <c r="L149"/>
  <c r="L140"/>
  <c r="L154"/>
  <c r="L161"/>
  <c r="L142"/>
  <c r="P68"/>
  <c r="O69"/>
  <c r="O94"/>
  <c r="O131" s="1"/>
  <c r="O70"/>
  <c r="O86" s="1"/>
  <c r="L160"/>
  <c r="L144"/>
  <c r="L135"/>
  <c r="N77"/>
  <c r="L152"/>
  <c r="L148"/>
  <c r="N76"/>
  <c r="M79"/>
  <c r="N96" l="1"/>
  <c r="N133" s="1"/>
  <c r="N132"/>
  <c r="K165"/>
  <c r="L164"/>
  <c r="M149"/>
  <c r="M156"/>
  <c r="O77"/>
  <c r="M137"/>
  <c r="M159"/>
  <c r="M151"/>
  <c r="M153"/>
  <c r="M140"/>
  <c r="M160"/>
  <c r="M146"/>
  <c r="M143"/>
  <c r="M141"/>
  <c r="M154"/>
  <c r="M136"/>
  <c r="M148"/>
  <c r="Q68"/>
  <c r="M138"/>
  <c r="M145"/>
  <c r="M155"/>
  <c r="M157"/>
  <c r="M162"/>
  <c r="O72"/>
  <c r="O85"/>
  <c r="O96" s="1"/>
  <c r="P70"/>
  <c r="P86" s="1"/>
  <c r="P69"/>
  <c r="N117"/>
  <c r="N122"/>
  <c r="N125"/>
  <c r="N100"/>
  <c r="N105"/>
  <c r="N123"/>
  <c r="N99"/>
  <c r="N88"/>
  <c r="N103"/>
  <c r="N97"/>
  <c r="N107"/>
  <c r="N119"/>
  <c r="N104"/>
  <c r="N109"/>
  <c r="N106"/>
  <c r="N114"/>
  <c r="N101"/>
  <c r="N110"/>
  <c r="N147" s="1"/>
  <c r="N120"/>
  <c r="N108"/>
  <c r="N121"/>
  <c r="N111"/>
  <c r="N118"/>
  <c r="N102"/>
  <c r="N115"/>
  <c r="N112"/>
  <c r="N98"/>
  <c r="N113"/>
  <c r="N124"/>
  <c r="N116"/>
  <c r="M161"/>
  <c r="O95"/>
  <c r="O132" s="1"/>
  <c r="M150"/>
  <c r="M158"/>
  <c r="M135"/>
  <c r="M142"/>
  <c r="M152"/>
  <c r="M147"/>
  <c r="M139"/>
  <c r="O76"/>
  <c r="N79"/>
  <c r="N134" l="1"/>
  <c r="N141"/>
  <c r="P94"/>
  <c r="P131" s="1"/>
  <c r="N148"/>
  <c r="L165"/>
  <c r="M164"/>
  <c r="P77"/>
  <c r="N157"/>
  <c r="N152"/>
  <c r="N138"/>
  <c r="N153"/>
  <c r="N146"/>
  <c r="N155"/>
  <c r="N143"/>
  <c r="N149"/>
  <c r="N160"/>
  <c r="O133"/>
  <c r="N161"/>
  <c r="N140"/>
  <c r="N135"/>
  <c r="N162"/>
  <c r="R68"/>
  <c r="O124"/>
  <c r="O97"/>
  <c r="O134" s="1"/>
  <c r="O101"/>
  <c r="O105"/>
  <c r="O125"/>
  <c r="O103"/>
  <c r="O107"/>
  <c r="O112"/>
  <c r="O98"/>
  <c r="O118"/>
  <c r="O123"/>
  <c r="O113"/>
  <c r="O100"/>
  <c r="O104"/>
  <c r="O141" s="1"/>
  <c r="O108"/>
  <c r="O145" s="1"/>
  <c r="O114"/>
  <c r="O116"/>
  <c r="O111"/>
  <c r="O121"/>
  <c r="O106"/>
  <c r="O143" s="1"/>
  <c r="O88"/>
  <c r="O102"/>
  <c r="O120"/>
  <c r="O115"/>
  <c r="O152" s="1"/>
  <c r="O119"/>
  <c r="O117"/>
  <c r="O110"/>
  <c r="O122"/>
  <c r="O99"/>
  <c r="O136" s="1"/>
  <c r="O109"/>
  <c r="P72"/>
  <c r="P85"/>
  <c r="P95" s="1"/>
  <c r="N144"/>
  <c r="N136"/>
  <c r="N150"/>
  <c r="N139"/>
  <c r="N145"/>
  <c r="N151"/>
  <c r="N156"/>
  <c r="N137"/>
  <c r="N158"/>
  <c r="N142"/>
  <c r="N154"/>
  <c r="Q70"/>
  <c r="Q86" s="1"/>
  <c r="Q69"/>
  <c r="N159"/>
  <c r="O79"/>
  <c r="P76"/>
  <c r="P96" l="1"/>
  <c r="P133" s="1"/>
  <c r="O151"/>
  <c r="P132"/>
  <c r="Q94"/>
  <c r="Q131" s="1"/>
  <c r="M165"/>
  <c r="N164"/>
  <c r="O150"/>
  <c r="O154"/>
  <c r="O162"/>
  <c r="O146"/>
  <c r="O139"/>
  <c r="O159"/>
  <c r="O147"/>
  <c r="O157"/>
  <c r="O149"/>
  <c r="O142"/>
  <c r="O135"/>
  <c r="S68"/>
  <c r="Q72"/>
  <c r="Q85"/>
  <c r="Q77"/>
  <c r="O156"/>
  <c r="O153"/>
  <c r="O137"/>
  <c r="O161"/>
  <c r="P123"/>
  <c r="P98"/>
  <c r="P107"/>
  <c r="P108"/>
  <c r="P119"/>
  <c r="P125"/>
  <c r="P101"/>
  <c r="P88"/>
  <c r="P105"/>
  <c r="P117"/>
  <c r="P124"/>
  <c r="P118"/>
  <c r="P106"/>
  <c r="P115"/>
  <c r="P112"/>
  <c r="P103"/>
  <c r="P100"/>
  <c r="P109"/>
  <c r="P121"/>
  <c r="P97"/>
  <c r="P122"/>
  <c r="P110"/>
  <c r="P116"/>
  <c r="P120"/>
  <c r="P102"/>
  <c r="P104"/>
  <c r="P111"/>
  <c r="P114"/>
  <c r="P99"/>
  <c r="P113"/>
  <c r="R69"/>
  <c r="R70"/>
  <c r="R86" s="1"/>
  <c r="O148"/>
  <c r="O155"/>
  <c r="O140"/>
  <c r="Q95"/>
  <c r="Q96"/>
  <c r="O158"/>
  <c r="O160"/>
  <c r="O144"/>
  <c r="O138"/>
  <c r="P79"/>
  <c r="Q76"/>
  <c r="P134" l="1"/>
  <c r="P147"/>
  <c r="Q132"/>
  <c r="N165"/>
  <c r="O164"/>
  <c r="R94"/>
  <c r="R131" s="1"/>
  <c r="P136"/>
  <c r="Q133"/>
  <c r="P139"/>
  <c r="P159"/>
  <c r="P156"/>
  <c r="P146"/>
  <c r="R77"/>
  <c r="P150"/>
  <c r="P141"/>
  <c r="P152"/>
  <c r="P154"/>
  <c r="P162"/>
  <c r="P135"/>
  <c r="P145"/>
  <c r="P143"/>
  <c r="T68"/>
  <c r="Q120"/>
  <c r="Q101"/>
  <c r="Q110"/>
  <c r="Q115"/>
  <c r="Q125"/>
  <c r="Q109"/>
  <c r="Q116"/>
  <c r="Q97"/>
  <c r="Q134" s="1"/>
  <c r="Q105"/>
  <c r="Q103"/>
  <c r="Q106"/>
  <c r="Q124"/>
  <c r="Q100"/>
  <c r="Q108"/>
  <c r="Q122"/>
  <c r="Q111"/>
  <c r="Q102"/>
  <c r="Q121"/>
  <c r="Q104"/>
  <c r="Q119"/>
  <c r="Q117"/>
  <c r="Q107"/>
  <c r="Q114"/>
  <c r="Q98"/>
  <c r="Q135" s="1"/>
  <c r="Q118"/>
  <c r="Q99"/>
  <c r="Q113"/>
  <c r="Q88"/>
  <c r="Q112"/>
  <c r="Q123"/>
  <c r="P148"/>
  <c r="P153"/>
  <c r="P158"/>
  <c r="P149"/>
  <c r="P161"/>
  <c r="P138"/>
  <c r="P144"/>
  <c r="S70"/>
  <c r="S86" s="1"/>
  <c r="S69"/>
  <c r="P151"/>
  <c r="P157"/>
  <c r="P140"/>
  <c r="P155"/>
  <c r="R72"/>
  <c r="R85"/>
  <c r="R95" s="1"/>
  <c r="P137"/>
  <c r="P142"/>
  <c r="P160"/>
  <c r="R76"/>
  <c r="Q79"/>
  <c r="R96" l="1"/>
  <c r="R133" s="1"/>
  <c r="R132"/>
  <c r="O165"/>
  <c r="P164"/>
  <c r="S94"/>
  <c r="S131" s="1"/>
  <c r="Q141"/>
  <c r="Q155"/>
  <c r="Q150"/>
  <c r="Q158"/>
  <c r="Q140"/>
  <c r="Q138"/>
  <c r="Q143"/>
  <c r="Q156"/>
  <c r="Q160"/>
  <c r="Q144"/>
  <c r="Q148"/>
  <c r="Q161"/>
  <c r="Q152"/>
  <c r="U68"/>
  <c r="S77"/>
  <c r="Q149"/>
  <c r="Q154"/>
  <c r="Q139"/>
  <c r="Q137"/>
  <c r="Q142"/>
  <c r="Q162"/>
  <c r="Q157"/>
  <c r="R119"/>
  <c r="R108"/>
  <c r="R123"/>
  <c r="R99"/>
  <c r="R125"/>
  <c r="R115"/>
  <c r="R124"/>
  <c r="R104"/>
  <c r="R106"/>
  <c r="R105"/>
  <c r="R97"/>
  <c r="R134" s="1"/>
  <c r="R109"/>
  <c r="R102"/>
  <c r="R100"/>
  <c r="R122"/>
  <c r="R98"/>
  <c r="R88"/>
  <c r="R111"/>
  <c r="R107"/>
  <c r="R117"/>
  <c r="R110"/>
  <c r="R121"/>
  <c r="R116"/>
  <c r="R118"/>
  <c r="R120"/>
  <c r="R157" s="1"/>
  <c r="R112"/>
  <c r="R149" s="1"/>
  <c r="R114"/>
  <c r="R101"/>
  <c r="R103"/>
  <c r="R140" s="1"/>
  <c r="R113"/>
  <c r="S85"/>
  <c r="S96" s="1"/>
  <c r="S72"/>
  <c r="T70"/>
  <c r="T86" s="1"/>
  <c r="T69"/>
  <c r="Q136"/>
  <c r="Q145"/>
  <c r="Q146"/>
  <c r="Q151"/>
  <c r="Q159"/>
  <c r="Q153"/>
  <c r="Q147"/>
  <c r="S76"/>
  <c r="R79"/>
  <c r="S95" l="1"/>
  <c r="S133" s="1"/>
  <c r="R161"/>
  <c r="R150"/>
  <c r="P165"/>
  <c r="S132"/>
  <c r="T94"/>
  <c r="T131" s="1"/>
  <c r="Q164"/>
  <c r="R155"/>
  <c r="R147"/>
  <c r="R139"/>
  <c r="R156"/>
  <c r="R135"/>
  <c r="R143"/>
  <c r="R162"/>
  <c r="R137"/>
  <c r="R142"/>
  <c r="R152"/>
  <c r="R145"/>
  <c r="R154"/>
  <c r="R138"/>
  <c r="R146"/>
  <c r="R141"/>
  <c r="R136"/>
  <c r="T77"/>
  <c r="U70"/>
  <c r="U86" s="1"/>
  <c r="U69"/>
  <c r="R158"/>
  <c r="R148"/>
  <c r="V68"/>
  <c r="T72"/>
  <c r="T85"/>
  <c r="T95" s="1"/>
  <c r="S118"/>
  <c r="S107"/>
  <c r="S104"/>
  <c r="S119"/>
  <c r="S111"/>
  <c r="S123"/>
  <c r="S117"/>
  <c r="S121"/>
  <c r="S108"/>
  <c r="S101"/>
  <c r="S113"/>
  <c r="S120"/>
  <c r="S157" s="1"/>
  <c r="S114"/>
  <c r="S100"/>
  <c r="S109"/>
  <c r="S115"/>
  <c r="S97"/>
  <c r="S134" s="1"/>
  <c r="S112"/>
  <c r="S105"/>
  <c r="S142" s="1"/>
  <c r="S116"/>
  <c r="S99"/>
  <c r="S125"/>
  <c r="S110"/>
  <c r="S147" s="1"/>
  <c r="S103"/>
  <c r="S122"/>
  <c r="S106"/>
  <c r="S88"/>
  <c r="S98"/>
  <c r="S124"/>
  <c r="S102"/>
  <c r="R151"/>
  <c r="R153"/>
  <c r="R144"/>
  <c r="R159"/>
  <c r="R160"/>
  <c r="S79"/>
  <c r="T76"/>
  <c r="T132" l="1"/>
  <c r="T96"/>
  <c r="T133" s="1"/>
  <c r="S139"/>
  <c r="Q165"/>
  <c r="U94"/>
  <c r="U131" s="1"/>
  <c r="R164"/>
  <c r="S153"/>
  <c r="U77"/>
  <c r="S140"/>
  <c r="S161"/>
  <c r="S159"/>
  <c r="S151"/>
  <c r="S145"/>
  <c r="S148"/>
  <c r="S155"/>
  <c r="S143"/>
  <c r="S135"/>
  <c r="T111"/>
  <c r="T124"/>
  <c r="T103"/>
  <c r="T104"/>
  <c r="T105"/>
  <c r="T118"/>
  <c r="T102"/>
  <c r="T106"/>
  <c r="T99"/>
  <c r="T97"/>
  <c r="T125"/>
  <c r="T101"/>
  <c r="T117"/>
  <c r="T120"/>
  <c r="T113"/>
  <c r="T112"/>
  <c r="T115"/>
  <c r="T110"/>
  <c r="T122"/>
  <c r="T98"/>
  <c r="T121"/>
  <c r="T88"/>
  <c r="T123"/>
  <c r="T119"/>
  <c r="T109"/>
  <c r="T116"/>
  <c r="T108"/>
  <c r="T107"/>
  <c r="T144" s="1"/>
  <c r="T100"/>
  <c r="T137" s="1"/>
  <c r="T114"/>
  <c r="S152"/>
  <c r="S158"/>
  <c r="S156"/>
  <c r="S137"/>
  <c r="S144"/>
  <c r="W68"/>
  <c r="V69"/>
  <c r="V70"/>
  <c r="V86" s="1"/>
  <c r="U72"/>
  <c r="U85"/>
  <c r="U95" s="1"/>
  <c r="S136"/>
  <c r="S162"/>
  <c r="S149"/>
  <c r="S138"/>
  <c r="S160"/>
  <c r="S146"/>
  <c r="S150"/>
  <c r="S154"/>
  <c r="S141"/>
  <c r="T79"/>
  <c r="U76"/>
  <c r="U96" l="1"/>
  <c r="U133" s="1"/>
  <c r="T134"/>
  <c r="T160"/>
  <c r="R165"/>
  <c r="U132"/>
  <c r="V94"/>
  <c r="V131" s="1"/>
  <c r="S164"/>
  <c r="T153"/>
  <c r="T159"/>
  <c r="T162"/>
  <c r="T149"/>
  <c r="T156"/>
  <c r="T135"/>
  <c r="T143"/>
  <c r="T147"/>
  <c r="T155"/>
  <c r="T145"/>
  <c r="T150"/>
  <c r="T139"/>
  <c r="T140"/>
  <c r="V77"/>
  <c r="T151"/>
  <c r="T157"/>
  <c r="T161"/>
  <c r="T138"/>
  <c r="T141"/>
  <c r="W69"/>
  <c r="W70"/>
  <c r="W86" s="1"/>
  <c r="X68"/>
  <c r="U88"/>
  <c r="U112"/>
  <c r="U121"/>
  <c r="U109"/>
  <c r="U122"/>
  <c r="U97"/>
  <c r="U113"/>
  <c r="U101"/>
  <c r="U117"/>
  <c r="U98"/>
  <c r="U118"/>
  <c r="U107"/>
  <c r="U104"/>
  <c r="U99"/>
  <c r="U136" s="1"/>
  <c r="U108"/>
  <c r="U120"/>
  <c r="U105"/>
  <c r="U114"/>
  <c r="U111"/>
  <c r="U102"/>
  <c r="U139" s="1"/>
  <c r="U103"/>
  <c r="U106"/>
  <c r="U119"/>
  <c r="U124"/>
  <c r="U116"/>
  <c r="U110"/>
  <c r="U125"/>
  <c r="U115"/>
  <c r="U100"/>
  <c r="U123"/>
  <c r="V85"/>
  <c r="V95" s="1"/>
  <c r="V72"/>
  <c r="T146"/>
  <c r="T158"/>
  <c r="T152"/>
  <c r="T154"/>
  <c r="T136"/>
  <c r="T142"/>
  <c r="T148"/>
  <c r="V76"/>
  <c r="U79"/>
  <c r="U134" l="1"/>
  <c r="V96"/>
  <c r="V133" s="1"/>
  <c r="U135"/>
  <c r="S165"/>
  <c r="U156"/>
  <c r="U142"/>
  <c r="V132"/>
  <c r="W94"/>
  <c r="W131" s="1"/>
  <c r="T164"/>
  <c r="U155"/>
  <c r="U150"/>
  <c r="U137"/>
  <c r="U148"/>
  <c r="U152"/>
  <c r="U161"/>
  <c r="U157"/>
  <c r="U144"/>
  <c r="U138"/>
  <c r="U146"/>
  <c r="U159"/>
  <c r="V88"/>
  <c r="V113"/>
  <c r="V122"/>
  <c r="V114"/>
  <c r="V107"/>
  <c r="V124"/>
  <c r="V119"/>
  <c r="V104"/>
  <c r="V120"/>
  <c r="V108"/>
  <c r="V121"/>
  <c r="V115"/>
  <c r="V106"/>
  <c r="V125"/>
  <c r="V105"/>
  <c r="V109"/>
  <c r="V103"/>
  <c r="V123"/>
  <c r="V99"/>
  <c r="V117"/>
  <c r="V110"/>
  <c r="V118"/>
  <c r="V112"/>
  <c r="V116"/>
  <c r="V102"/>
  <c r="V98"/>
  <c r="V101"/>
  <c r="V100"/>
  <c r="V111"/>
  <c r="V97"/>
  <c r="X69"/>
  <c r="X70"/>
  <c r="X86" s="1"/>
  <c r="W72"/>
  <c r="W85"/>
  <c r="W95" s="1"/>
  <c r="U162"/>
  <c r="U145"/>
  <c r="U158"/>
  <c r="U140"/>
  <c r="U141"/>
  <c r="U154"/>
  <c r="W77"/>
  <c r="W96"/>
  <c r="U153"/>
  <c r="U160"/>
  <c r="U147"/>
  <c r="U143"/>
  <c r="U151"/>
  <c r="U149"/>
  <c r="W76"/>
  <c r="V79"/>
  <c r="V134" l="1"/>
  <c r="V153"/>
  <c r="V152"/>
  <c r="V148"/>
  <c r="T165"/>
  <c r="W132"/>
  <c r="X94"/>
  <c r="X131" s="1"/>
  <c r="U164"/>
  <c r="V162"/>
  <c r="X77"/>
  <c r="V142"/>
  <c r="V146"/>
  <c r="V151"/>
  <c r="V137"/>
  <c r="V139"/>
  <c r="V147"/>
  <c r="V143"/>
  <c r="V157"/>
  <c r="V160"/>
  <c r="V155"/>
  <c r="W88"/>
  <c r="W114"/>
  <c r="W121"/>
  <c r="W104"/>
  <c r="W108"/>
  <c r="W123"/>
  <c r="W118"/>
  <c r="W117"/>
  <c r="W112"/>
  <c r="W100"/>
  <c r="W109"/>
  <c r="W101"/>
  <c r="W111"/>
  <c r="W99"/>
  <c r="W105"/>
  <c r="W116"/>
  <c r="W120"/>
  <c r="W103"/>
  <c r="W107"/>
  <c r="W98"/>
  <c r="W124"/>
  <c r="W110"/>
  <c r="W102"/>
  <c r="W113"/>
  <c r="W125"/>
  <c r="W115"/>
  <c r="W152" s="1"/>
  <c r="W119"/>
  <c r="W156" s="1"/>
  <c r="W122"/>
  <c r="W106"/>
  <c r="W97"/>
  <c r="W134" s="1"/>
  <c r="W133"/>
  <c r="V154"/>
  <c r="V141"/>
  <c r="V140"/>
  <c r="V144"/>
  <c r="V135"/>
  <c r="V145"/>
  <c r="V161"/>
  <c r="V150"/>
  <c r="X72"/>
  <c r="X85"/>
  <c r="C10" s="1"/>
  <c r="V138"/>
  <c r="V149"/>
  <c r="V136"/>
  <c r="V158"/>
  <c r="V156"/>
  <c r="V159"/>
  <c r="W79"/>
  <c r="X76"/>
  <c r="X95" l="1"/>
  <c r="X132" s="1"/>
  <c r="X96"/>
  <c r="U165"/>
  <c r="X79"/>
  <c r="V164"/>
  <c r="W135"/>
  <c r="W153"/>
  <c r="W138"/>
  <c r="W161"/>
  <c r="W148"/>
  <c r="W159"/>
  <c r="W143"/>
  <c r="W146"/>
  <c r="W150"/>
  <c r="W141"/>
  <c r="X108"/>
  <c r="X118"/>
  <c r="X106"/>
  <c r="X99"/>
  <c r="X105"/>
  <c r="X124"/>
  <c r="X103"/>
  <c r="X88"/>
  <c r="X112"/>
  <c r="X119"/>
  <c r="X156" s="1"/>
  <c r="X125"/>
  <c r="X110"/>
  <c r="X117"/>
  <c r="X115"/>
  <c r="X107"/>
  <c r="X114"/>
  <c r="X111"/>
  <c r="X104"/>
  <c r="X101"/>
  <c r="X116"/>
  <c r="X100"/>
  <c r="X98"/>
  <c r="X97"/>
  <c r="X120"/>
  <c r="X123"/>
  <c r="X113"/>
  <c r="X109"/>
  <c r="X122"/>
  <c r="X102"/>
  <c r="X121"/>
  <c r="W139"/>
  <c r="W144"/>
  <c r="W142"/>
  <c r="W155"/>
  <c r="W158"/>
  <c r="W149"/>
  <c r="W145"/>
  <c r="W154"/>
  <c r="W162"/>
  <c r="W157"/>
  <c r="W147"/>
  <c r="W140"/>
  <c r="W136"/>
  <c r="W137"/>
  <c r="W160"/>
  <c r="W151"/>
  <c r="X133" l="1"/>
  <c r="X134"/>
  <c r="X144"/>
  <c r="V165"/>
  <c r="W164"/>
  <c r="X146"/>
  <c r="X150"/>
  <c r="X138"/>
  <c r="X162"/>
  <c r="X157"/>
  <c r="X135"/>
  <c r="X141"/>
  <c r="X159"/>
  <c r="X153"/>
  <c r="X151"/>
  <c r="X147"/>
  <c r="X136"/>
  <c r="X139"/>
  <c r="X160"/>
  <c r="X137"/>
  <c r="X148"/>
  <c r="X154"/>
  <c r="X149"/>
  <c r="X142"/>
  <c r="X145"/>
  <c r="X158"/>
  <c r="X152"/>
  <c r="X161"/>
  <c r="X155"/>
  <c r="X140"/>
  <c r="X143"/>
  <c r="W165" l="1"/>
  <c r="X164"/>
  <c r="X165" l="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Use Supply Curve Bundled starting in column 2  "column()-9"</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  
Use column()-17 for the column reference</t>
        </r>
      </text>
    </comment>
  </commentList>
</comments>
</file>

<file path=xl/comments2.xml><?xml version="1.0" encoding="utf-8"?>
<comments xmlns="http://schemas.openxmlformats.org/spreadsheetml/2006/main">
  <authors>
    <author>Charlie Grist</author>
  </authors>
  <commentList>
    <comment ref="A6" authorId="0">
      <text>
        <r>
          <rPr>
            <b/>
            <sz val="9"/>
            <color indexed="81"/>
            <rFont val="Tahoma"/>
            <family val="2"/>
          </rPr>
          <t>Charlie Grist:</t>
        </r>
        <r>
          <rPr>
            <sz val="9"/>
            <color indexed="81"/>
            <rFont val="Tahoma"/>
            <family val="2"/>
          </rPr>
          <t xml:space="preserve">
Link this to central switch SOMEPLACE.   Use to switch forecast.</t>
        </r>
      </text>
    </comment>
  </commentList>
</comments>
</file>

<file path=xl/comments3.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3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Charlie Grist</author>
  </authors>
  <commentList>
    <comment ref="K7" authorId="0">
      <text>
        <r>
          <rPr>
            <b/>
            <sz val="9"/>
            <color indexed="81"/>
            <rFont val="Tahoma"/>
            <family val="2"/>
          </rPr>
          <t>Charlie Grist:</t>
        </r>
        <r>
          <rPr>
            <sz val="9"/>
            <color indexed="81"/>
            <rFont val="Tahoma"/>
            <family val="2"/>
          </rPr>
          <t xml:space="preserve">
$30 labor plus battery pack
</t>
        </r>
      </text>
    </comment>
    <comment ref="K8" authorId="0">
      <text>
        <r>
          <rPr>
            <b/>
            <sz val="9"/>
            <color indexed="81"/>
            <rFont val="Tahoma"/>
            <family val="2"/>
          </rPr>
          <t>Charlie Grist:</t>
        </r>
        <r>
          <rPr>
            <sz val="9"/>
            <color indexed="81"/>
            <rFont val="Tahoma"/>
            <family val="2"/>
          </rPr>
          <t xml:space="preserve">
$30 labor plus battery pack
</t>
        </r>
      </text>
    </comment>
    <comment ref="K9" authorId="0">
      <text>
        <r>
          <rPr>
            <b/>
            <sz val="9"/>
            <color indexed="81"/>
            <rFont val="Tahoma"/>
            <family val="2"/>
          </rPr>
          <t>Charlie Grist:</t>
        </r>
        <r>
          <rPr>
            <sz val="9"/>
            <color indexed="81"/>
            <rFont val="Tahoma"/>
            <family val="2"/>
          </rPr>
          <t xml:space="preserve">
$30 labor plus battery pack
</t>
        </r>
      </text>
    </comment>
    <comment ref="K11" authorId="0">
      <text>
        <r>
          <rPr>
            <b/>
            <sz val="9"/>
            <color indexed="81"/>
            <rFont val="Tahoma"/>
            <family val="2"/>
          </rPr>
          <t>Charlie Grist:</t>
        </r>
        <r>
          <rPr>
            <sz val="9"/>
            <color indexed="81"/>
            <rFont val="Tahoma"/>
            <family val="2"/>
          </rPr>
          <t xml:space="preserve">
$30 labor plus battery pack
</t>
        </r>
      </text>
    </comment>
    <comment ref="K12" authorId="0">
      <text>
        <r>
          <rPr>
            <b/>
            <sz val="9"/>
            <color indexed="81"/>
            <rFont val="Tahoma"/>
            <family val="2"/>
          </rPr>
          <t>Charlie Grist:</t>
        </r>
        <r>
          <rPr>
            <sz val="9"/>
            <color indexed="81"/>
            <rFont val="Tahoma"/>
            <family val="2"/>
          </rPr>
          <t xml:space="preserve">
$30 labor plus battery pack
</t>
        </r>
      </text>
    </comment>
    <comment ref="K13" authorId="0">
      <text>
        <r>
          <rPr>
            <b/>
            <sz val="9"/>
            <color indexed="81"/>
            <rFont val="Tahoma"/>
            <family val="2"/>
          </rPr>
          <t>Charlie Grist:</t>
        </r>
        <r>
          <rPr>
            <sz val="9"/>
            <color indexed="81"/>
            <rFont val="Tahoma"/>
            <family val="2"/>
          </rPr>
          <t xml:space="preserve">
$30 labor plus battery pack
</t>
        </r>
      </text>
    </comment>
  </commentList>
</comments>
</file>

<file path=xl/sharedStrings.xml><?xml version="1.0" encoding="utf-8"?>
<sst xmlns="http://schemas.openxmlformats.org/spreadsheetml/2006/main" count="1497" uniqueCount="642">
  <si>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</si>
  <si>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</si>
  <si>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</si>
  <si>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</si>
  <si>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</si>
  <si>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</si>
  <si>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</si>
  <si>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</si>
  <si>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</si>
  <si>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</si>
  <si>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</si>
  <si>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</si>
  <si>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</si>
  <si>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</si>
  <si>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</si>
  <si>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</si>
  <si>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</si>
  <si>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</si>
  <si>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</si>
  <si>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</si>
  <si>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</si>
  <si>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</si>
  <si>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</si>
  <si>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</si>
  <si>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</si>
  <si>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</si>
  <si>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</si>
  <si>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</si>
  <si>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</si>
  <si>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</si>
  <si>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</si>
  <si>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</si>
  <si>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</si>
  <si>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</si>
  <si>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</si>
  <si>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</si>
  <si>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</si>
  <si>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</si>
  <si>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</si>
  <si>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</si>
  <si>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</si>
  <si>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New</t>
  </si>
  <si>
    <t>MOPP</t>
  </si>
  <si>
    <t>Base Measure Name</t>
  </si>
  <si>
    <t>Measure Map</t>
  </si>
  <si>
    <t>Baseline Energy Use</t>
  </si>
  <si>
    <t>Baseline Penetration</t>
  </si>
  <si>
    <t>Who</t>
  </si>
  <si>
    <t>Units Methodology</t>
  </si>
  <si>
    <t>Forecast Version</t>
  </si>
  <si>
    <t>Vintage</t>
  </si>
  <si>
    <t>Measure Bundle</t>
  </si>
  <si>
    <t>Report Year</t>
  </si>
  <si>
    <t>TOTAL MAX</t>
  </si>
  <si>
    <t>Max Units</t>
  </si>
  <si>
    <t>Acheivable and 85% Max Per Year</t>
  </si>
  <si>
    <t>Achievability =&gt;</t>
  </si>
  <si>
    <t>Sum with 85% max</t>
  </si>
  <si>
    <t>Max Units 85%</t>
  </si>
  <si>
    <t>SUPPLY CURVE SAVINGS BY BUNDLE</t>
  </si>
  <si>
    <t>MWa</t>
  </si>
  <si>
    <t>TRC Net Levelized Cost (Net of All Benefits) in mills/kWh</t>
  </si>
  <si>
    <t>Busbar Savings</t>
  </si>
  <si>
    <t>lvlcost</t>
  </si>
  <si>
    <t>segment</t>
  </si>
  <si>
    <t>measure</t>
  </si>
  <si>
    <t>Program Ramp Annual Energy</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</si>
  <si>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</si>
  <si>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</si>
  <si>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</si>
  <si>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</si>
  <si>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</si>
  <si>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</si>
  <si>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</si>
  <si>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</si>
  <si>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</si>
  <si>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</si>
  <si>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</si>
  <si>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</si>
  <si>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</si>
  <si>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</si>
  <si>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</si>
  <si>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</si>
  <si>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</si>
  <si>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</si>
  <si>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</si>
  <si>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</si>
  <si>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</si>
  <si>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</si>
  <si>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</si>
  <si>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</si>
  <si>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</si>
  <si>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</si>
  <si>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</si>
  <si>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</si>
  <si>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</si>
  <si>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</si>
  <si>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</si>
  <si>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</si>
  <si>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</si>
  <si>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</si>
  <si>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</si>
  <si>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</si>
  <si>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</si>
  <si>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</si>
  <si>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</si>
  <si>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</si>
  <si>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</si>
  <si>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</si>
  <si>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</si>
  <si>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</si>
  <si>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</si>
  <si>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</si>
  <si>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</si>
  <si>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</si>
  <si>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</si>
  <si>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</si>
  <si>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</si>
  <si>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</si>
  <si>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</si>
  <si>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</si>
  <si>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</si>
  <si>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</si>
  <si>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</si>
  <si>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</si>
  <si>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</si>
  <si>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</si>
  <si>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</si>
  <si>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</si>
  <si>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</si>
  <si>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</si>
  <si>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</si>
  <si>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</si>
  <si>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</si>
  <si>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</si>
  <si>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</si>
  <si>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</si>
  <si>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</si>
  <si>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</si>
  <si>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</si>
  <si>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</si>
  <si>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</si>
  <si>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</si>
  <si>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</si>
  <si>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</si>
  <si>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</si>
  <si>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</si>
  <si>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</si>
  <si>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</si>
  <si>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</si>
  <si>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</si>
  <si>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</si>
  <si>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</si>
  <si>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</si>
  <si>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</si>
  <si>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</si>
  <si>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</si>
  <si>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</si>
  <si>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</si>
  <si>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</si>
  <si>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</si>
  <si>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</si>
  <si>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</si>
  <si>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</si>
  <si>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</si>
  <si>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SC_New</t>
  </si>
  <si>
    <t>Total per Year</t>
  </si>
  <si>
    <t>Total Cumulative</t>
  </si>
  <si>
    <t># UNITS RESIDUAL &amp; AVAILABLE TO NR/RETROFIT POOL</t>
  </si>
  <si>
    <t>Luminaires</t>
  </si>
  <si>
    <t>Life Offset</t>
  </si>
  <si>
    <t>Residual from Ramp Rate</t>
  </si>
  <si>
    <t>Available Residuals (do-overs)</t>
  </si>
  <si>
    <t>Max Annual Carryover to SC-NR</t>
  </si>
  <si>
    <t>CHECK</t>
  </si>
  <si>
    <t>Residual</t>
  </si>
  <si>
    <t>Achiev plus Residual</t>
  </si>
  <si>
    <t>Total Units</t>
  </si>
  <si>
    <t>Diff between ACH plus Resid and Total</t>
  </si>
  <si>
    <t>85% per year check</t>
  </si>
  <si>
    <t>Total Opportuntiies over 20 years</t>
  </si>
  <si>
    <t>NR</t>
  </si>
  <si>
    <t># UNITS FOR EXISTING STOCK</t>
  </si>
  <si>
    <t>TOTAL</t>
  </si>
  <si>
    <t># UNITS CARRYOVER FROM UNTREATED NEW STOCK</t>
  </si>
  <si>
    <t># UNITS TOTAL FOR NR POOL</t>
  </si>
  <si>
    <t>APPLY MEASURE APPLICABILITY, SATURATION TURNOVER RATE FOR MAX ANNUAL # UNITS</t>
  </si>
  <si>
    <t>Existing Stock</t>
  </si>
  <si>
    <t>Applicability</t>
  </si>
  <si>
    <t>Saturation</t>
  </si>
  <si>
    <t>Turnover Rate</t>
  </si>
  <si>
    <t>Annual Max</t>
  </si>
  <si>
    <t>Carryover from Untreated New</t>
  </si>
  <si>
    <t>INCREMENTAL ACHIEVABILITY</t>
  </si>
  <si>
    <t>Program Max</t>
  </si>
  <si>
    <t>CUMULATIVE ADOPTION</t>
  </si>
  <si>
    <t>aMW</t>
  </si>
  <si>
    <t>kWh per Luminaire</t>
  </si>
  <si>
    <t>Max Annual Available</t>
  </si>
  <si>
    <t>SC-NR</t>
  </si>
  <si>
    <t>Cumulative at Earliest Deployment</t>
  </si>
  <si>
    <t>Total Potential (aMW)</t>
  </si>
  <si>
    <t>UNITS FOR NEW STOCK</t>
  </si>
  <si>
    <t>UNITS APPLICABLE BY YEAR</t>
  </si>
  <si>
    <t>Ramp Rate</t>
  </si>
  <si>
    <t>Resource Type</t>
  </si>
  <si>
    <t>Measure Category</t>
  </si>
  <si>
    <t>Sector</t>
  </si>
  <si>
    <t>End Use</t>
  </si>
  <si>
    <t>kW per unit</t>
  </si>
  <si>
    <t>kWh per unit</t>
  </si>
  <si>
    <t>TRC Net Levelized Cost (Net of All Benefits)</t>
  </si>
  <si>
    <t>MAX</t>
  </si>
  <si>
    <t>Savings Allocation by Category and Month for Segments 1</t>
  </si>
  <si>
    <t>Savings Allocation by Category and Month for Segments 2</t>
  </si>
  <si>
    <t>Wholesale KW</t>
  </si>
  <si>
    <t>Jan</t>
  </si>
  <si>
    <t>Feb</t>
  </si>
  <si>
    <t>Mar</t>
  </si>
  <si>
    <t>Apr</t>
  </si>
  <si>
    <t>May</t>
  </si>
  <si>
    <t>Jun</t>
  </si>
  <si>
    <t>Jul</t>
  </si>
  <si>
    <t>Aug</t>
  </si>
  <si>
    <t>Sep</t>
  </si>
  <si>
    <t>Oct</t>
  </si>
  <si>
    <t>Nov</t>
  </si>
  <si>
    <t>Dec</t>
  </si>
  <si>
    <t>Commercial</t>
  </si>
  <si>
    <t>Lighting</t>
  </si>
  <si>
    <t>http://www.exitlightco.com/product/LECWB.html</t>
  </si>
  <si>
    <t>http://www.theexitstore.com/LEC.htm</t>
  </si>
  <si>
    <t>http://www.exitlightco.com/category/LEC-Exit-Signs.html</t>
  </si>
  <si>
    <t>http://www.exitlightco.com/product/PFP.html</t>
  </si>
  <si>
    <t>Pasted values from GRISTv1_CBSA Public Detailed Lighting Table 2014-10-31.xlsx</t>
  </si>
  <si>
    <t>Exit</t>
  </si>
  <si>
    <t>Watts per Lamp</t>
  </si>
  <si>
    <t>Location</t>
  </si>
  <si>
    <t>Indoor</t>
  </si>
  <si>
    <t>Fixture_Category</t>
  </si>
  <si>
    <t>(All)</t>
  </si>
  <si>
    <t>Fixture_Type</t>
  </si>
  <si>
    <t>Values</t>
  </si>
  <si>
    <t>Row Labels</t>
  </si>
  <si>
    <t>Sum of Wt_PNW_Site_Watts</t>
  </si>
  <si>
    <t>Sum of Wt_PNW_Site_Fixture_Qty</t>
  </si>
  <si>
    <t>Sum of Wt_PNW_Site_Fixture_Qty2</t>
  </si>
  <si>
    <t>Sum of Wt_PNW_Calc_Site_Lamps</t>
  </si>
  <si>
    <t>Sum of Wt_PNW_Calc_Site_Lamps2</t>
  </si>
  <si>
    <t>Average of Calc_Site_Fixtures/KSF</t>
  </si>
  <si>
    <t>Average of Calc_Site_Lamps/KSF</t>
  </si>
  <si>
    <t>Sum of Wt_PNW_Calc_Site_Lamps/KSF</t>
  </si>
  <si>
    <t>CFL</t>
  </si>
  <si>
    <t>Assembly</t>
  </si>
  <si>
    <t>Incandescent</t>
  </si>
  <si>
    <t>Grocery</t>
  </si>
  <si>
    <t>LED</t>
  </si>
  <si>
    <t>Lodging</t>
  </si>
  <si>
    <t>Misc</t>
  </si>
  <si>
    <t>Office</t>
  </si>
  <si>
    <t>Other Fluorescent</t>
  </si>
  <si>
    <t>Other</t>
  </si>
  <si>
    <t>Grand Total</t>
  </si>
  <si>
    <t>Residential Care</t>
  </si>
  <si>
    <t>Restaurant</t>
  </si>
  <si>
    <t>Retail/Service</t>
  </si>
  <si>
    <t>School K-12</t>
  </si>
  <si>
    <t>Warehouse</t>
  </si>
  <si>
    <t>NA</t>
  </si>
  <si>
    <t>Exit Sign Density: Fixtures prer ksf</t>
  </si>
  <si>
    <t>Exit Fixt/ksf</t>
  </si>
  <si>
    <t>Count</t>
  </si>
  <si>
    <t>Column1</t>
  </si>
  <si>
    <t>Estimated Count of Signs</t>
  </si>
  <si>
    <t>fixtures/ksf</t>
  </si>
  <si>
    <t>Mean</t>
  </si>
  <si>
    <t>billion sf</t>
  </si>
  <si>
    <t>Standard Error</t>
  </si>
  <si>
    <t>fixtures</t>
  </si>
  <si>
    <t>Median</t>
  </si>
  <si>
    <t>Mode</t>
  </si>
  <si>
    <t>Standard Deviation</t>
  </si>
  <si>
    <t>Sample Variance</t>
  </si>
  <si>
    <t>Kurtosis</t>
  </si>
  <si>
    <t>Skewness</t>
  </si>
  <si>
    <t>Estimated Signs Total</t>
  </si>
  <si>
    <t>Range</t>
  </si>
  <si>
    <t>Total Sign Count</t>
  </si>
  <si>
    <t>Minimum</t>
  </si>
  <si>
    <t>Maximum</t>
  </si>
  <si>
    <t>One-Faced</t>
  </si>
  <si>
    <t>Sum</t>
  </si>
  <si>
    <t>Two-Faced</t>
  </si>
  <si>
    <t>Confidence Level(95.0%)</t>
  </si>
  <si>
    <t>Total</t>
  </si>
  <si>
    <t>Labor</t>
  </si>
  <si>
    <t>DR</t>
  </si>
  <si>
    <t>Cost</t>
  </si>
  <si>
    <t>Power</t>
  </si>
  <si>
    <t>Annual kWh</t>
  </si>
  <si>
    <t>Incremental Cost</t>
  </si>
  <si>
    <t>Incremental Savings kWh</t>
  </si>
  <si>
    <t>Cost per kWh saved</t>
  </si>
  <si>
    <t>Life</t>
  </si>
  <si>
    <t>POM Cost</t>
  </si>
  <si>
    <t>POM Period</t>
  </si>
  <si>
    <t>Levelized Cost $/MWh</t>
  </si>
  <si>
    <t>Baseline LED Single</t>
  </si>
  <si>
    <t>ELC Exit Sign Single (New/NR)</t>
  </si>
  <si>
    <t>ELC Exit Sign Single (Retro)</t>
  </si>
  <si>
    <t>Baseline LED Double</t>
  </si>
  <si>
    <t>ELC Exit Sign Double (New/NR)</t>
  </si>
  <si>
    <t>Exit Sign in PNW (million)</t>
  </si>
  <si>
    <t>New signs (million)</t>
  </si>
  <si>
    <t>Total Signs by 2035</t>
  </si>
  <si>
    <t>Savings per sign (70% 2-sided)</t>
  </si>
  <si>
    <t>Total savings kWh</t>
  </si>
  <si>
    <t>Total savings aMW</t>
  </si>
  <si>
    <t>7P Estimate</t>
  </si>
  <si>
    <t>6P Estimate</t>
  </si>
  <si>
    <t>Stock Estimates for 2010</t>
  </si>
  <si>
    <t>PNW Share</t>
  </si>
  <si>
    <t>PNW Signs 2010</t>
  </si>
  <si>
    <t>PNW Signs per 1000SF Commercial Floorspace</t>
  </si>
  <si>
    <t>PNW Signs 2030</t>
  </si>
  <si>
    <t>Exist Signs (million)</t>
  </si>
  <si>
    <t>Total Industrial-Total Industrial</t>
  </si>
  <si>
    <t>Shaped Savings Results; By Category and sorted by TRC BC ratio</t>
  </si>
  <si>
    <t>Category</t>
  </si>
  <si>
    <t>Measure</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</si>
  <si>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</si>
  <si>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</si>
  <si>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</si>
  <si>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</si>
  <si>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</si>
  <si>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</si>
  <si>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</si>
  <si>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B/C Ratio</t>
  </si>
  <si>
    <t>Net Electric &amp; Gas System CO2 Avoided (Lifetime Tons)</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</si>
  <si>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</si>
  <si>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</si>
  <si>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</si>
  <si>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</si>
  <si>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</si>
  <si>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</si>
  <si>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</si>
  <si>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</si>
  <si>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</si>
  <si>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</si>
  <si>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</si>
  <si>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</si>
  <si>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</si>
  <si>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</si>
  <si>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</si>
  <si>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</si>
  <si>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</si>
  <si>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</si>
  <si>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</si>
  <si>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</si>
  <si>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</si>
  <si>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</si>
  <si>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</si>
  <si>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</si>
  <si>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</si>
  <si>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</si>
  <si>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</si>
  <si>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</si>
  <si>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</si>
  <si>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</si>
  <si>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</si>
  <si>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</si>
  <si>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</si>
  <si>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</si>
  <si>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</si>
  <si>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</si>
  <si>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</si>
  <si>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</si>
  <si>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</si>
  <si>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</si>
  <si>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</si>
  <si>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</si>
  <si>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</si>
  <si>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</si>
  <si>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</si>
  <si>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</si>
  <si>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</si>
  <si>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</si>
  <si>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</si>
  <si>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</si>
  <si>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</si>
  <si>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</si>
  <si>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</si>
  <si>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</si>
  <si>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</si>
  <si>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</si>
  <si>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</si>
  <si>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</si>
  <si>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</si>
  <si>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</si>
  <si>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</si>
  <si>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</si>
  <si>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</si>
  <si>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</si>
  <si>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</si>
  <si>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</si>
  <si>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</si>
  <si>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</si>
  <si>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</si>
  <si>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</si>
  <si>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</si>
  <si>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</si>
  <si>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</si>
  <si>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</si>
  <si>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</si>
  <si>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</si>
  <si>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</si>
  <si>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</si>
  <si>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</si>
  <si>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</si>
  <si>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</si>
  <si>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</si>
  <si>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</si>
  <si>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</si>
  <si>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</si>
  <si>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</si>
  <si>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</si>
  <si>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</si>
  <si>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</si>
  <si>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</si>
  <si>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</si>
  <si>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</si>
  <si>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</si>
  <si>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</si>
  <si>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</si>
  <si>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</si>
  <si>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</si>
  <si>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</si>
  <si>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</si>
  <si>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</si>
  <si>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</si>
  <si>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</si>
  <si>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</si>
  <si>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</si>
  <si>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</si>
  <si>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</si>
  <si>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</si>
  <si>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</si>
  <si>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</si>
  <si>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</si>
  <si>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</si>
  <si>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</si>
  <si>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</si>
  <si>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</si>
  <si>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</si>
  <si>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</si>
  <si>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</si>
  <si>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</si>
  <si>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</si>
  <si>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</si>
  <si>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</si>
  <si>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</si>
  <si>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</si>
  <si>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</si>
  <si>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</si>
  <si>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</si>
  <si>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</si>
  <si>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</si>
  <si>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</si>
  <si>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</si>
  <si>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</si>
  <si>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</si>
  <si>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</si>
  <si>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</si>
  <si>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</si>
  <si>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</si>
  <si>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</si>
  <si>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</si>
  <si>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</si>
  <si>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</si>
  <si>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</si>
  <si>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</si>
  <si>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</si>
  <si>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</si>
  <si>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</si>
  <si>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</si>
  <si>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</si>
  <si>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</si>
  <si>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</si>
  <si>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</si>
  <si>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</si>
  <si>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</si>
  <si>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</si>
  <si>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</si>
  <si>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</si>
  <si>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</si>
  <si>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</si>
  <si>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</si>
  <si>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</si>
  <si>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</si>
  <si>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</si>
  <si>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</si>
  <si>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</si>
  <si>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</si>
  <si>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</si>
  <si>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</si>
  <si>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</si>
  <si>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</si>
  <si>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</si>
  <si>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</si>
  <si>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</si>
  <si>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</si>
  <si>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</si>
  <si>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</si>
  <si>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</si>
  <si>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</si>
  <si>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</si>
  <si>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</si>
  <si>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</si>
  <si>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</si>
  <si>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</si>
  <si>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</si>
  <si>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ELC Exit Sign Double (Retro)</t>
  </si>
  <si>
    <t>Description</t>
  </si>
  <si>
    <t>When</t>
  </si>
  <si>
    <t>Back of Envelope</t>
  </si>
  <si>
    <t>CG</t>
  </si>
  <si>
    <t>v0</t>
  </si>
  <si>
    <t>Mine CBSA for count, confirm method with Aaron James</t>
  </si>
  <si>
    <t>Relook CBSA for no-count sites.  Are these missing or no signs required?</t>
  </si>
  <si>
    <t>Cost data</t>
  </si>
  <si>
    <t>Market analysis with Eco Smart Exit</t>
  </si>
  <si>
    <t>Get battery data</t>
  </si>
  <si>
    <t>Incremental cost estimates revised</t>
  </si>
  <si>
    <t>POM costs revised</t>
  </si>
  <si>
    <t>Mix of red and green exit signs in stock revised</t>
  </si>
  <si>
    <t>quote from Eco Smart Exit Sign</t>
  </si>
  <si>
    <t>http://www.exitsignwarehouse.com/category/lec-exit-signs.html</t>
  </si>
  <si>
    <t>Double AC</t>
  </si>
  <si>
    <t>Single AC</t>
  </si>
  <si>
    <t>Double Battery</t>
  </si>
  <si>
    <t>Single Battery</t>
  </si>
  <si>
    <t>LEC</t>
  </si>
  <si>
    <t>LEC Signs</t>
  </si>
  <si>
    <t>Edge Lit, Battery</t>
  </si>
  <si>
    <t>Edge Lit Battery</t>
  </si>
  <si>
    <t>Edge Lit AC</t>
  </si>
  <si>
    <t>Alum Battery</t>
  </si>
  <si>
    <t>http://www.exitlightco.com/category/Cast-Aluminum-Exit-Signs.html</t>
  </si>
  <si>
    <t>Alum AC Double</t>
  </si>
  <si>
    <t>Incremental Cost Estimates</t>
  </si>
  <si>
    <t>AlumAC</t>
  </si>
  <si>
    <t>Double AC self test</t>
  </si>
  <si>
    <t>Average</t>
  </si>
  <si>
    <t>http://www.exitlightco.com/product/ELR-G.html</t>
  </si>
  <si>
    <t>Edge Lit Batt Double</t>
  </si>
  <si>
    <t>High End Self Test</t>
  </si>
  <si>
    <t>Incremental Savings W</t>
  </si>
  <si>
    <t>Annual Savings kWh</t>
  </si>
  <si>
    <t>Price</t>
  </si>
  <si>
    <t>Config</t>
  </si>
  <si>
    <t>Type</t>
  </si>
  <si>
    <t>Watt</t>
  </si>
  <si>
    <t>Source</t>
  </si>
  <si>
    <t>For convert from LED to LEC exit sign</t>
  </si>
  <si>
    <t>LED Signs (Double)</t>
  </si>
  <si>
    <t>Double/Single</t>
  </si>
  <si>
    <t>Double</t>
  </si>
  <si>
    <t>Single</t>
  </si>
  <si>
    <t>average double</t>
  </si>
  <si>
    <t>average single</t>
  </si>
  <si>
    <t>LEC Cartridge Replacement Cost</t>
  </si>
  <si>
    <t>LEC Cartridge Replacement Labor</t>
  </si>
  <si>
    <t>LED Module Replacement Cost</t>
  </si>
  <si>
    <t>LED Module Replacement Labor</t>
  </si>
  <si>
    <t>LED Module Life</t>
  </si>
  <si>
    <t>LEC Cartridge Life</t>
  </si>
  <si>
    <t>Eco Smart Exit</t>
  </si>
  <si>
    <t>LEC Exit Sign-Double-New</t>
  </si>
  <si>
    <t>LEC Exit Sign-Single-New</t>
  </si>
  <si>
    <t>End-Use:</t>
  </si>
  <si>
    <t>Large Off</t>
  </si>
  <si>
    <t>Medium Off</t>
  </si>
  <si>
    <t>Small Off</t>
  </si>
  <si>
    <t>XLarge Ret</t>
  </si>
  <si>
    <t>Large Ret</t>
  </si>
  <si>
    <t>Medium Ret</t>
  </si>
  <si>
    <t>Small Ret</t>
  </si>
  <si>
    <t>University</t>
  </si>
  <si>
    <t>Supermarket</t>
  </si>
  <si>
    <t>MiniMart</t>
  </si>
  <si>
    <t>Hospital</t>
  </si>
  <si>
    <t>User total stock.  Not differentiaed by Btype.</t>
  </si>
  <si>
    <t>NEW FLOOR AREA APPLICABLE &amp; ACHIEVABLE BY YEAR FOR BUNDLE</t>
  </si>
  <si>
    <t>Units</t>
  </si>
  <si>
    <t>Unit Multiplier (per KSF Floor Area)</t>
  </si>
  <si>
    <t>Stock 2016</t>
  </si>
  <si>
    <t>Turnover for NR</t>
  </si>
  <si>
    <t>User total stock.  Not differentiated by Btype.</t>
  </si>
  <si>
    <t>Fraction Double-Sided</t>
  </si>
  <si>
    <t>Fraction Single-Sided</t>
  </si>
  <si>
    <t>Fraction Green</t>
  </si>
  <si>
    <t>Fraction Red</t>
  </si>
  <si>
    <t>CBSA</t>
  </si>
  <si>
    <t>Eco Smart Exit Sign</t>
  </si>
  <si>
    <t>Sales Penetration</t>
  </si>
  <si>
    <t>Applicability Factors</t>
  </si>
  <si>
    <t>Replacement 'Lamps'</t>
  </si>
  <si>
    <t>No sales data:  Judgement</t>
  </si>
  <si>
    <t>Measure Index</t>
  </si>
  <si>
    <t>Total Incremental Floor</t>
  </si>
  <si>
    <t>Total Cumulative Floor</t>
  </si>
  <si>
    <t>Total Incremental Signs</t>
  </si>
  <si>
    <t>Total Cumulative Signs</t>
  </si>
  <si>
    <t>Signs per KSF (CBSA Median)</t>
  </si>
  <si>
    <t>Measure Applicability Factor (One/TwoSide &amp; Color)</t>
  </si>
  <si>
    <t>Green</t>
  </si>
  <si>
    <t>SalesPen</t>
  </si>
  <si>
    <t>Red</t>
  </si>
  <si>
    <t>Minus Baseline Pen</t>
  </si>
  <si>
    <t>Total Signs</t>
  </si>
  <si>
    <t>Cumulative</t>
  </si>
  <si>
    <t>LEC Exit Sign-Double-NR</t>
  </si>
  <si>
    <t>LEC Exit Sign-Single-NR</t>
  </si>
  <si>
    <t>One/Two Side</t>
  </si>
  <si>
    <t>Applicability (Color)</t>
  </si>
  <si>
    <t>Use total building floor area as the driver.  Savings and costs are calculated per sign.  Residual flows to SC-NR</t>
  </si>
  <si>
    <t xml:space="preserve">Use total building floor area as the driver.  Savings and costs are calculated per sign.  </t>
  </si>
  <si>
    <t>v1</t>
  </si>
  <si>
    <t>v2</t>
  </si>
  <si>
    <t>Supply curve build out</t>
  </si>
  <si>
    <t>Wednesday, 25 March , 2015 at 2:40 AM</t>
  </si>
  <si>
    <t>[Delta watt] * [8760 hours per year]</t>
  </si>
  <si>
    <t>LED exit sign 3 or 4 watts</t>
  </si>
  <si>
    <t>All indoor green exit signs</t>
  </si>
  <si>
    <t>Two - One-sided and Two sided</t>
  </si>
  <si>
    <t>Incremental cost over LED sign</t>
  </si>
  <si>
    <t>Flat</t>
  </si>
  <si>
    <t>Fast</t>
  </si>
  <si>
    <t>New for 7P</t>
  </si>
  <si>
    <t>Federal standard is maximum 5 watts per face.  Typical new  LED 3-4 watt per face</t>
  </si>
  <si>
    <t xml:space="preserve">Significant O&amp;M savings due to life </t>
  </si>
  <si>
    <t>Install new Light Emitting Capacitor (LEC) exit sign instead of LED exit sign at New and NR opportunties</t>
  </si>
</sst>
</file>

<file path=xl/styles.xml><?xml version="1.0" encoding="utf-8"?>
<styleSheet xmlns="http://schemas.openxmlformats.org/spreadsheetml/2006/main">
  <numFmts count="1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0.000"/>
    <numFmt numFmtId="172" formatCode="_(* #,##0.000_);_(* \(#,##0.000\);_(* &quot;-&quot;?_);_(@_)"/>
    <numFmt numFmtId="173" formatCode="_(* #,##0.0_);_(* \(#,##0.0\);_(* &quot;-&quot;?_);_(@_)"/>
    <numFmt numFmtId="174" formatCode="_(* #,##0.0_);_(* \(#,##0.0\);_(* &quot;-&quot;??_);_(@_)"/>
    <numFmt numFmtId="175" formatCode="0.0;[Red]\-0.0"/>
    <numFmt numFmtId="176" formatCode="\ "/>
  </numFmts>
  <fonts count="55">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b/>
      <sz val="10"/>
      <color theme="1"/>
      <name val="Arial"/>
      <family val="2"/>
    </font>
    <font>
      <sz val="10"/>
      <color theme="0"/>
      <name val="Arial"/>
      <family val="2"/>
    </font>
    <font>
      <b/>
      <sz val="11"/>
      <color theme="1"/>
      <name val="Calibri"/>
      <family val="2"/>
      <scheme val="minor"/>
    </font>
    <font>
      <sz val="9"/>
      <color indexed="81"/>
      <name val="Tahoma"/>
      <family val="2"/>
    </font>
    <font>
      <b/>
      <sz val="9"/>
      <color indexed="81"/>
      <name val="Tahoma"/>
      <family val="2"/>
    </font>
    <font>
      <i/>
      <sz val="10"/>
      <color theme="1"/>
      <name val="Arial"/>
      <family val="2"/>
    </font>
    <font>
      <sz val="28"/>
      <color theme="1"/>
      <name val="Calibri"/>
      <family val="2"/>
      <scheme val="minor"/>
    </font>
    <font>
      <b/>
      <i/>
      <sz val="11"/>
      <color theme="1"/>
      <name val="Calibri"/>
      <family val="2"/>
      <scheme val="minor"/>
    </font>
    <font>
      <sz val="10"/>
      <color indexed="9"/>
      <name val="Arial"/>
      <family val="2"/>
    </font>
    <font>
      <sz val="10"/>
      <color indexed="10"/>
      <name val="Arial"/>
      <family val="2"/>
    </font>
    <font>
      <b/>
      <sz val="11"/>
      <color theme="0"/>
      <name val="Calibri"/>
      <family val="2"/>
      <scheme val="minor"/>
    </font>
    <font>
      <sz val="10"/>
      <color theme="0" tint="-0.499984740745262"/>
      <name val="Arial"/>
      <family val="2"/>
    </font>
  </fonts>
  <fills count="49">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2" tint="-9.9978637043366805E-2"/>
        <bgColor theme="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8" tint="-0.249977111117893"/>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theme="4" tint="0.39997558519241921"/>
      </bottom>
      <diagonal/>
    </border>
    <border>
      <left/>
      <right style="thin">
        <color theme="4" tint="0.39997558519241921"/>
      </right>
      <top style="thin">
        <color theme="4" tint="0.39997558519241921"/>
      </top>
      <bottom/>
      <diagonal/>
    </border>
    <border>
      <left/>
      <right/>
      <top style="medium">
        <color indexed="64"/>
      </top>
      <bottom style="thin">
        <color indexed="64"/>
      </bottom>
      <diagonal/>
    </border>
    <border>
      <left style="thin">
        <color auto="1"/>
      </left>
      <right style="thin">
        <color auto="1"/>
      </right>
      <top style="thin">
        <color auto="1"/>
      </top>
      <bottom style="thin">
        <color auto="1"/>
      </bottom>
      <diagonal/>
    </border>
    <border>
      <left/>
      <right/>
      <top style="thin">
        <color theme="4" tint="0.39997558519241921"/>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190">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4" fillId="0" borderId="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0" borderId="0" applyNumberFormat="0" applyBorder="0" applyAlignment="0" applyProtection="0"/>
    <xf numFmtId="0" fontId="19" fillId="13" borderId="0" applyNumberFormat="0" applyBorder="0" applyAlignment="0" applyProtection="0"/>
    <xf numFmtId="0" fontId="19" fillId="21" borderId="0" applyNumberFormat="0" applyBorder="0" applyAlignment="0" applyProtection="0"/>
    <xf numFmtId="0" fontId="19" fillId="13" borderId="0" applyNumberFormat="0" applyBorder="0" applyAlignment="0" applyProtection="0"/>
    <xf numFmtId="0" fontId="19" fillId="25" borderId="0" applyNumberFormat="0" applyBorder="0" applyAlignment="0" applyProtection="0"/>
    <xf numFmtId="0" fontId="19" fillId="19" borderId="0" applyNumberFormat="0" applyBorder="0" applyAlignment="0" applyProtection="0"/>
    <xf numFmtId="0" fontId="19" fillId="24" borderId="0" applyNumberFormat="0" applyBorder="0" applyAlignment="0" applyProtection="0"/>
    <xf numFmtId="0" fontId="19" fillId="26" borderId="0" applyNumberFormat="0" applyBorder="0" applyAlignment="0" applyProtection="0"/>
    <xf numFmtId="0" fontId="19" fillId="17" borderId="0" applyNumberFormat="0" applyBorder="0" applyAlignment="0" applyProtection="0"/>
    <xf numFmtId="0" fontId="19" fillId="27"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13" borderId="0" applyNumberFormat="0" applyBorder="0" applyAlignment="0" applyProtection="0"/>
    <xf numFmtId="0" fontId="19" fillId="25" borderId="0" applyNumberFormat="0" applyBorder="0" applyAlignment="0" applyProtection="0"/>
    <xf numFmtId="0" fontId="19" fillId="30" borderId="0" applyNumberFormat="0" applyBorder="0" applyAlignment="0" applyProtection="0"/>
    <xf numFmtId="0" fontId="19" fillId="24" borderId="0" applyNumberFormat="0" applyBorder="0" applyAlignment="0" applyProtection="0"/>
    <xf numFmtId="0" fontId="19" fillId="31" borderId="0" applyNumberFormat="0" applyBorder="0" applyAlignment="0" applyProtection="0"/>
    <xf numFmtId="0" fontId="20" fillId="13" borderId="0" applyNumberFormat="0" applyBorder="0" applyAlignment="0" applyProtection="0"/>
    <xf numFmtId="0" fontId="20" fillId="15" borderId="0" applyNumberFormat="0" applyBorder="0" applyAlignment="0" applyProtection="0"/>
    <xf numFmtId="0" fontId="21" fillId="19" borderId="12" applyNumberFormat="0" applyAlignment="0" applyProtection="0"/>
    <xf numFmtId="0" fontId="21" fillId="12" borderId="12" applyNumberFormat="0" applyAlignment="0" applyProtection="0"/>
    <xf numFmtId="0" fontId="22"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3" fillId="0" borderId="0"/>
    <xf numFmtId="0" fontId="24" fillId="0" borderId="0" applyNumberFormat="0" applyFill="0" applyBorder="0" applyAlignment="0" applyProtection="0"/>
    <xf numFmtId="0" fontId="25" fillId="14" borderId="0" applyNumberFormat="0" applyBorder="0" applyAlignment="0" applyProtection="0"/>
    <xf numFmtId="0" fontId="26" fillId="0" borderId="0">
      <alignment horizontal="center" wrapText="1"/>
    </xf>
    <xf numFmtId="0" fontId="27" fillId="0" borderId="14" applyNumberFormat="0" applyFill="0" applyAlignment="0" applyProtection="0"/>
    <xf numFmtId="0" fontId="28" fillId="0" borderId="15" applyNumberFormat="0" applyFill="0" applyAlignment="0" applyProtection="0"/>
    <xf numFmtId="0" fontId="29" fillId="0" borderId="16" applyNumberFormat="0" applyFill="0" applyAlignment="0" applyProtection="0"/>
    <xf numFmtId="0" fontId="30" fillId="0" borderId="17"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17" borderId="12" applyNumberFormat="0" applyAlignment="0" applyProtection="0"/>
    <xf numFmtId="0" fontId="34" fillId="0" borderId="18" applyNumberFormat="0" applyFill="0" applyAlignment="0" applyProtection="0"/>
    <xf numFmtId="0" fontId="35" fillId="35" borderId="0" applyNumberFormat="0" applyBorder="0" applyAlignment="0" applyProtection="0"/>
    <xf numFmtId="0" fontId="18" fillId="0" borderId="0"/>
    <xf numFmtId="0" fontId="18" fillId="0" borderId="0"/>
    <xf numFmtId="0" fontId="18"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18" fillId="0" borderId="0"/>
    <xf numFmtId="0" fontId="4" fillId="0" borderId="0"/>
    <xf numFmtId="0" fontId="4" fillId="0" borderId="0">
      <alignment readingOrder="1"/>
    </xf>
    <xf numFmtId="0" fontId="4" fillId="0" borderId="0">
      <alignment readingOrder="1"/>
    </xf>
    <xf numFmtId="0" fontId="4" fillId="0" borderId="0">
      <alignment readingOrder="1"/>
    </xf>
    <xf numFmtId="0" fontId="18"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37" fillId="0" borderId="0"/>
    <xf numFmtId="0" fontId="18" fillId="0" borderId="0"/>
    <xf numFmtId="0" fontId="18" fillId="0" borderId="0"/>
    <xf numFmtId="0" fontId="18" fillId="0" borderId="0"/>
    <xf numFmtId="0" fontId="18" fillId="0" borderId="0"/>
    <xf numFmtId="0" fontId="4" fillId="0" borderId="0">
      <alignment readingOrder="1"/>
    </xf>
    <xf numFmtId="0" fontId="4" fillId="0" borderId="0">
      <alignment readingOrder="1"/>
    </xf>
    <xf numFmtId="0" fontId="4" fillId="0" borderId="0">
      <alignment readingOrder="1"/>
    </xf>
    <xf numFmtId="0" fontId="18" fillId="36" borderId="19" applyNumberFormat="0" applyFont="0" applyAlignment="0" applyProtection="0"/>
    <xf numFmtId="0" fontId="4" fillId="36" borderId="19" applyNumberFormat="0" applyFont="0" applyAlignment="0" applyProtection="0"/>
    <xf numFmtId="0" fontId="38" fillId="19" borderId="20" applyNumberFormat="0" applyAlignment="0" applyProtection="0"/>
    <xf numFmtId="0" fontId="38"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1" fillId="0" borderId="22" applyNumberFormat="0" applyFill="0" applyAlignment="0" applyProtection="0"/>
    <xf numFmtId="0" fontId="42"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4" fillId="0" borderId="0"/>
  </cellStyleXfs>
  <cellXfs count="303">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6" fillId="0" borderId="5" xfId="3" applyNumberFormat="1" applyFont="1" applyFill="1" applyBorder="1" applyAlignment="1">
      <alignment horizontal="left" vertical="center" wrapText="1"/>
    </xf>
    <xf numFmtId="0" fontId="6" fillId="0" borderId="5" xfId="3" applyFont="1" applyFill="1" applyBorder="1" applyAlignment="1">
      <alignment horizontal="left" vertical="center" wrapText="1"/>
    </xf>
    <xf numFmtId="0" fontId="2" fillId="0" borderId="5" xfId="3" applyFont="1" applyFill="1" applyBorder="1" applyAlignment="1">
      <alignment horizontal="left" vertical="center" wrapText="1"/>
    </xf>
    <xf numFmtId="0" fontId="6" fillId="0" borderId="5" xfId="3" applyFont="1" applyBorder="1" applyAlignment="1">
      <alignment horizontal="left" vertical="center" wrapText="1" readingOrder="1"/>
    </xf>
    <xf numFmtId="0" fontId="6" fillId="0" borderId="5" xfId="3" applyNumberFormat="1" applyFont="1" applyBorder="1" applyAlignment="1">
      <alignment horizontal="left" vertical="center" wrapText="1" readingOrder="1"/>
    </xf>
    <xf numFmtId="0" fontId="6" fillId="0" borderId="5" xfId="3" applyFont="1" applyBorder="1" applyAlignment="1">
      <alignment vertical="center" wrapText="1" readingOrder="1"/>
    </xf>
    <xf numFmtId="0" fontId="6" fillId="0" borderId="5" xfId="3" applyFont="1" applyBorder="1" applyAlignment="1">
      <alignment wrapText="1" readingOrder="1"/>
    </xf>
    <xf numFmtId="0" fontId="6" fillId="0" borderId="5" xfId="3" applyNumberFormat="1" applyFont="1" applyBorder="1" applyAlignment="1">
      <alignment vertical="center" wrapText="1" readingOrder="1"/>
    </xf>
    <xf numFmtId="0" fontId="8" fillId="0" borderId="0" xfId="6" applyFont="1"/>
    <xf numFmtId="0" fontId="9" fillId="0" borderId="0" xfId="8" applyFont="1"/>
    <xf numFmtId="0" fontId="4" fillId="0" borderId="0" xfId="6" applyFont="1"/>
    <xf numFmtId="5" fontId="4" fillId="0" borderId="0" xfId="6" applyNumberFormat="1" applyFont="1"/>
    <xf numFmtId="164" fontId="4" fillId="0" borderId="0" xfId="6" applyNumberFormat="1" applyFont="1"/>
    <xf numFmtId="164" fontId="9" fillId="0" borderId="0" xfId="6" applyNumberFormat="1" applyFont="1"/>
    <xf numFmtId="0" fontId="4" fillId="0" borderId="0" xfId="6" applyFont="1" applyFill="1"/>
    <xf numFmtId="165" fontId="4" fillId="0" borderId="0" xfId="6" applyNumberFormat="1" applyFont="1"/>
    <xf numFmtId="0" fontId="8" fillId="0" borderId="0" xfId="6"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0" applyFont="1">
      <alignment readingOrder="1"/>
    </xf>
    <xf numFmtId="0" fontId="4" fillId="0" borderId="0" xfId="6" applyFont="1" applyAlignment="1">
      <alignment horizontal="center"/>
    </xf>
    <xf numFmtId="0" fontId="10" fillId="4" borderId="6" xfId="6" applyFont="1" applyFill="1" applyBorder="1" applyAlignment="1">
      <alignment horizontal="centerContinuous"/>
    </xf>
    <xf numFmtId="0" fontId="11" fillId="4" borderId="6" xfId="6" applyFont="1" applyFill="1" applyBorder="1" applyAlignment="1">
      <alignment horizontal="centerContinuous"/>
    </xf>
    <xf numFmtId="0" fontId="11" fillId="4" borderId="7" xfId="6" applyFont="1" applyFill="1" applyBorder="1" applyAlignment="1">
      <alignment horizontal="centerContinuous"/>
    </xf>
    <xf numFmtId="0" fontId="12" fillId="4" borderId="8" xfId="6" applyFont="1" applyFill="1" applyBorder="1" applyAlignment="1">
      <alignment horizontal="centerContinuous"/>
    </xf>
    <xf numFmtId="0" fontId="11" fillId="7" borderId="8" xfId="6" applyFont="1" applyFill="1" applyBorder="1" applyAlignment="1">
      <alignment horizontal="center"/>
    </xf>
    <xf numFmtId="0" fontId="11" fillId="0" borderId="0" xfId="6" applyFont="1" applyFill="1" applyBorder="1" applyAlignment="1">
      <alignment horizontal="centerContinuous"/>
    </xf>
    <xf numFmtId="0" fontId="12" fillId="0" borderId="0" xfId="6" applyFont="1" applyFill="1" applyBorder="1" applyAlignment="1">
      <alignment horizontal="centerContinuous"/>
    </xf>
    <xf numFmtId="0" fontId="13" fillId="0" borderId="0" xfId="6" applyFont="1" applyFill="1" applyBorder="1" applyAlignment="1">
      <alignment horizontal="centerContinuous"/>
    </xf>
    <xf numFmtId="0" fontId="4" fillId="0" borderId="0" xfId="6" applyFont="1" applyFill="1" applyBorder="1"/>
    <xf numFmtId="0" fontId="13" fillId="9" borderId="5" xfId="6" applyFont="1" applyFill="1" applyBorder="1" applyAlignment="1">
      <alignment horizontal="center" wrapText="1"/>
    </xf>
    <xf numFmtId="0" fontId="13" fillId="9" borderId="11" xfId="6" applyFont="1" applyFill="1" applyBorder="1" applyAlignment="1">
      <alignment horizontal="center" wrapText="1"/>
    </xf>
    <xf numFmtId="0" fontId="13" fillId="9" borderId="4" xfId="6" applyFont="1" applyFill="1" applyBorder="1" applyAlignment="1">
      <alignment horizontal="center" wrapText="1"/>
    </xf>
    <xf numFmtId="0" fontId="13" fillId="9" borderId="4" xfId="0" applyFont="1" applyFill="1" applyBorder="1" applyAlignment="1">
      <alignment horizontal="center" wrapText="1"/>
    </xf>
    <xf numFmtId="0" fontId="13" fillId="10" borderId="8" xfId="6" applyFont="1" applyFill="1" applyBorder="1" applyAlignment="1">
      <alignment horizontal="center" wrapText="1"/>
    </xf>
    <xf numFmtId="0" fontId="13" fillId="10" borderId="5" xfId="6" applyFont="1" applyFill="1" applyBorder="1" applyAlignment="1">
      <alignment horizontal="center" wrapText="1"/>
    </xf>
    <xf numFmtId="0" fontId="13" fillId="0" borderId="0" xfId="6" applyFont="1" applyFill="1" applyBorder="1" applyAlignment="1">
      <alignment horizontal="center" wrapText="1"/>
    </xf>
    <xf numFmtId="164" fontId="0" fillId="0" borderId="0" xfId="0" applyNumberFormat="1">
      <alignment readingOrder="1"/>
    </xf>
    <xf numFmtId="0" fontId="4" fillId="0" borderId="0" xfId="4">
      <alignment readingOrder="1"/>
    </xf>
    <xf numFmtId="169" fontId="4" fillId="0" borderId="0" xfId="2" applyNumberFormat="1" applyFont="1">
      <alignment readingOrder="1"/>
    </xf>
    <xf numFmtId="0" fontId="4" fillId="0" borderId="0" xfId="5" applyFont="1"/>
    <xf numFmtId="0" fontId="4" fillId="0" borderId="0" xfId="4" applyFont="1" applyAlignment="1">
      <alignment horizontal="center" readingOrder="1"/>
    </xf>
    <xf numFmtId="0" fontId="4" fillId="0" borderId="0" xfId="7" applyFill="1"/>
    <xf numFmtId="0" fontId="4" fillId="0" borderId="0" xfId="7" applyFont="1" applyFill="1"/>
    <xf numFmtId="0" fontId="17" fillId="2" borderId="0" xfId="7" applyFont="1" applyFill="1"/>
    <xf numFmtId="0" fontId="3" fillId="8" borderId="2" xfId="0" applyFont="1" applyFill="1" applyBorder="1"/>
    <xf numFmtId="0" fontId="0" fillId="0" borderId="0" xfId="0" applyAlignment="1">
      <alignment horizontal="center"/>
    </xf>
    <xf numFmtId="0" fontId="0" fillId="3" borderId="0" xfId="0" applyFill="1"/>
    <xf numFmtId="0" fontId="14" fillId="2" borderId="7" xfId="0" applyFont="1" applyFill="1" applyBorder="1">
      <alignment readingOrder="1"/>
    </xf>
    <xf numFmtId="0" fontId="0" fillId="0" borderId="0" xfId="0" applyFill="1">
      <alignment readingOrder="1"/>
    </xf>
    <xf numFmtId="0" fontId="0" fillId="2" borderId="25" xfId="0" applyFill="1" applyBorder="1">
      <alignment readingOrder="1"/>
    </xf>
    <xf numFmtId="0" fontId="0" fillId="0" borderId="0" xfId="0" applyFill="1" applyAlignment="1">
      <alignment vertical="center" wrapText="1" readingOrder="1"/>
    </xf>
    <xf numFmtId="0" fontId="14" fillId="2" borderId="25" xfId="0" applyFont="1" applyFill="1" applyBorder="1">
      <alignment readingOrder="1"/>
    </xf>
    <xf numFmtId="0" fontId="0" fillId="2" borderId="10" xfId="0" applyNumberFormat="1" applyFill="1" applyBorder="1" applyAlignment="1">
      <alignment vertical="center" wrapText="1" readingOrder="1"/>
    </xf>
    <xf numFmtId="0" fontId="0" fillId="2" borderId="28" xfId="0" applyNumberFormat="1" applyFill="1" applyBorder="1" applyAlignment="1">
      <alignment vertical="center" wrapText="1" readingOrder="1"/>
    </xf>
    <xf numFmtId="0" fontId="0" fillId="2" borderId="29" xfId="0" applyNumberFormat="1" applyFill="1" applyBorder="1" applyAlignment="1">
      <alignment vertical="center" wrapText="1" readingOrder="1"/>
    </xf>
    <xf numFmtId="0" fontId="0" fillId="3" borderId="0" xfId="0" applyFill="1">
      <alignment readingOrder="1"/>
    </xf>
    <xf numFmtId="1" fontId="0" fillId="0" borderId="0" xfId="0" quotePrefix="1" applyNumberFormat="1">
      <alignment readingOrder="1"/>
    </xf>
    <xf numFmtId="0" fontId="0" fillId="0" borderId="0" xfId="0" quotePrefix="1">
      <alignment readingOrder="1"/>
    </xf>
    <xf numFmtId="0" fontId="0" fillId="2" borderId="0" xfId="0" applyFill="1">
      <alignment readingOrder="1"/>
    </xf>
    <xf numFmtId="168" fontId="1" fillId="39" borderId="0" xfId="1" applyNumberFormat="1" applyFont="1" applyFill="1">
      <alignment readingOrder="1"/>
    </xf>
    <xf numFmtId="9" fontId="0" fillId="2" borderId="0" xfId="0" applyNumberFormat="1" applyFill="1">
      <alignment readingOrder="1"/>
    </xf>
    <xf numFmtId="1" fontId="0" fillId="0" borderId="0" xfId="0" applyNumberFormat="1">
      <alignment readingOrder="1"/>
    </xf>
    <xf numFmtId="168" fontId="0" fillId="0" borderId="0" xfId="1" applyNumberFormat="1" applyFont="1" applyFill="1">
      <alignment readingOrder="1"/>
    </xf>
    <xf numFmtId="168" fontId="0" fillId="0" borderId="0" xfId="1" applyNumberFormat="1" applyFont="1">
      <alignment readingOrder="1"/>
    </xf>
    <xf numFmtId="168" fontId="0" fillId="2" borderId="0" xfId="1" applyNumberFormat="1" applyFont="1" applyFill="1">
      <alignment readingOrder="1"/>
    </xf>
    <xf numFmtId="168" fontId="0" fillId="0" borderId="0" xfId="0" applyNumberFormat="1">
      <alignment readingOrder="1"/>
    </xf>
    <xf numFmtId="1" fontId="0" fillId="0" borderId="0" xfId="0" applyNumberFormat="1" applyFill="1">
      <alignment readingOrder="1"/>
    </xf>
    <xf numFmtId="1" fontId="0" fillId="3" borderId="0" xfId="0" applyNumberFormat="1" applyFill="1">
      <alignment readingOrder="1"/>
    </xf>
    <xf numFmtId="9" fontId="4" fillId="3" borderId="0" xfId="188" applyFont="1" applyFill="1">
      <alignment readingOrder="1"/>
    </xf>
    <xf numFmtId="9" fontId="0" fillId="0" borderId="0" xfId="188" applyFont="1">
      <alignment readingOrder="1"/>
    </xf>
    <xf numFmtId="9" fontId="0" fillId="0" borderId="0" xfId="162" applyFont="1" applyAlignment="1">
      <alignment horizontal="center" readingOrder="1"/>
    </xf>
    <xf numFmtId="9" fontId="0" fillId="0" borderId="0" xfId="0" applyNumberFormat="1" applyAlignment="1">
      <alignment horizontal="center" readingOrder="1"/>
    </xf>
    <xf numFmtId="0" fontId="45" fillId="3" borderId="5" xfId="0" applyFont="1" applyFill="1" applyBorder="1"/>
    <xf numFmtId="9" fontId="4" fillId="0" borderId="0" xfId="162" applyFill="1" applyAlignment="1">
      <alignment horizontal="center" readingOrder="1"/>
    </xf>
    <xf numFmtId="0" fontId="4" fillId="0" borderId="0" xfId="4" applyFill="1">
      <alignment readingOrder="1"/>
    </xf>
    <xf numFmtId="0" fontId="45" fillId="3" borderId="7" xfId="0" applyFont="1" applyFill="1" applyBorder="1"/>
    <xf numFmtId="0" fontId="45" fillId="3" borderId="6" xfId="0" applyFont="1" applyFill="1" applyBorder="1"/>
    <xf numFmtId="0" fontId="45" fillId="3" borderId="11" xfId="0" applyFont="1" applyFill="1" applyBorder="1"/>
    <xf numFmtId="1" fontId="0" fillId="40" borderId="0" xfId="0" applyNumberFormat="1" applyFill="1" applyAlignment="1">
      <alignment horizontal="center" readingOrder="1"/>
    </xf>
    <xf numFmtId="164" fontId="0" fillId="40" borderId="0" xfId="0" applyNumberFormat="1" applyFill="1" applyAlignment="1">
      <alignment horizontal="center" readingOrder="1"/>
    </xf>
    <xf numFmtId="2" fontId="0" fillId="0" borderId="0" xfId="0" applyNumberFormat="1">
      <alignment readingOrder="1"/>
    </xf>
    <xf numFmtId="164" fontId="0" fillId="2" borderId="0" xfId="0" applyNumberFormat="1" applyFill="1">
      <alignment readingOrder="1"/>
    </xf>
    <xf numFmtId="0" fontId="0" fillId="0" borderId="0" xfId="0" applyAlignment="1">
      <alignment horizontal="center" readingOrder="1"/>
    </xf>
    <xf numFmtId="0" fontId="0" fillId="3" borderId="0" xfId="0" applyFill="1" applyAlignment="1">
      <alignment horizontal="center" readingOrder="1"/>
    </xf>
    <xf numFmtId="171" fontId="0" fillId="0" borderId="0" xfId="0" applyNumberFormat="1">
      <alignment readingOrder="1"/>
    </xf>
    <xf numFmtId="172" fontId="0" fillId="0" borderId="0" xfId="0" applyNumberFormat="1">
      <alignment readingOrder="1"/>
    </xf>
    <xf numFmtId="173" fontId="0" fillId="0" borderId="0" xfId="0" applyNumberFormat="1">
      <alignment readingOrder="1"/>
    </xf>
    <xf numFmtId="2" fontId="0" fillId="0" borderId="0" xfId="0" applyNumberFormat="1" applyFill="1">
      <alignment readingOrder="1"/>
    </xf>
    <xf numFmtId="0" fontId="45" fillId="38" borderId="5" xfId="0" applyFont="1" applyFill="1" applyBorder="1"/>
    <xf numFmtId="0" fontId="0" fillId="0" borderId="0" xfId="0" applyFill="1" applyBorder="1">
      <alignment readingOrder="1"/>
    </xf>
    <xf numFmtId="0" fontId="0" fillId="39" borderId="0" xfId="0" applyFill="1">
      <alignment readingOrder="1"/>
    </xf>
    <xf numFmtId="174" fontId="4" fillId="39" borderId="0" xfId="1" applyNumberFormat="1" applyFont="1" applyFill="1" applyAlignment="1">
      <alignment horizontal="center" readingOrder="1"/>
    </xf>
    <xf numFmtId="0" fontId="0" fillId="8" borderId="0" xfId="0" applyFill="1">
      <alignment readingOrder="1"/>
    </xf>
    <xf numFmtId="168" fontId="0" fillId="8" borderId="0" xfId="0" applyNumberFormat="1" applyFill="1">
      <alignment readingOrder="1"/>
    </xf>
    <xf numFmtId="168" fontId="0" fillId="8" borderId="0" xfId="1" applyNumberFormat="1" applyFont="1" applyFill="1">
      <alignment readingOrder="1"/>
    </xf>
    <xf numFmtId="0" fontId="2" fillId="3" borderId="0" xfId="0" applyFont="1" applyFill="1" applyBorder="1"/>
    <xf numFmtId="168" fontId="0" fillId="2" borderId="0" xfId="0" applyNumberFormat="1" applyFill="1">
      <alignment readingOrder="1"/>
    </xf>
    <xf numFmtId="0" fontId="45" fillId="38" borderId="7" xfId="0" applyFont="1" applyFill="1" applyBorder="1"/>
    <xf numFmtId="9" fontId="0" fillId="40" borderId="0" xfId="162" applyFont="1" applyFill="1" applyAlignment="1">
      <alignment horizontal="center" readingOrder="1"/>
    </xf>
    <xf numFmtId="1" fontId="0" fillId="2" borderId="0" xfId="0" applyNumberFormat="1" applyFill="1">
      <alignment readingOrder="1"/>
    </xf>
    <xf numFmtId="0" fontId="45" fillId="3" borderId="23" xfId="0" applyFont="1" applyFill="1" applyBorder="1"/>
    <xf numFmtId="0" fontId="45" fillId="3" borderId="28" xfId="0" applyFont="1" applyFill="1" applyBorder="1"/>
    <xf numFmtId="0" fontId="45" fillId="3" borderId="24" xfId="0" applyFont="1" applyFill="1" applyBorder="1"/>
    <xf numFmtId="164" fontId="13" fillId="33" borderId="30" xfId="0" applyNumberFormat="1" applyFont="1" applyFill="1" applyBorder="1" applyAlignment="1">
      <alignment horizontal="centerContinuous" wrapText="1" readingOrder="1"/>
    </xf>
    <xf numFmtId="164" fontId="13" fillId="33" borderId="31"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164" fontId="13" fillId="33" borderId="8" xfId="0" applyNumberFormat="1" applyFont="1" applyFill="1" applyBorder="1" applyAlignment="1">
      <alignment horizontal="center" wrapText="1" readingOrder="1"/>
    </xf>
    <xf numFmtId="0" fontId="45" fillId="3" borderId="29" xfId="0" applyFont="1" applyFill="1" applyBorder="1"/>
    <xf numFmtId="164" fontId="13" fillId="34" borderId="8" xfId="0" applyNumberFormat="1" applyFont="1" applyFill="1" applyBorder="1" applyAlignment="1">
      <alignment horizontal="center" wrapText="1" readingOrder="1"/>
    </xf>
    <xf numFmtId="1" fontId="0" fillId="10" borderId="0" xfId="0" applyNumberFormat="1" applyFill="1" applyAlignment="1">
      <alignment horizontal="center" readingOrder="1"/>
    </xf>
    <xf numFmtId="43" fontId="0" fillId="10" borderId="0" xfId="54" applyFont="1" applyFill="1" applyAlignment="1">
      <alignment horizontal="center" readingOrder="1"/>
    </xf>
    <xf numFmtId="9" fontId="0" fillId="0" borderId="0" xfId="169" applyFont="1" applyFill="1" applyBorder="1"/>
    <xf numFmtId="0" fontId="0" fillId="39" borderId="0" xfId="0" applyFill="1"/>
    <xf numFmtId="169" fontId="0" fillId="39" borderId="0" xfId="2" applyNumberFormat="1" applyFont="1" applyFill="1"/>
    <xf numFmtId="0" fontId="48" fillId="39" borderId="0" xfId="0" applyFont="1" applyFill="1"/>
    <xf numFmtId="0" fontId="49" fillId="3" borderId="0" xfId="0" applyFont="1" applyFill="1"/>
    <xf numFmtId="168" fontId="0" fillId="0" borderId="0" xfId="0" applyNumberFormat="1"/>
    <xf numFmtId="168" fontId="0" fillId="0" borderId="0" xfId="0" applyNumberFormat="1" applyAlignment="1">
      <alignment wrapText="1"/>
    </xf>
    <xf numFmtId="168" fontId="45" fillId="41" borderId="32" xfId="0" applyNumberFormat="1" applyFont="1" applyFill="1" applyBorder="1" applyAlignment="1">
      <alignment wrapText="1"/>
    </xf>
    <xf numFmtId="168" fontId="0" fillId="0" borderId="0" xfId="0" applyNumberFormat="1" applyAlignment="1">
      <alignment horizontal="left"/>
    </xf>
    <xf numFmtId="9" fontId="0" fillId="0" borderId="0" xfId="0" applyNumberFormat="1"/>
    <xf numFmtId="168" fontId="45" fillId="0" borderId="32" xfId="0" applyNumberFormat="1" applyFont="1" applyBorder="1" applyAlignment="1">
      <alignment horizontal="left"/>
    </xf>
    <xf numFmtId="168" fontId="45" fillId="0" borderId="32" xfId="0" applyNumberFormat="1" applyFont="1" applyBorder="1"/>
    <xf numFmtId="9" fontId="45" fillId="0" borderId="32" xfId="0" applyNumberFormat="1" applyFont="1" applyBorder="1"/>
    <xf numFmtId="43" fontId="0" fillId="0" borderId="0" xfId="0" applyNumberFormat="1"/>
    <xf numFmtId="174" fontId="0" fillId="0" borderId="0" xfId="0" applyNumberFormat="1"/>
    <xf numFmtId="168" fontId="0" fillId="0" borderId="0" xfId="0" applyNumberFormat="1" applyAlignment="1">
      <alignment horizontal="left" indent="1"/>
    </xf>
    <xf numFmtId="168" fontId="0" fillId="3" borderId="0" xfId="0" applyNumberFormat="1" applyFill="1"/>
    <xf numFmtId="0" fontId="5" fillId="42" borderId="33" xfId="0" applyFont="1" applyFill="1" applyBorder="1" applyAlignment="1">
      <alignment wrapText="1"/>
    </xf>
    <xf numFmtId="0" fontId="45" fillId="0" borderId="0" xfId="0" applyFont="1"/>
    <xf numFmtId="0" fontId="50" fillId="3" borderId="34" xfId="0" applyFont="1" applyFill="1" applyBorder="1" applyAlignment="1">
      <alignment horizontal="centerContinuous"/>
    </xf>
    <xf numFmtId="0" fontId="45" fillId="3" borderId="0" xfId="0" applyFont="1" applyFill="1"/>
    <xf numFmtId="0" fontId="0" fillId="0" borderId="0" xfId="0" applyFill="1" applyBorder="1" applyAlignment="1"/>
    <xf numFmtId="164" fontId="0" fillId="43" borderId="35" xfId="0" applyNumberFormat="1" applyFill="1" applyBorder="1"/>
    <xf numFmtId="0" fontId="0" fillId="44" borderId="35" xfId="0" applyFill="1" applyBorder="1" applyAlignment="1"/>
    <xf numFmtId="164" fontId="0" fillId="44" borderId="35" xfId="0" applyNumberFormat="1" applyFill="1" applyBorder="1" applyAlignment="1"/>
    <xf numFmtId="168" fontId="45" fillId="41" borderId="36" xfId="0" applyNumberFormat="1" applyFont="1" applyFill="1" applyBorder="1" applyAlignment="1">
      <alignment horizontal="left"/>
    </xf>
    <xf numFmtId="168" fontId="45" fillId="41" borderId="36" xfId="0" applyNumberFormat="1" applyFont="1" applyFill="1" applyBorder="1"/>
    <xf numFmtId="9" fontId="45" fillId="41" borderId="36" xfId="0" applyNumberFormat="1" applyFont="1" applyFill="1" applyBorder="1"/>
    <xf numFmtId="164" fontId="0" fillId="0" borderId="0" xfId="0" applyNumberFormat="1" applyFill="1" applyBorder="1" applyAlignment="1"/>
    <xf numFmtId="168" fontId="0" fillId="0" borderId="0" xfId="1" applyNumberFormat="1" applyFont="1"/>
    <xf numFmtId="43" fontId="45" fillId="41" borderId="36" xfId="0" applyNumberFormat="1" applyFont="1" applyFill="1" applyBorder="1"/>
    <xf numFmtId="174" fontId="45" fillId="41" borderId="36" xfId="0" applyNumberFormat="1" applyFont="1" applyFill="1" applyBorder="1"/>
    <xf numFmtId="168" fontId="45" fillId="3" borderId="0" xfId="0" applyNumberFormat="1" applyFont="1" applyFill="1"/>
    <xf numFmtId="9" fontId="0" fillId="0" borderId="0" xfId="188" applyFont="1"/>
    <xf numFmtId="0" fontId="0" fillId="0" borderId="37" xfId="0" applyFill="1" applyBorder="1" applyAlignment="1"/>
    <xf numFmtId="171" fontId="0" fillId="0" borderId="37" xfId="0" applyNumberFormat="1" applyFill="1" applyBorder="1" applyAlignment="1"/>
    <xf numFmtId="168" fontId="0" fillId="0" borderId="38" xfId="0" applyNumberFormat="1" applyBorder="1" applyAlignment="1">
      <alignment horizontal="left" indent="1"/>
    </xf>
    <xf numFmtId="9" fontId="0" fillId="0" borderId="39" xfId="0" applyNumberFormat="1" applyBorder="1"/>
    <xf numFmtId="6" fontId="0" fillId="0" borderId="0" xfId="0" applyNumberFormat="1"/>
    <xf numFmtId="0" fontId="0" fillId="3" borderId="0" xfId="0" applyFill="1" applyAlignment="1">
      <alignment wrapText="1"/>
    </xf>
    <xf numFmtId="1" fontId="0" fillId="0" borderId="0" xfId="0" applyNumberFormat="1"/>
    <xf numFmtId="164" fontId="0" fillId="0" borderId="0" xfId="0" applyNumberFormat="1"/>
    <xf numFmtId="168" fontId="45" fillId="44" borderId="35" xfId="0" applyNumberFormat="1" applyFont="1" applyFill="1" applyBorder="1"/>
    <xf numFmtId="0" fontId="4" fillId="0" borderId="40" xfId="189" applyFont="1" applyBorder="1"/>
    <xf numFmtId="0" fontId="4" fillId="0" borderId="41" xfId="189" applyBorder="1"/>
    <xf numFmtId="10" fontId="4" fillId="0" borderId="41" xfId="189" applyNumberFormat="1" applyBorder="1"/>
    <xf numFmtId="1" fontId="4" fillId="0" borderId="41" xfId="189" applyNumberFormat="1" applyBorder="1"/>
    <xf numFmtId="10" fontId="4" fillId="0" borderId="42" xfId="189" applyNumberFormat="1" applyBorder="1"/>
    <xf numFmtId="0" fontId="4" fillId="0" borderId="26" xfId="189" applyBorder="1"/>
    <xf numFmtId="0" fontId="4" fillId="0" borderId="0" xfId="189" applyBorder="1" applyAlignment="1">
      <alignment wrapText="1"/>
    </xf>
    <xf numFmtId="0" fontId="4" fillId="0" borderId="0" xfId="189" applyFont="1" applyBorder="1" applyAlignment="1">
      <alignment wrapText="1"/>
    </xf>
    <xf numFmtId="0" fontId="4" fillId="0" borderId="27" xfId="189" applyFont="1" applyBorder="1" applyAlignment="1">
      <alignment wrapText="1"/>
    </xf>
    <xf numFmtId="0" fontId="4" fillId="0" borderId="11" xfId="189" applyFont="1" applyBorder="1"/>
    <xf numFmtId="0" fontId="4" fillId="0" borderId="28" xfId="189" applyBorder="1"/>
    <xf numFmtId="164" fontId="4" fillId="0" borderId="28" xfId="189" applyNumberFormat="1" applyBorder="1"/>
    <xf numFmtId="9" fontId="4" fillId="0" borderId="28" xfId="189" applyNumberFormat="1" applyBorder="1"/>
    <xf numFmtId="2" fontId="4" fillId="0" borderId="28" xfId="189" applyNumberFormat="1" applyBorder="1"/>
    <xf numFmtId="164" fontId="4" fillId="0" borderId="29" xfId="189" applyNumberFormat="1" applyBorder="1"/>
    <xf numFmtId="6" fontId="4" fillId="0" borderId="0" xfId="4" applyNumberFormat="1">
      <alignment readingOrder="1"/>
    </xf>
    <xf numFmtId="0" fontId="51" fillId="45" borderId="38" xfId="0" applyFont="1" applyFill="1" applyBorder="1" applyAlignment="1">
      <alignment horizontal="left" readingOrder="1"/>
    </xf>
    <xf numFmtId="0" fontId="51" fillId="45" borderId="39" xfId="0" applyFont="1" applyFill="1" applyBorder="1" applyAlignment="1">
      <alignment horizontal="center" wrapText="1" readingOrder="1"/>
    </xf>
    <xf numFmtId="0" fontId="13" fillId="33" borderId="35" xfId="0" applyFont="1" applyFill="1" applyBorder="1" applyAlignment="1">
      <alignment horizontal="center" wrapText="1" readingOrder="1"/>
    </xf>
    <xf numFmtId="0" fontId="13" fillId="33" borderId="39" xfId="0" applyFont="1" applyFill="1" applyBorder="1" applyAlignment="1">
      <alignment horizontal="center" wrapText="1" readingOrder="1"/>
    </xf>
    <xf numFmtId="164" fontId="13" fillId="33" borderId="39" xfId="0" applyNumberFormat="1" applyFont="1" applyFill="1" applyBorder="1" applyAlignment="1">
      <alignment horizontal="center" wrapText="1" readingOrder="1"/>
    </xf>
    <xf numFmtId="0" fontId="13" fillId="34" borderId="35" xfId="0" applyFont="1" applyFill="1" applyBorder="1" applyAlignment="1">
      <alignment horizontal="center" wrapText="1" readingOrder="1"/>
    </xf>
    <xf numFmtId="0" fontId="13" fillId="34" borderId="39" xfId="0" applyFont="1" applyFill="1" applyBorder="1" applyAlignment="1">
      <alignment horizontal="center" wrapText="1" readingOrder="1"/>
    </xf>
    <xf numFmtId="164" fontId="13" fillId="34" borderId="39" xfId="0" applyNumberFormat="1" applyFont="1" applyFill="1" applyBorder="1" applyAlignment="1">
      <alignment horizontal="center" wrapText="1" readingOrder="1"/>
    </xf>
    <xf numFmtId="164" fontId="52" fillId="0" borderId="0" xfId="0" applyNumberFormat="1" applyFont="1">
      <alignment readingOrder="1"/>
    </xf>
    <xf numFmtId="0" fontId="51" fillId="46" borderId="38" xfId="0" applyFont="1" applyFill="1" applyBorder="1" applyAlignment="1">
      <alignment horizontal="left" wrapText="1" readingOrder="1"/>
    </xf>
    <xf numFmtId="0" fontId="51" fillId="46" borderId="39" xfId="0" applyFont="1" applyFill="1" applyBorder="1" applyAlignment="1">
      <alignment horizontal="center" wrapText="1" readingOrder="1"/>
    </xf>
    <xf numFmtId="0" fontId="51" fillId="45" borderId="10" xfId="0" applyFont="1" applyFill="1" applyBorder="1" applyAlignment="1">
      <alignment horizontal="center" wrapText="1" readingOrder="1"/>
    </xf>
    <xf numFmtId="0" fontId="0" fillId="0" borderId="43" xfId="0" applyBorder="1">
      <alignment readingOrder="1"/>
    </xf>
    <xf numFmtId="0" fontId="0" fillId="0" borderId="44" xfId="0" applyBorder="1">
      <alignment readingOrder="1"/>
    </xf>
    <xf numFmtId="0" fontId="0" fillId="0" borderId="45" xfId="0" applyBorder="1">
      <alignment readingOrder="1"/>
    </xf>
    <xf numFmtId="0" fontId="0" fillId="0" borderId="46" xfId="0" applyBorder="1">
      <alignment readingOrder="1"/>
    </xf>
    <xf numFmtId="0" fontId="0" fillId="0" borderId="0" xfId="0" applyBorder="1">
      <alignment readingOrder="1"/>
    </xf>
    <xf numFmtId="0" fontId="0" fillId="0" borderId="47" xfId="0" applyBorder="1">
      <alignment readingOrder="1"/>
    </xf>
    <xf numFmtId="0" fontId="0" fillId="0" borderId="48" xfId="0" applyBorder="1">
      <alignment readingOrder="1"/>
    </xf>
    <xf numFmtId="0" fontId="0" fillId="0" borderId="37" xfId="0" applyBorder="1">
      <alignment readingOrder="1"/>
    </xf>
    <xf numFmtId="0" fontId="0" fillId="0" borderId="49" xfId="0" applyBorder="1">
      <alignment readingOrder="1"/>
    </xf>
    <xf numFmtId="0" fontId="13" fillId="47" borderId="1" xfId="0" applyFont="1" applyFill="1" applyBorder="1" applyAlignment="1">
      <alignment horizontal="centerContinuous" wrapText="1" readingOrder="1"/>
    </xf>
    <xf numFmtId="0" fontId="13" fillId="47" borderId="3" xfId="0" applyFont="1" applyFill="1" applyBorder="1" applyAlignment="1">
      <alignment horizontal="centerContinuous" wrapText="1" readingOrder="1"/>
    </xf>
    <xf numFmtId="164" fontId="13" fillId="47" borderId="1" xfId="0" applyNumberFormat="1" applyFont="1" applyFill="1" applyBorder="1" applyAlignment="1">
      <alignment horizontal="centerContinuous" wrapText="1" readingOrder="1"/>
    </xf>
    <xf numFmtId="164" fontId="13" fillId="47" borderId="2" xfId="0" applyNumberFormat="1" applyFont="1" applyFill="1" applyBorder="1" applyAlignment="1">
      <alignment horizontal="centerContinuous" wrapText="1" readingOrder="1"/>
    </xf>
    <xf numFmtId="164" fontId="13" fillId="47" borderId="3" xfId="0" applyNumberFormat="1" applyFont="1" applyFill="1" applyBorder="1" applyAlignment="1">
      <alignment horizontal="centerContinuous" wrapText="1" readingOrder="1"/>
    </xf>
    <xf numFmtId="164" fontId="13" fillId="47" borderId="10" xfId="0" applyNumberFormat="1" applyFont="1" applyFill="1" applyBorder="1" applyAlignment="1">
      <alignment horizontal="center" wrapText="1" readingOrder="1"/>
    </xf>
    <xf numFmtId="175" fontId="13" fillId="34" borderId="39" xfId="0" applyNumberFormat="1" applyFont="1" applyFill="1" applyBorder="1" applyAlignment="1">
      <alignment horizontal="center" wrapText="1" readingOrder="1"/>
    </xf>
    <xf numFmtId="164" fontId="12" fillId="0" borderId="0" xfId="0" applyNumberFormat="1" applyFont="1">
      <alignment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76" fontId="14" fillId="0" borderId="0" xfId="0" applyNumberFormat="1" applyFont="1">
      <alignment readingOrder="1"/>
    </xf>
    <xf numFmtId="176" fontId="0" fillId="0" borderId="0" xfId="0" applyNumberFormat="1">
      <alignment readingOrder="1"/>
    </xf>
    <xf numFmtId="176" fontId="52" fillId="0" borderId="0" xfId="0" applyNumberFormat="1" applyFont="1">
      <alignment readingOrder="1"/>
    </xf>
    <xf numFmtId="0" fontId="53" fillId="48" borderId="30" xfId="0" applyFont="1" applyFill="1" applyBorder="1" applyAlignment="1">
      <alignment horizontal="center" wrapText="1"/>
    </xf>
    <xf numFmtId="0" fontId="53" fillId="48" borderId="50" xfId="0" applyFont="1" applyFill="1" applyBorder="1" applyAlignment="1">
      <alignment horizontal="center" wrapText="1"/>
    </xf>
    <xf numFmtId="14" fontId="0" fillId="0" borderId="0" xfId="0" applyNumberFormat="1"/>
    <xf numFmtId="169" fontId="0" fillId="39" borderId="0" xfId="0" applyNumberFormat="1" applyFill="1"/>
    <xf numFmtId="0" fontId="4" fillId="3" borderId="35" xfId="7" applyFill="1" applyBorder="1"/>
    <xf numFmtId="0" fontId="0" fillId="3" borderId="35" xfId="0" applyFill="1" applyBorder="1" applyAlignment="1">
      <alignment wrapText="1"/>
    </xf>
    <xf numFmtId="0" fontId="13" fillId="3" borderId="35" xfId="7" applyFont="1" applyFill="1" applyBorder="1" applyAlignment="1">
      <alignment horizontal="center" wrapText="1"/>
    </xf>
    <xf numFmtId="169" fontId="4" fillId="0" borderId="0" xfId="2" applyNumberFormat="1" applyFont="1" applyFill="1" applyBorder="1"/>
    <xf numFmtId="0" fontId="0" fillId="39" borderId="35" xfId="0" applyFill="1" applyBorder="1"/>
    <xf numFmtId="2" fontId="0" fillId="39" borderId="0" xfId="0" applyNumberFormat="1" applyFill="1"/>
    <xf numFmtId="169" fontId="0" fillId="44" borderId="35" xfId="0" applyNumberFormat="1" applyFill="1" applyBorder="1"/>
    <xf numFmtId="164" fontId="0" fillId="44" borderId="35" xfId="0" applyNumberFormat="1" applyFill="1" applyBorder="1"/>
    <xf numFmtId="164" fontId="4" fillId="0" borderId="0" xfId="7" applyNumberFormat="1" applyFill="1"/>
    <xf numFmtId="1" fontId="4" fillId="0" borderId="0" xfId="7" applyNumberFormat="1" applyFill="1"/>
    <xf numFmtId="169" fontId="0" fillId="44" borderId="35" xfId="2" applyNumberFormat="1" applyFont="1" applyFill="1" applyBorder="1"/>
    <xf numFmtId="0" fontId="0" fillId="44" borderId="35" xfId="0" applyFill="1" applyBorder="1"/>
    <xf numFmtId="169" fontId="0" fillId="0" borderId="0" xfId="2" applyNumberFormat="1" applyFont="1" applyFill="1" applyBorder="1" applyAlignment="1">
      <alignment horizontal="center"/>
    </xf>
    <xf numFmtId="169" fontId="0" fillId="0" borderId="0" xfId="2" applyNumberFormat="1" applyFont="1"/>
    <xf numFmtId="0" fontId="0" fillId="2" borderId="26" xfId="0" applyNumberFormat="1" applyFill="1" applyBorder="1" applyAlignment="1">
      <alignment horizontal="left" vertical="center" wrapText="1" readingOrder="1"/>
    </xf>
    <xf numFmtId="0" fontId="0" fillId="2" borderId="0" xfId="0" applyNumberFormat="1" applyFill="1" applyBorder="1" applyAlignment="1">
      <alignment horizontal="left" vertical="center" wrapText="1" readingOrder="1"/>
    </xf>
    <xf numFmtId="0" fontId="0" fillId="2" borderId="27" xfId="0" applyNumberFormat="1" applyFill="1" applyBorder="1" applyAlignment="1">
      <alignment horizontal="left" vertical="center" wrapText="1" readingOrder="1"/>
    </xf>
    <xf numFmtId="0" fontId="0" fillId="2" borderId="28" xfId="0" applyNumberFormat="1" applyFill="1" applyBorder="1" applyAlignment="1">
      <alignment horizontal="left" vertical="center" wrapText="1" readingOrder="1"/>
    </xf>
    <xf numFmtId="0" fontId="0" fillId="2" borderId="29" xfId="0" applyNumberFormat="1" applyFill="1" applyBorder="1" applyAlignment="1">
      <alignment horizontal="left" vertical="center" wrapText="1" readingOrder="1"/>
    </xf>
    <xf numFmtId="0" fontId="13" fillId="5" borderId="9" xfId="6" applyFont="1" applyFill="1" applyBorder="1" applyAlignment="1">
      <alignment horizontal="center"/>
    </xf>
    <xf numFmtId="0" fontId="13" fillId="5" borderId="10" xfId="6" applyFont="1" applyFill="1" applyBorder="1" applyAlignment="1">
      <alignment horizontal="center"/>
    </xf>
    <xf numFmtId="0" fontId="13" fillId="5" borderId="8" xfId="6"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6" applyFont="1" applyFill="1" applyBorder="1" applyAlignment="1">
      <alignment horizontal="center"/>
    </xf>
    <xf numFmtId="168" fontId="4" fillId="0" borderId="0" xfId="1" applyNumberFormat="1" applyFont="1">
      <alignment readingOrder="1"/>
    </xf>
    <xf numFmtId="164" fontId="14" fillId="0" borderId="0" xfId="0" applyNumberFormat="1" applyFont="1">
      <alignment readingOrder="1"/>
    </xf>
    <xf numFmtId="0" fontId="0" fillId="2" borderId="40" xfId="0" applyNumberFormat="1" applyFill="1" applyBorder="1" applyAlignment="1">
      <alignment horizontal="left" vertical="center" wrapText="1" readingOrder="1"/>
    </xf>
    <xf numFmtId="0" fontId="0" fillId="2" borderId="41" xfId="0" applyNumberFormat="1" applyFill="1" applyBorder="1" applyAlignment="1">
      <alignment horizontal="left" vertical="center" wrapText="1" readingOrder="1"/>
    </xf>
    <xf numFmtId="0" fontId="0" fillId="2" borderId="42" xfId="0" applyNumberFormat="1" applyFill="1" applyBorder="1" applyAlignment="1">
      <alignment horizontal="left" vertical="center" wrapText="1" readingOrder="1"/>
    </xf>
    <xf numFmtId="49" fontId="43" fillId="0" borderId="11" xfId="0" applyNumberFormat="1" applyFont="1" applyFill="1" applyBorder="1">
      <alignment readingOrder="1"/>
    </xf>
    <xf numFmtId="0" fontId="0" fillId="2" borderId="39" xfId="0" applyNumberFormat="1" applyFill="1" applyBorder="1" applyAlignment="1">
      <alignment vertical="center" wrapText="1" readingOrder="1"/>
    </xf>
    <xf numFmtId="0" fontId="0" fillId="3" borderId="40" xfId="0" applyFill="1" applyBorder="1">
      <alignment readingOrder="1"/>
    </xf>
    <xf numFmtId="0" fontId="0" fillId="3" borderId="41" xfId="0" applyFill="1" applyBorder="1">
      <alignment readingOrder="1"/>
    </xf>
    <xf numFmtId="0" fontId="44" fillId="37" borderId="41" xfId="0" applyFont="1" applyFill="1" applyBorder="1">
      <alignment readingOrder="1"/>
    </xf>
    <xf numFmtId="0" fontId="44" fillId="37" borderId="42" xfId="0" applyFont="1" applyFill="1" applyBorder="1">
      <alignment readingOrder="1"/>
    </xf>
    <xf numFmtId="0" fontId="0" fillId="3" borderId="26" xfId="0" applyFill="1" applyBorder="1">
      <alignment readingOrder="1"/>
    </xf>
    <xf numFmtId="0" fontId="0" fillId="3" borderId="0" xfId="0" applyFill="1" applyBorder="1">
      <alignment readingOrder="1"/>
    </xf>
    <xf numFmtId="0" fontId="44" fillId="37" borderId="0" xfId="0" applyFont="1" applyFill="1" applyBorder="1">
      <alignment readingOrder="1"/>
    </xf>
    <xf numFmtId="0" fontId="44" fillId="37" borderId="27" xfId="0" applyFont="1" applyFill="1" applyBorder="1">
      <alignment readingOrder="1"/>
    </xf>
    <xf numFmtId="0" fontId="0" fillId="3" borderId="0" xfId="0" applyFill="1" applyBorder="1" applyAlignment="1">
      <alignment vertical="center" wrapText="1" readingOrder="1"/>
    </xf>
    <xf numFmtId="0" fontId="0" fillId="3" borderId="11" xfId="0" applyFill="1" applyBorder="1">
      <alignment readingOrder="1"/>
    </xf>
    <xf numFmtId="0" fontId="0" fillId="3" borderId="28" xfId="0" applyFill="1" applyBorder="1">
      <alignment readingOrder="1"/>
    </xf>
    <xf numFmtId="1" fontId="43" fillId="40" borderId="28" xfId="0" applyNumberFormat="1" applyFont="1" applyFill="1" applyBorder="1" applyAlignment="1">
      <alignment horizontal="center" readingOrder="1"/>
    </xf>
    <xf numFmtId="0" fontId="0" fillId="40" borderId="29" xfId="0" applyFill="1" applyBorder="1">
      <alignment readingOrder="1"/>
    </xf>
    <xf numFmtId="0" fontId="45" fillId="38" borderId="11" xfId="0" applyFont="1" applyFill="1" applyBorder="1"/>
    <xf numFmtId="0" fontId="45" fillId="38" borderId="29" xfId="0" applyFont="1" applyFill="1" applyBorder="1"/>
    <xf numFmtId="0" fontId="45" fillId="38" borderId="38" xfId="0" applyFont="1" applyFill="1" applyBorder="1"/>
    <xf numFmtId="0" fontId="4" fillId="44" borderId="0" xfId="4" applyFill="1" applyBorder="1" applyAlignment="1">
      <alignment wrapText="1" readingOrder="1"/>
    </xf>
    <xf numFmtId="9" fontId="0" fillId="0" borderId="0" xfId="188" applyFont="1" applyAlignment="1">
      <alignment horizontal="center" readingOrder="1"/>
    </xf>
    <xf numFmtId="0" fontId="45" fillId="38" borderId="39" xfId="0" applyFont="1" applyFill="1" applyBorder="1"/>
    <xf numFmtId="0" fontId="45" fillId="3" borderId="35" xfId="0" applyFont="1" applyFill="1" applyBorder="1"/>
    <xf numFmtId="9" fontId="45" fillId="3" borderId="35" xfId="162" applyFont="1" applyFill="1" applyBorder="1"/>
    <xf numFmtId="0" fontId="45" fillId="3" borderId="40" xfId="0" applyFont="1" applyFill="1" applyBorder="1"/>
    <xf numFmtId="0" fontId="45" fillId="40" borderId="35" xfId="0" applyFont="1" applyFill="1" applyBorder="1"/>
    <xf numFmtId="164" fontId="45" fillId="40" borderId="35" xfId="0" applyNumberFormat="1" applyFont="1" applyFill="1" applyBorder="1"/>
    <xf numFmtId="0" fontId="45" fillId="38" borderId="35" xfId="0" applyFont="1" applyFill="1" applyBorder="1"/>
    <xf numFmtId="0" fontId="0" fillId="3" borderId="28" xfId="0" applyFill="1" applyBorder="1" applyAlignment="1">
      <alignment vertical="center" wrapText="1" readingOrder="1"/>
    </xf>
    <xf numFmtId="0" fontId="44" fillId="37" borderId="28" xfId="0" applyFont="1" applyFill="1" applyBorder="1">
      <alignment readingOrder="1"/>
    </xf>
    <xf numFmtId="0" fontId="44" fillId="37" borderId="29" xfId="0" applyFont="1" applyFill="1" applyBorder="1">
      <alignment readingOrder="1"/>
    </xf>
    <xf numFmtId="0" fontId="45" fillId="3" borderId="38" xfId="0" applyFont="1" applyFill="1" applyBorder="1"/>
    <xf numFmtId="9" fontId="0" fillId="40" borderId="0" xfId="188" applyFont="1" applyFill="1" applyAlignment="1">
      <alignment horizontal="center" readingOrder="1"/>
    </xf>
    <xf numFmtId="0" fontId="43" fillId="0" borderId="0" xfId="0" applyFont="1">
      <alignment readingOrder="1"/>
    </xf>
    <xf numFmtId="0" fontId="45" fillId="2" borderId="35" xfId="0" applyFont="1" applyFill="1" applyBorder="1"/>
    <xf numFmtId="9" fontId="0" fillId="44" borderId="35" xfId="0" applyNumberFormat="1" applyFill="1" applyBorder="1"/>
    <xf numFmtId="0" fontId="0" fillId="39" borderId="0" xfId="0" applyFill="1" applyBorder="1"/>
    <xf numFmtId="0" fontId="43" fillId="39" borderId="0" xfId="0" applyFont="1" applyFill="1" applyBorder="1"/>
    <xf numFmtId="0" fontId="43" fillId="39" borderId="0" xfId="0" applyFont="1" applyFill="1"/>
    <xf numFmtId="0" fontId="43" fillId="39" borderId="35" xfId="0" applyFont="1" applyFill="1" applyBorder="1"/>
    <xf numFmtId="0" fontId="4" fillId="3" borderId="0" xfId="4" applyFill="1" applyBorder="1" applyAlignment="1">
      <alignment wrapText="1" readingOrder="1"/>
    </xf>
    <xf numFmtId="167" fontId="0" fillId="0" borderId="0" xfId="0" applyNumberFormat="1">
      <alignment readingOrder="1"/>
    </xf>
    <xf numFmtId="0" fontId="0" fillId="44" borderId="35" xfId="0" applyFill="1" applyBorder="1">
      <alignment readingOrder="1"/>
    </xf>
    <xf numFmtId="164" fontId="0" fillId="44" borderId="35" xfId="0" applyNumberFormat="1" applyFill="1" applyBorder="1" applyAlignment="1">
      <alignment horizontal="center" readingOrder="1"/>
    </xf>
    <xf numFmtId="0" fontId="54" fillId="0" borderId="0" xfId="0" applyFont="1"/>
    <xf numFmtId="0" fontId="54" fillId="39" borderId="0" xfId="0" applyFont="1" applyFill="1"/>
    <xf numFmtId="164" fontId="43" fillId="40" borderId="28" xfId="0" applyNumberFormat="1" applyFont="1" applyFill="1" applyBorder="1" applyAlignment="1">
      <alignment horizontal="center" readingOrder="1"/>
    </xf>
    <xf numFmtId="0" fontId="54" fillId="0" borderId="0" xfId="0" applyFont="1">
      <alignment readingOrder="1"/>
    </xf>
    <xf numFmtId="0" fontId="2" fillId="38" borderId="35" xfId="0" applyFont="1" applyFill="1" applyBorder="1"/>
    <xf numFmtId="167" fontId="0" fillId="10" borderId="0" xfId="0" applyNumberFormat="1" applyFill="1" applyAlignment="1">
      <alignment horizontal="center" readingOrder="1"/>
    </xf>
    <xf numFmtId="9" fontId="6" fillId="0" borderId="5" xfId="3" applyNumberFormat="1" applyFont="1" applyBorder="1" applyAlignment="1">
      <alignment horizontal="left" vertical="center" wrapText="1" readingOrder="1"/>
    </xf>
    <xf numFmtId="0" fontId="6" fillId="0" borderId="5" xfId="3" applyFont="1" applyBorder="1" applyAlignment="1">
      <alignment horizontal="left" wrapText="1" readingOrder="1"/>
    </xf>
    <xf numFmtId="2" fontId="0" fillId="39" borderId="35" xfId="0" applyNumberFormat="1" applyFill="1" applyBorder="1"/>
  </cellXfs>
  <cellStyles count="190">
    <cellStyle name="20% - Accent1 2" xfId="9"/>
    <cellStyle name="20% - Accent1 2 2" xfId="10"/>
    <cellStyle name="20% - Accent2 2" xfId="11"/>
    <cellStyle name="20% - Accent3 2" xfId="12"/>
    <cellStyle name="20% - Accent3 2 2" xfId="13"/>
    <cellStyle name="20% - Accent4 2" xfId="14"/>
    <cellStyle name="20% - Accent4 2 2" xfId="15"/>
    <cellStyle name="20% - Accent5 2" xfId="16"/>
    <cellStyle name="20% - Accent6 2" xfId="17"/>
    <cellStyle name="40% - Accent1 2" xfId="18"/>
    <cellStyle name="40% - Accent1 2 2" xfId="19"/>
    <cellStyle name="40% - Accent2 2" xfId="20"/>
    <cellStyle name="40% - Accent2 2 2" xfId="21"/>
    <cellStyle name="40% - Accent3 2" xfId="22"/>
    <cellStyle name="40% - Accent3 2 2" xfId="23"/>
    <cellStyle name="40% - Accent4 2" xfId="24"/>
    <cellStyle name="40% - Accent4 2 2" xfId="25"/>
    <cellStyle name="40% - Accent5 2" xfId="26"/>
    <cellStyle name="40% - Accent6 2" xfId="27"/>
    <cellStyle name="40% - Accent6 2 2" xfId="28"/>
    <cellStyle name="60% - Accent1 2" xfId="29"/>
    <cellStyle name="60% - Accent1 2 2" xfId="30"/>
    <cellStyle name="60% - Accent2 2" xfId="31"/>
    <cellStyle name="60% - Accent2 2 2" xfId="32"/>
    <cellStyle name="60% - Accent3 2" xfId="33"/>
    <cellStyle name="60% - Accent3 2 2" xfId="34"/>
    <cellStyle name="60% - Accent4 2" xfId="35"/>
    <cellStyle name="60% - Accent4 2 2" xfId="36"/>
    <cellStyle name="60% - Accent5 2" xfId="37"/>
    <cellStyle name="60% - Accent6 2" xfId="38"/>
    <cellStyle name="60% - Accent6 2 2" xfId="39"/>
    <cellStyle name="Accent1 2" xfId="40"/>
    <cellStyle name="Accent1 2 2" xfId="41"/>
    <cellStyle name="Accent2 2" xfId="42"/>
    <cellStyle name="Accent3 2" xfId="43"/>
    <cellStyle name="Accent3 2 2" xfId="44"/>
    <cellStyle name="Accent4 2" xfId="45"/>
    <cellStyle name="Accent4 2 2" xfId="46"/>
    <cellStyle name="Accent5 2" xfId="47"/>
    <cellStyle name="Accent6 2" xfId="48"/>
    <cellStyle name="Bad 2" xfId="49"/>
    <cellStyle name="Bad 2 2" xfId="50"/>
    <cellStyle name="Calculation 2" xfId="51"/>
    <cellStyle name="Calculation 2 2" xfId="52"/>
    <cellStyle name="Check Cell 2" xfId="53"/>
    <cellStyle name="Comma" xfId="1" builtinId="3"/>
    <cellStyle name="Comma 2" xfId="54"/>
    <cellStyle name="Comma 2 2" xfId="55"/>
    <cellStyle name="Comma 2 2 2" xfId="56"/>
    <cellStyle name="Comma 2 2 3" xfId="57"/>
    <cellStyle name="Comma 2 3" xfId="58"/>
    <cellStyle name="Comma 2 4" xfId="59"/>
    <cellStyle name="Comma 3" xfId="60"/>
    <cellStyle name="Comma 3 2" xfId="61"/>
    <cellStyle name="Comma 3 2 2" xfId="62"/>
    <cellStyle name="Comma 3 2 3" xfId="63"/>
    <cellStyle name="Comma 3 3" xfId="64"/>
    <cellStyle name="Comma 3 4" xfId="65"/>
    <cellStyle name="Currency" xfId="2" builtinId="4"/>
    <cellStyle name="Currency 2" xfId="66"/>
    <cellStyle name="Currency 2 2" xfId="67"/>
    <cellStyle name="Currency 2 2 2" xfId="68"/>
    <cellStyle name="Currency 2 2 3" xfId="69"/>
    <cellStyle name="Currency 2 3" xfId="70"/>
    <cellStyle name="Currency 2 4" xfId="71"/>
    <cellStyle name="Currency 3" xfId="72"/>
    <cellStyle name="Currency 3 2" xfId="73"/>
    <cellStyle name="Currency 3 2 2" xfId="74"/>
    <cellStyle name="Currency 3 2 3" xfId="75"/>
    <cellStyle name="Currency 3 3" xfId="76"/>
    <cellStyle name="Currency 3 4" xfId="77"/>
    <cellStyle name="Data Field" xfId="78"/>
    <cellStyle name="Data Field 2" xfId="79"/>
    <cellStyle name="Data Field 2 2" xfId="80"/>
    <cellStyle name="Data Field 2 3" xfId="81"/>
    <cellStyle name="Data Field 3" xfId="82"/>
    <cellStyle name="Data Field 4" xfId="83"/>
    <cellStyle name="Data Name" xfId="84"/>
    <cellStyle name="Date/Time" xfId="85"/>
    <cellStyle name="Explanatory Text 2" xfId="86"/>
    <cellStyle name="Good 2" xfId="87"/>
    <cellStyle name="Heading" xfId="88"/>
    <cellStyle name="Heading 1 2" xfId="89"/>
    <cellStyle name="Heading 1 2 2" xfId="90"/>
    <cellStyle name="Heading 3 2" xfId="91"/>
    <cellStyle name="Heading 3 2 2" xfId="92"/>
    <cellStyle name="Heading 4 2" xfId="93"/>
    <cellStyle name="Heading 4 2 2" xfId="94"/>
    <cellStyle name="Hyperlink 2" xfId="95"/>
    <cellStyle name="Hyperlink 3" xfId="96"/>
    <cellStyle name="Input 2" xfId="97"/>
    <cellStyle name="Linked Cell 2" xfId="98"/>
    <cellStyle name="Neutral 2" xfId="99"/>
    <cellStyle name="Normal" xfId="0" builtinId="0"/>
    <cellStyle name="Normal 10" xfId="100"/>
    <cellStyle name="Normal 11" xfId="101"/>
    <cellStyle name="Normal 12" xfId="102"/>
    <cellStyle name="Normal 13" xfId="4"/>
    <cellStyle name="Normal 13 2" xfId="103"/>
    <cellStyle name="Normal 14" xfId="104"/>
    <cellStyle name="Normal 14 2" xfId="105"/>
    <cellStyle name="Normal 14 3" xfId="106"/>
    <cellStyle name="Normal 14 4" xfId="107"/>
    <cellStyle name="Normal 15" xfId="108"/>
    <cellStyle name="Normal 15 2" xfId="109"/>
    <cellStyle name="Normal 15 3" xfId="110"/>
    <cellStyle name="Normal 16" xfId="111"/>
    <cellStyle name="Normal 17" xfId="112"/>
    <cellStyle name="Normal 2" xfId="113"/>
    <cellStyle name="Normal 2 2" xfId="114"/>
    <cellStyle name="Normal 2 2 2" xfId="115"/>
    <cellStyle name="Normal 2 2 2 2" xfId="116"/>
    <cellStyle name="Normal 2 2 2 3" xfId="117"/>
    <cellStyle name="Normal 2 2 3" xfId="118"/>
    <cellStyle name="Normal 2 2 4" xfId="119"/>
    <cellStyle name="Normal 2 3" xfId="120"/>
    <cellStyle name="Normal 2 3 2" xfId="121"/>
    <cellStyle name="Normal 2 3 3" xfId="122"/>
    <cellStyle name="Normal 2 4" xfId="123"/>
    <cellStyle name="Normal 2 4 2" xfId="124"/>
    <cellStyle name="Normal 2 4 3" xfId="125"/>
    <cellStyle name="Normal 2 5" xfId="126"/>
    <cellStyle name="Normal 2 6" xfId="127"/>
    <cellStyle name="Normal 2 6 2" xfId="128"/>
    <cellStyle name="Normal 2 7" xfId="129"/>
    <cellStyle name="Normal 3" xfId="5"/>
    <cellStyle name="Normal 3 2" xfId="130"/>
    <cellStyle name="Normal 3 2 2" xfId="131"/>
    <cellStyle name="Normal 3 2 3" xfId="132"/>
    <cellStyle name="Normal 3 3" xfId="133"/>
    <cellStyle name="Normal 3 4" xfId="134"/>
    <cellStyle name="Normal 4" xfId="135"/>
    <cellStyle name="Normal 4 2" xfId="136"/>
    <cellStyle name="Normal 4 3" xfId="137"/>
    <cellStyle name="Normal 4 3 2" xfId="138"/>
    <cellStyle name="Normal 4 3 3" xfId="139"/>
    <cellStyle name="Normal 4 4" xfId="140"/>
    <cellStyle name="Normal 4 4 2" xfId="141"/>
    <cellStyle name="Normal 4 4 3" xfId="142"/>
    <cellStyle name="Normal 4 5" xfId="143"/>
    <cellStyle name="Normal 4 5 2" xfId="144"/>
    <cellStyle name="Normal 4 5 3" xfId="145"/>
    <cellStyle name="Normal 4 6" xfId="146"/>
    <cellStyle name="Normal 4 7" xfId="147"/>
    <cellStyle name="Normal 5" xfId="148"/>
    <cellStyle name="Normal 5 2" xfId="149"/>
    <cellStyle name="Normal 6" xfId="150"/>
    <cellStyle name="Normal 7" xfId="151"/>
    <cellStyle name="Normal 7 2" xfId="152"/>
    <cellStyle name="Normal 8" xfId="153"/>
    <cellStyle name="Normal 8 2" xfId="154"/>
    <cellStyle name="Normal 9" xfId="155"/>
    <cellStyle name="Normal 9 2" xfId="156"/>
    <cellStyle name="Normal 9 3" xfId="157"/>
    <cellStyle name="Normal_MTDUCT" xfId="6"/>
    <cellStyle name="Normal_PC-ExitSigns-D1" xfId="189"/>
    <cellStyle name="Normal_PC-LPDPackage-6P-D14" xfId="3"/>
    <cellStyle name="Normal_PC-PackRTOptimize-D1-6p-D2" xfId="7"/>
    <cellStyle name="Normal_ProCostFinAssumptions_Sector" xfId="8"/>
    <cellStyle name="Note 2" xfId="158"/>
    <cellStyle name="Note 2 2" xfId="159"/>
    <cellStyle name="Output 2" xfId="160"/>
    <cellStyle name="Output 2 2" xfId="161"/>
    <cellStyle name="Percent" xfId="188" builtinId="5"/>
    <cellStyle name="Percent 2" xfId="162"/>
    <cellStyle name="Percent 2 2" xfId="163"/>
    <cellStyle name="Percent 2 2 2" xfId="164"/>
    <cellStyle name="Percent 2 2 2 2" xfId="165"/>
    <cellStyle name="Percent 2 2 2 3" xfId="166"/>
    <cellStyle name="Percent 2 2 3" xfId="167"/>
    <cellStyle name="Percent 2 2 4" xfId="168"/>
    <cellStyle name="Percent 2 3" xfId="169"/>
    <cellStyle name="Percent 2 3 2" xfId="170"/>
    <cellStyle name="Percent 2 3 3" xfId="171"/>
    <cellStyle name="Percent 3" xfId="172"/>
    <cellStyle name="Percent 3 2" xfId="173"/>
    <cellStyle name="Percent 3 2 2" xfId="174"/>
    <cellStyle name="Percent 3 2 3" xfId="175"/>
    <cellStyle name="Percent 3 3" xfId="176"/>
    <cellStyle name="Percent 3 4" xfId="177"/>
    <cellStyle name="Percent 4" xfId="178"/>
    <cellStyle name="Percent 4 2" xfId="179"/>
    <cellStyle name="Percent 5" xfId="180"/>
    <cellStyle name="Title 2" xfId="181"/>
    <cellStyle name="Title 2 2" xfId="182"/>
    <cellStyle name="Total 2" xfId="183"/>
    <cellStyle name="Total 2 2" xfId="184"/>
    <cellStyle name="Warning Text 2" xfId="185"/>
    <cellStyle name="표준_ENERGY CONSUMP" xfId="186"/>
    <cellStyle name="常规_海外市场服务网站资料操作BOM" xfId="18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1</xdr:col>
      <xdr:colOff>600075</xdr:colOff>
      <xdr:row>3</xdr:row>
      <xdr:rowOff>161924</xdr:rowOff>
    </xdr:from>
    <xdr:to>
      <xdr:col>12</xdr:col>
      <xdr:colOff>304800</xdr:colOff>
      <xdr:row>23</xdr:row>
      <xdr:rowOff>0</xdr:rowOff>
    </xdr:to>
    <xdr:sp macro="" textlink="">
      <xdr:nvSpPr>
        <xdr:cNvPr id="2" name="TextBox 1"/>
        <xdr:cNvSpPr txBox="1"/>
      </xdr:nvSpPr>
      <xdr:spPr>
        <a:xfrm>
          <a:off x="1209675" y="647699"/>
          <a:ext cx="6410325" cy="3076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a:solidFill>
                <a:schemeClr val="dk1"/>
              </a:solidFill>
              <a:latin typeface="+mn-lt"/>
              <a:ea typeface="+mn-ea"/>
              <a:cs typeface="+mn-cs"/>
            </a:rPr>
            <a:t>Electroluminescent:  </a:t>
          </a:r>
        </a:p>
        <a:p>
          <a:endParaRPr lang="en-US" sz="1100" b="0" i="0">
            <a:solidFill>
              <a:schemeClr val="dk1"/>
            </a:solidFill>
            <a:latin typeface="+mn-lt"/>
            <a:ea typeface="+mn-ea"/>
            <a:cs typeface="+mn-cs"/>
          </a:endParaRPr>
        </a:p>
        <a:p>
          <a:r>
            <a:rPr lang="en-US" sz="1100" b="0" i="0">
              <a:solidFill>
                <a:schemeClr val="dk1"/>
              </a:solidFill>
              <a:latin typeface="+mn-lt"/>
              <a:ea typeface="+mn-ea"/>
              <a:cs typeface="+mn-cs"/>
            </a:rPr>
            <a:t>Using electroluminescent technology, this energy efficient exit sign delivers bright, even illumination at 1/5 watt energy consumption. Impact and scratch resistant polycarbonate/ABS housing, 120/277 VAC operation mounting canopy included for top, side or back mounting. Maintenance-free NiCad battery provides 2+ hours of emergency.  </a:t>
          </a:r>
        </a:p>
        <a:p>
          <a:endParaRPr lang="en-US" sz="1100" b="0" i="0">
            <a:solidFill>
              <a:schemeClr val="dk1"/>
            </a:solidFill>
            <a:latin typeface="+mn-lt"/>
            <a:ea typeface="+mn-ea"/>
            <a:cs typeface="+mn-cs"/>
          </a:endParaRPr>
        </a:p>
        <a:p>
          <a:r>
            <a:rPr lang="en-US"/>
            <a:t>LEC (Light Emitting Capacitor) and innovative “smart” driver technologies are the latest development in energy efficiency. The combination of these two elements provides a highly visible and ultra energy efficient light source with a long lifetime. LECs provide the same type of electroluminescence as LEDs (Light Emitting Diodes) but there is a significant difference: LEDs emit light using a direct electrical current through a diode structure that allows current to pass only in one direction. LECs, however, emit light using an alternating electric field through a capacitor structure which allows for small amounts of leakage current to pass through in two directions. This allows for a much more even spread of light and energy efficiency. Electroluminscent lamps are less than half the thickness of a credit card, allowing for very thin and durable signage.</a:t>
          </a:r>
          <a:endParaRPr lang="en-US" sz="1100" b="0" i="0">
            <a:solidFill>
              <a:schemeClr val="dk1"/>
            </a:solidFill>
            <a:latin typeface="+mn-lt"/>
            <a:ea typeface="+mn-ea"/>
            <a:cs typeface="+mn-cs"/>
          </a:endParaRPr>
        </a:p>
        <a:p>
          <a:endParaRPr lang="en-US" sz="1100" b="0" i="0">
            <a:solidFill>
              <a:schemeClr val="dk1"/>
            </a:solidFill>
            <a:latin typeface="+mn-lt"/>
            <a:ea typeface="+mn-ea"/>
            <a:cs typeface="+mn-cs"/>
          </a:endParaRPr>
        </a:p>
        <a:p>
          <a:r>
            <a:rPr lang="en-US" sz="1100" b="0" i="0">
              <a:solidFill>
                <a:schemeClr val="dk1"/>
              </a:solidFill>
              <a:latin typeface="+mn-lt"/>
              <a:ea typeface="+mn-ea"/>
              <a:cs typeface="+mn-cs"/>
            </a:rPr>
            <a:t>About $130 Q1 2015.  0.2 Watts</a:t>
          </a:r>
          <a:endParaRPr lang="en-US" sz="1100"/>
        </a:p>
      </xdr:txBody>
    </xdr:sp>
    <xdr:clientData/>
  </xdr:twoCellAnchor>
  <xdr:twoCellAnchor>
    <xdr:from>
      <xdr:col>1</xdr:col>
      <xdr:colOff>590550</xdr:colOff>
      <xdr:row>71</xdr:row>
      <xdr:rowOff>9525</xdr:rowOff>
    </xdr:from>
    <xdr:to>
      <xdr:col>12</xdr:col>
      <xdr:colOff>285750</xdr:colOff>
      <xdr:row>78</xdr:row>
      <xdr:rowOff>38100</xdr:rowOff>
    </xdr:to>
    <xdr:sp macro="" textlink="">
      <xdr:nvSpPr>
        <xdr:cNvPr id="3" name="TextBox 2"/>
        <xdr:cNvSpPr txBox="1"/>
      </xdr:nvSpPr>
      <xdr:spPr>
        <a:xfrm>
          <a:off x="1200150" y="4057650"/>
          <a:ext cx="640080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a:solidFill>
                <a:schemeClr val="dk1"/>
              </a:solidFill>
              <a:latin typeface="+mn-lt"/>
              <a:ea typeface="+mn-ea"/>
              <a:cs typeface="+mn-cs"/>
            </a:rPr>
            <a:t>Photoluminescent:  </a:t>
          </a:r>
        </a:p>
        <a:p>
          <a:endParaRPr lang="en-US" sz="1100" b="0" i="0">
            <a:solidFill>
              <a:schemeClr val="dk1"/>
            </a:solidFill>
            <a:latin typeface="+mn-lt"/>
            <a:ea typeface="+mn-ea"/>
            <a:cs typeface="+mn-cs"/>
          </a:endParaRPr>
        </a:p>
        <a:p>
          <a:r>
            <a:rPr lang="en-US" sz="1100" b="0" i="0">
              <a:solidFill>
                <a:schemeClr val="dk1"/>
              </a:solidFill>
              <a:latin typeface="+mn-lt"/>
              <a:ea typeface="+mn-ea"/>
              <a:cs typeface="+mn-cs"/>
            </a:rPr>
            <a:t>Meets NFPA Life Safety Code; listed through UL 924. It will provide minimum 90 minutes of illumination to a distance of 100 feet. No electricity, wiring, nor batteries are required.</a:t>
          </a:r>
        </a:p>
        <a:p>
          <a:endParaRPr lang="en-US" sz="1100" b="0" i="0">
            <a:solidFill>
              <a:schemeClr val="dk1"/>
            </a:solidFill>
            <a:latin typeface="+mn-lt"/>
            <a:ea typeface="+mn-ea"/>
            <a:cs typeface="+mn-cs"/>
          </a:endParaRPr>
        </a:p>
        <a:p>
          <a:r>
            <a:rPr lang="en-US" sz="1100" b="0" i="0">
              <a:solidFill>
                <a:schemeClr val="dk1"/>
              </a:solidFill>
              <a:latin typeface="+mn-lt"/>
              <a:ea typeface="+mn-ea"/>
              <a:cs typeface="+mn-cs"/>
            </a:rPr>
            <a:t>About $200 Q1</a:t>
          </a:r>
          <a:r>
            <a:rPr lang="en-US" sz="1100" b="0" i="0" baseline="0">
              <a:solidFill>
                <a:schemeClr val="dk1"/>
              </a:solidFill>
              <a:latin typeface="+mn-lt"/>
              <a:ea typeface="+mn-ea"/>
              <a:cs typeface="+mn-cs"/>
            </a:rPr>
            <a:t> 2015.  </a:t>
          </a:r>
          <a:r>
            <a:rPr lang="en-US" sz="1100" b="0" i="0">
              <a:solidFill>
                <a:schemeClr val="dk1"/>
              </a:solidFill>
              <a:latin typeface="+mn-lt"/>
              <a:ea typeface="+mn-ea"/>
              <a:cs typeface="+mn-cs"/>
            </a:rPr>
            <a:t>zero watts</a:t>
          </a:r>
          <a:endParaRPr lang="en-US" sz="1100"/>
        </a:p>
      </xdr:txBody>
    </xdr:sp>
    <xdr:clientData/>
  </xdr:twoCellAnchor>
  <xdr:twoCellAnchor editAs="oneCell">
    <xdr:from>
      <xdr:col>12</xdr:col>
      <xdr:colOff>600075</xdr:colOff>
      <xdr:row>71</xdr:row>
      <xdr:rowOff>9525</xdr:rowOff>
    </xdr:from>
    <xdr:to>
      <xdr:col>16</xdr:col>
      <xdr:colOff>104775</xdr:colOff>
      <xdr:row>81</xdr:row>
      <xdr:rowOff>9525</xdr:rowOff>
    </xdr:to>
    <xdr:pic>
      <xdr:nvPicPr>
        <xdr:cNvPr id="4" name="Picture 1" descr="http://www.exitlightco.com/mm5/graphics/00000001/PFP50_450%20Photoluminescent%20Exit%20Sign%20-%20Polycarbonate%20-%2050'%20View.jpg"/>
        <xdr:cNvPicPr>
          <a:picLocks noChangeAspect="1" noChangeArrowheads="1"/>
        </xdr:cNvPicPr>
      </xdr:nvPicPr>
      <xdr:blipFill>
        <a:blip xmlns:r="http://schemas.openxmlformats.org/officeDocument/2006/relationships" r:embed="rId1" cstate="print"/>
        <a:srcRect/>
        <a:stretch>
          <a:fillRect/>
        </a:stretch>
      </xdr:blipFill>
      <xdr:spPr bwMode="auto">
        <a:xfrm>
          <a:off x="7915275" y="4057650"/>
          <a:ext cx="1943100" cy="1619250"/>
        </a:xfrm>
        <a:prstGeom prst="rect">
          <a:avLst/>
        </a:prstGeom>
        <a:noFill/>
      </xdr:spPr>
    </xdr:pic>
    <xdr:clientData/>
  </xdr:twoCellAnchor>
  <xdr:twoCellAnchor>
    <xdr:from>
      <xdr:col>2</xdr:col>
      <xdr:colOff>123825</xdr:colOff>
      <xdr:row>86</xdr:row>
      <xdr:rowOff>152400</xdr:rowOff>
    </xdr:from>
    <xdr:to>
      <xdr:col>12</xdr:col>
      <xdr:colOff>257175</xdr:colOff>
      <xdr:row>95</xdr:row>
      <xdr:rowOff>19050</xdr:rowOff>
    </xdr:to>
    <xdr:sp macro="" textlink="">
      <xdr:nvSpPr>
        <xdr:cNvPr id="5" name="TextBox 4"/>
        <xdr:cNvSpPr txBox="1"/>
      </xdr:nvSpPr>
      <xdr:spPr>
        <a:xfrm>
          <a:off x="1343025" y="6629400"/>
          <a:ext cx="6229350"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Edge</a:t>
          </a:r>
          <a:r>
            <a:rPr lang="en-US" sz="1100" baseline="0"/>
            <a:t> lit LED:  </a:t>
          </a:r>
          <a:endParaRPr lang="en-US" sz="1100"/>
        </a:p>
        <a:p>
          <a:endParaRPr lang="en-US" sz="1100"/>
        </a:p>
        <a:p>
          <a:endParaRPr lang="en-US" sz="1100"/>
        </a:p>
        <a:p>
          <a:r>
            <a:rPr lang="en-US" sz="1100"/>
            <a:t>About $100.  3.0 watts</a:t>
          </a:r>
        </a:p>
      </xdr:txBody>
    </xdr:sp>
    <xdr:clientData/>
  </xdr:twoCellAnchor>
  <xdr:twoCellAnchor editAs="oneCell">
    <xdr:from>
      <xdr:col>13</xdr:col>
      <xdr:colOff>333375</xdr:colOff>
      <xdr:row>86</xdr:row>
      <xdr:rowOff>123825</xdr:rowOff>
    </xdr:from>
    <xdr:to>
      <xdr:col>15</xdr:col>
      <xdr:colOff>542925</xdr:colOff>
      <xdr:row>95</xdr:row>
      <xdr:rowOff>95250</xdr:rowOff>
    </xdr:to>
    <xdr:pic>
      <xdr:nvPicPr>
        <xdr:cNvPr id="6" name="Picture 2" descr="Exit Sign, Edge Lit - Red LED - Recessed Ceiling Mount"/>
        <xdr:cNvPicPr>
          <a:picLocks noChangeAspect="1" noChangeArrowheads="1"/>
        </xdr:cNvPicPr>
      </xdr:nvPicPr>
      <xdr:blipFill>
        <a:blip xmlns:r="http://schemas.openxmlformats.org/officeDocument/2006/relationships" r:embed="rId2" cstate="print"/>
        <a:srcRect/>
        <a:stretch>
          <a:fillRect/>
        </a:stretch>
      </xdr:blipFill>
      <xdr:spPr bwMode="auto">
        <a:xfrm>
          <a:off x="8258175" y="6600825"/>
          <a:ext cx="1428750" cy="1428750"/>
        </a:xfrm>
        <a:prstGeom prst="rect">
          <a:avLst/>
        </a:prstGeom>
        <a:noFill/>
      </xdr:spPr>
    </xdr:pic>
    <xdr:clientData/>
  </xdr:twoCellAnchor>
  <xdr:twoCellAnchor>
    <xdr:from>
      <xdr:col>2</xdr:col>
      <xdr:colOff>266700</xdr:colOff>
      <xdr:row>119</xdr:row>
      <xdr:rowOff>0</xdr:rowOff>
    </xdr:from>
    <xdr:to>
      <xdr:col>12</xdr:col>
      <xdr:colOff>333375</xdr:colOff>
      <xdr:row>127</xdr:row>
      <xdr:rowOff>85725</xdr:rowOff>
    </xdr:to>
    <xdr:sp macro="" textlink="">
      <xdr:nvSpPr>
        <xdr:cNvPr id="7" name="TextBox 6"/>
        <xdr:cNvSpPr txBox="1"/>
      </xdr:nvSpPr>
      <xdr:spPr>
        <a:xfrm>
          <a:off x="1485900" y="11820525"/>
          <a:ext cx="6162675"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Standard LED:</a:t>
          </a:r>
        </a:p>
        <a:p>
          <a:endParaRPr lang="en-US" sz="1100"/>
        </a:p>
        <a:p>
          <a:r>
            <a:rPr lang="en-US" sz="1100"/>
            <a:t>Federal standard is 5 watts</a:t>
          </a:r>
          <a:r>
            <a:rPr lang="en-US" sz="1100" baseline="0"/>
            <a:t> per face.  Costs range $25 to $200 depending on finish and function.  Typical sign is $40 to $55.  </a:t>
          </a:r>
        </a:p>
        <a:p>
          <a:endParaRPr lang="en-US" sz="1100" baseline="0"/>
        </a:p>
        <a:p>
          <a:endParaRPr lang="en-US" sz="1100" baseline="0"/>
        </a:p>
        <a:p>
          <a:endParaRPr lang="en-US" sz="1100" baseline="0"/>
        </a:p>
        <a:p>
          <a:endParaRPr lang="en-US" sz="1100"/>
        </a:p>
      </xdr:txBody>
    </xdr:sp>
    <xdr:clientData/>
  </xdr:twoCellAnchor>
  <xdr:twoCellAnchor editAs="oneCell">
    <xdr:from>
      <xdr:col>13</xdr:col>
      <xdr:colOff>390525</xdr:colOff>
      <xdr:row>101</xdr:row>
      <xdr:rowOff>85725</xdr:rowOff>
    </xdr:from>
    <xdr:to>
      <xdr:col>15</xdr:col>
      <xdr:colOff>228600</xdr:colOff>
      <xdr:row>112</xdr:row>
      <xdr:rowOff>66675</xdr:rowOff>
    </xdr:to>
    <xdr:pic>
      <xdr:nvPicPr>
        <xdr:cNvPr id="8" name="Picture 4" descr="Exit Sign - Self-luminous - Tritium - Green - 12-15 Week Lead Time"/>
        <xdr:cNvPicPr>
          <a:picLocks noChangeAspect="1" noChangeArrowheads="1"/>
        </xdr:cNvPicPr>
      </xdr:nvPicPr>
      <xdr:blipFill>
        <a:blip xmlns:r="http://schemas.openxmlformats.org/officeDocument/2006/relationships" r:embed="rId3" cstate="print"/>
        <a:srcRect/>
        <a:stretch>
          <a:fillRect/>
        </a:stretch>
      </xdr:blipFill>
      <xdr:spPr bwMode="auto">
        <a:xfrm>
          <a:off x="8315325" y="8991600"/>
          <a:ext cx="1057275" cy="1762125"/>
        </a:xfrm>
        <a:prstGeom prst="rect">
          <a:avLst/>
        </a:prstGeom>
        <a:noFill/>
      </xdr:spPr>
    </xdr:pic>
    <xdr:clientData/>
  </xdr:twoCellAnchor>
  <xdr:twoCellAnchor>
    <xdr:from>
      <xdr:col>2</xdr:col>
      <xdr:colOff>333375</xdr:colOff>
      <xdr:row>101</xdr:row>
      <xdr:rowOff>0</xdr:rowOff>
    </xdr:from>
    <xdr:to>
      <xdr:col>12</xdr:col>
      <xdr:colOff>352425</xdr:colOff>
      <xdr:row>112</xdr:row>
      <xdr:rowOff>152400</xdr:rowOff>
    </xdr:to>
    <xdr:sp macro="" textlink="">
      <xdr:nvSpPr>
        <xdr:cNvPr id="9" name="TextBox 8"/>
        <xdr:cNvSpPr txBox="1"/>
      </xdr:nvSpPr>
      <xdr:spPr>
        <a:xfrm>
          <a:off x="1552575" y="8905875"/>
          <a:ext cx="6115050" cy="1933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Tritium:</a:t>
          </a:r>
        </a:p>
        <a:p>
          <a:endParaRPr lang="en-US" sz="1100"/>
        </a:p>
        <a:p>
          <a:r>
            <a:rPr lang="en-US" sz="1100" b="0" i="0">
              <a:solidFill>
                <a:schemeClr val="dk1"/>
              </a:solidFill>
              <a:latin typeface="+mn-lt"/>
              <a:ea typeface="+mn-ea"/>
              <a:cs typeface="+mn-cs"/>
            </a:rPr>
            <a:t>Radio</a:t>
          </a:r>
          <a:r>
            <a:rPr lang="en-US" sz="1100" b="0" i="0" baseline="0">
              <a:solidFill>
                <a:schemeClr val="dk1"/>
              </a:solidFill>
              <a:latin typeface="+mn-lt"/>
              <a:ea typeface="+mn-ea"/>
              <a:cs typeface="+mn-cs"/>
            </a:rPr>
            <a:t> Luminescence.  </a:t>
          </a:r>
          <a:r>
            <a:rPr lang="en-US" sz="1100" b="0" i="0">
              <a:solidFill>
                <a:schemeClr val="dk1"/>
              </a:solidFill>
              <a:latin typeface="+mn-lt"/>
              <a:ea typeface="+mn-ea"/>
              <a:cs typeface="+mn-cs"/>
            </a:rPr>
            <a:t>Self luminous tritium exit signs require no AC power connection and require no ambient light source for charging. Tritium exit signs are completely self-contained, relying on radioluminescence to illuminate the letters of the exit sign. </a:t>
          </a:r>
        </a:p>
        <a:p>
          <a:endParaRPr lang="en-US" sz="1100" b="0" i="0">
            <a:solidFill>
              <a:schemeClr val="dk1"/>
            </a:solidFill>
            <a:latin typeface="+mn-lt"/>
            <a:ea typeface="+mn-ea"/>
            <a:cs typeface="+mn-cs"/>
          </a:endParaRPr>
        </a:p>
        <a:p>
          <a:r>
            <a:rPr lang="en-US" sz="1100" b="0" i="0">
              <a:solidFill>
                <a:schemeClr val="dk1"/>
              </a:solidFill>
              <a:latin typeface="+mn-lt"/>
              <a:ea typeface="+mn-ea"/>
              <a:cs typeface="+mn-cs"/>
            </a:rPr>
            <a:t>About $200 per sign.  Zero Watts  Ten to 12 year life.  Radiation disposal required.</a:t>
          </a:r>
          <a:endParaRPr lang="en-US" sz="1100"/>
        </a:p>
      </xdr:txBody>
    </xdr:sp>
    <xdr:clientData/>
  </xdr:twoCellAnchor>
  <xdr:twoCellAnchor editAs="oneCell">
    <xdr:from>
      <xdr:col>14</xdr:col>
      <xdr:colOff>1</xdr:colOff>
      <xdr:row>4</xdr:row>
      <xdr:rowOff>1</xdr:rowOff>
    </xdr:from>
    <xdr:to>
      <xdr:col>16</xdr:col>
      <xdr:colOff>95251</xdr:colOff>
      <xdr:row>12</xdr:row>
      <xdr:rowOff>19051</xdr:rowOff>
    </xdr:to>
    <xdr:pic>
      <xdr:nvPicPr>
        <xdr:cNvPr id="10" name="Picture 5" descr="LEC Exit Sign"/>
        <xdr:cNvPicPr>
          <a:picLocks noChangeAspect="1" noChangeArrowheads="1"/>
        </xdr:cNvPicPr>
      </xdr:nvPicPr>
      <xdr:blipFill>
        <a:blip xmlns:r="http://schemas.openxmlformats.org/officeDocument/2006/relationships" r:embed="rId4" cstate="print"/>
        <a:srcRect/>
        <a:stretch>
          <a:fillRect/>
        </a:stretch>
      </xdr:blipFill>
      <xdr:spPr bwMode="auto">
        <a:xfrm>
          <a:off x="8534401" y="647701"/>
          <a:ext cx="1314450" cy="1314450"/>
        </a:xfrm>
        <a:prstGeom prst="rect">
          <a:avLst/>
        </a:prstGeom>
        <a:noFill/>
      </xdr:spPr>
    </xdr:pic>
    <xdr:clientData/>
  </xdr:twoCellAnchor>
  <xdr:twoCellAnchor editAs="oneCell">
    <xdr:from>
      <xdr:col>2</xdr:col>
      <xdr:colOff>95251</xdr:colOff>
      <xdr:row>43</xdr:row>
      <xdr:rowOff>133351</xdr:rowOff>
    </xdr:from>
    <xdr:to>
      <xdr:col>9</xdr:col>
      <xdr:colOff>161925</xdr:colOff>
      <xdr:row>61</xdr:row>
      <xdr:rowOff>58723</xdr:rowOff>
    </xdr:to>
    <xdr:pic>
      <xdr:nvPicPr>
        <xdr:cNvPr id="11" name="Picture 6" descr="http://www.ecosmartexits.com/wp-content/themes/ecosmart/images/standardchart.jpg"/>
        <xdr:cNvPicPr>
          <a:picLocks noChangeAspect="1" noChangeArrowheads="1"/>
        </xdr:cNvPicPr>
      </xdr:nvPicPr>
      <xdr:blipFill>
        <a:blip xmlns:r="http://schemas.openxmlformats.org/officeDocument/2006/relationships" r:embed="rId5" cstate="print"/>
        <a:srcRect/>
        <a:stretch>
          <a:fillRect/>
        </a:stretch>
      </xdr:blipFill>
      <xdr:spPr bwMode="auto">
        <a:xfrm>
          <a:off x="1314451" y="7096126"/>
          <a:ext cx="4333874" cy="2840022"/>
        </a:xfrm>
        <a:prstGeom prst="rect">
          <a:avLst/>
        </a:prstGeom>
        <a:noFill/>
      </xdr:spPr>
    </xdr:pic>
    <xdr:clientData/>
  </xdr:twoCellAnchor>
  <xdr:twoCellAnchor editAs="oneCell">
    <xdr:from>
      <xdr:col>13</xdr:col>
      <xdr:colOff>28576</xdr:colOff>
      <xdr:row>13</xdr:row>
      <xdr:rowOff>28576</xdr:rowOff>
    </xdr:from>
    <xdr:to>
      <xdr:col>16</xdr:col>
      <xdr:colOff>390526</xdr:colOff>
      <xdr:row>22</xdr:row>
      <xdr:rowOff>143591</xdr:rowOff>
    </xdr:to>
    <xdr:pic>
      <xdr:nvPicPr>
        <xdr:cNvPr id="9217" name="Picture 1" descr="LEC Edge-Lit Exit Sign with Battery Back-up - Recessed Mount"/>
        <xdr:cNvPicPr>
          <a:picLocks noChangeAspect="1" noChangeArrowheads="1"/>
        </xdr:cNvPicPr>
      </xdr:nvPicPr>
      <xdr:blipFill>
        <a:blip xmlns:r="http://schemas.openxmlformats.org/officeDocument/2006/relationships" r:embed="rId6" cstate="print"/>
        <a:srcRect/>
        <a:stretch>
          <a:fillRect/>
        </a:stretch>
      </xdr:blipFill>
      <xdr:spPr bwMode="auto">
        <a:xfrm>
          <a:off x="7953376" y="2133601"/>
          <a:ext cx="2190750" cy="1572340"/>
        </a:xfrm>
        <a:prstGeom prst="rect">
          <a:avLst/>
        </a:prstGeom>
        <a:noFill/>
      </xdr:spPr>
    </xdr:pic>
    <xdr:clientData/>
  </xdr:twoCellAnchor>
  <xdr:twoCellAnchor editAs="oneCell">
    <xdr:from>
      <xdr:col>2</xdr:col>
      <xdr:colOff>133350</xdr:colOff>
      <xdr:row>24</xdr:row>
      <xdr:rowOff>9525</xdr:rowOff>
    </xdr:from>
    <xdr:to>
      <xdr:col>9</xdr:col>
      <xdr:colOff>161925</xdr:colOff>
      <xdr:row>41</xdr:row>
      <xdr:rowOff>130171</xdr:rowOff>
    </xdr:to>
    <xdr:pic>
      <xdr:nvPicPr>
        <xdr:cNvPr id="9218"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1352550" y="3895725"/>
          <a:ext cx="4295775" cy="2873371"/>
        </a:xfrm>
        <a:prstGeom prst="rect">
          <a:avLst/>
        </a:prstGeom>
        <a:noFill/>
        <a:ln w="1">
          <a:noFill/>
          <a:miter lim="800000"/>
          <a:headEnd/>
          <a:tailEnd type="none" w="med" len="med"/>
        </a:ln>
        <a:effectLst/>
      </xdr:spPr>
    </xdr:pic>
    <xdr:clientData/>
  </xdr:twoCellAnchor>
  <xdr:twoCellAnchor>
    <xdr:from>
      <xdr:col>24</xdr:col>
      <xdr:colOff>571499</xdr:colOff>
      <xdr:row>5</xdr:row>
      <xdr:rowOff>0</xdr:rowOff>
    </xdr:from>
    <xdr:to>
      <xdr:col>40</xdr:col>
      <xdr:colOff>47624</xdr:colOff>
      <xdr:row>52</xdr:row>
      <xdr:rowOff>152400</xdr:rowOff>
    </xdr:to>
    <xdr:sp macro="" textlink="">
      <xdr:nvSpPr>
        <xdr:cNvPr id="14" name="TextBox 13"/>
        <xdr:cNvSpPr txBox="1"/>
      </xdr:nvSpPr>
      <xdr:spPr>
        <a:xfrm>
          <a:off x="19631024" y="809625"/>
          <a:ext cx="9229725" cy="7762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r>
            <a:rPr lang="en-US" sz="1100">
              <a:solidFill>
                <a:schemeClr val="dk1"/>
              </a:solidFill>
              <a:latin typeface="+mn-lt"/>
              <a:ea typeface="+mn-ea"/>
              <a:cs typeface="+mn-cs"/>
            </a:rPr>
            <a:t>Interview with Kate Hendershott</a:t>
          </a:r>
        </a:p>
        <a:p>
          <a:r>
            <a:rPr lang="en-US" sz="1100">
              <a:solidFill>
                <a:schemeClr val="dk1"/>
              </a:solidFill>
              <a:latin typeface="+mn-lt"/>
              <a:ea typeface="+mn-ea"/>
              <a:cs typeface="+mn-cs"/>
            </a:rPr>
            <a:t>EcoSmart Exit Signs</a:t>
          </a:r>
        </a:p>
        <a:p>
          <a:r>
            <a:rPr lang="en-US" sz="1100">
              <a:solidFill>
                <a:schemeClr val="dk1"/>
              </a:solidFill>
              <a:latin typeface="+mn-lt"/>
              <a:ea typeface="+mn-ea"/>
              <a:cs typeface="+mn-cs"/>
            </a:rPr>
            <a:t>March 23 2014</a:t>
          </a:r>
        </a:p>
        <a:p>
          <a:r>
            <a:rPr lang="en-US" sz="1100">
              <a:solidFill>
                <a:schemeClr val="dk1"/>
              </a:solidFill>
              <a:latin typeface="+mn-lt"/>
              <a:ea typeface="+mn-ea"/>
              <a:cs typeface="+mn-cs"/>
            </a:rPr>
            <a:t> </a:t>
          </a:r>
        </a:p>
        <a:p>
          <a:r>
            <a:rPr lang="en-US" sz="1100">
              <a:solidFill>
                <a:schemeClr val="dk1"/>
              </a:solidFill>
              <a:latin typeface="+mn-lt"/>
              <a:ea typeface="+mn-ea"/>
              <a:cs typeface="+mn-cs"/>
            </a:rPr>
            <a:t>Kate Hendershott</a:t>
          </a:r>
          <a:br>
            <a:rPr lang="en-US" sz="1100">
              <a:solidFill>
                <a:schemeClr val="dk1"/>
              </a:solidFill>
              <a:latin typeface="+mn-lt"/>
              <a:ea typeface="+mn-ea"/>
              <a:cs typeface="+mn-cs"/>
            </a:rPr>
          </a:br>
          <a:r>
            <a:rPr lang="en-US" sz="1100">
              <a:solidFill>
                <a:schemeClr val="dk1"/>
              </a:solidFill>
              <a:latin typeface="+mn-lt"/>
              <a:ea typeface="+mn-ea"/>
              <a:cs typeface="+mn-cs"/>
            </a:rPr>
            <a:t>Vice President Marketing and Sales</a:t>
          </a:r>
          <a:br>
            <a:rPr lang="en-US" sz="1100">
              <a:solidFill>
                <a:schemeClr val="dk1"/>
              </a:solidFill>
              <a:latin typeface="+mn-lt"/>
              <a:ea typeface="+mn-ea"/>
              <a:cs typeface="+mn-cs"/>
            </a:rPr>
          </a:br>
          <a:r>
            <a:rPr lang="en-US" sz="1100">
              <a:solidFill>
                <a:schemeClr val="dk1"/>
              </a:solidFill>
              <a:latin typeface="+mn-lt"/>
              <a:ea typeface="+mn-ea"/>
              <a:cs typeface="+mn-cs"/>
            </a:rPr>
            <a:t>EcoSmart Exit Signs</a:t>
          </a:r>
          <a:br>
            <a:rPr lang="en-US" sz="1100">
              <a:solidFill>
                <a:schemeClr val="dk1"/>
              </a:solidFill>
              <a:latin typeface="+mn-lt"/>
              <a:ea typeface="+mn-ea"/>
              <a:cs typeface="+mn-cs"/>
            </a:rPr>
          </a:br>
          <a:r>
            <a:rPr lang="en-US" sz="1100">
              <a:solidFill>
                <a:schemeClr val="dk1"/>
              </a:solidFill>
              <a:latin typeface="+mn-lt"/>
              <a:ea typeface="+mn-ea"/>
              <a:cs typeface="+mn-cs"/>
            </a:rPr>
            <a:t>Mobile: 612-991-1886</a:t>
          </a:r>
          <a:br>
            <a:rPr lang="en-US" sz="1100">
              <a:solidFill>
                <a:schemeClr val="dk1"/>
              </a:solidFill>
              <a:latin typeface="+mn-lt"/>
              <a:ea typeface="+mn-ea"/>
              <a:cs typeface="+mn-cs"/>
            </a:rPr>
          </a:br>
          <a:r>
            <a:rPr lang="en-US" sz="1100">
              <a:solidFill>
                <a:schemeClr val="dk1"/>
              </a:solidFill>
              <a:latin typeface="+mn-lt"/>
              <a:ea typeface="+mn-ea"/>
              <a:cs typeface="+mn-cs"/>
            </a:rPr>
            <a:t>Office: 800-300-3948</a:t>
          </a:r>
        </a:p>
        <a:p>
          <a:r>
            <a:rPr lang="en-US" sz="1100">
              <a:solidFill>
                <a:schemeClr val="dk1"/>
              </a:solidFill>
              <a:latin typeface="+mn-lt"/>
              <a:ea typeface="+mn-ea"/>
              <a:cs typeface="+mn-cs"/>
            </a:rPr>
            <a:t> </a:t>
          </a:r>
        </a:p>
        <a:p>
          <a:r>
            <a:rPr lang="en-US" sz="1100">
              <a:solidFill>
                <a:schemeClr val="dk1"/>
              </a:solidFill>
              <a:latin typeface="+mn-lt"/>
              <a:ea typeface="+mn-ea"/>
              <a:cs typeface="+mn-cs"/>
            </a:rPr>
            <a:t>Company:  Eco Smart Exit Signs</a:t>
          </a:r>
        </a:p>
        <a:p>
          <a:r>
            <a:rPr lang="en-US" sz="1100">
              <a:solidFill>
                <a:schemeClr val="dk1"/>
              </a:solidFill>
              <a:latin typeface="+mn-lt"/>
              <a:ea typeface="+mn-ea"/>
              <a:cs typeface="+mn-cs"/>
            </a:rPr>
            <a:t> </a:t>
          </a:r>
        </a:p>
        <a:p>
          <a:r>
            <a:rPr lang="en-US" sz="1100">
              <a:solidFill>
                <a:schemeClr val="dk1"/>
              </a:solidFill>
              <a:latin typeface="+mn-lt"/>
              <a:ea typeface="+mn-ea"/>
              <a:cs typeface="+mn-cs"/>
            </a:rPr>
            <a:t>LEC:  Light Emitting Capacitor. Kind of like OLED. Only comes in green color (not red). Consistent luminosity favored by fire, life safety crowd due to higher visibility in smoke, fog haze.  Very low energy 0.2</a:t>
          </a:r>
          <a:r>
            <a:rPr lang="en-US" sz="1100" baseline="0">
              <a:solidFill>
                <a:schemeClr val="dk1"/>
              </a:solidFill>
              <a:latin typeface="+mn-lt"/>
              <a:ea typeface="+mn-ea"/>
              <a:cs typeface="+mn-cs"/>
            </a:rPr>
            <a:t> to 0.4 W.</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Life:  About same as LED – approx 10-15 years. Five – year warrantee</a:t>
          </a:r>
        </a:p>
        <a:p>
          <a:pPr lvl="0"/>
          <a:r>
            <a:rPr lang="en-US" sz="1100">
              <a:solidFill>
                <a:schemeClr val="dk1"/>
              </a:solidFill>
              <a:latin typeface="+mn-lt"/>
              <a:ea typeface="+mn-ea"/>
              <a:cs typeface="+mn-cs"/>
            </a:rPr>
            <a:t>Battery:  Batter change savings are due to better battery and charge software, not unique to the UEC</a:t>
          </a:r>
        </a:p>
        <a:p>
          <a:pPr lvl="0"/>
          <a:r>
            <a:rPr lang="en-US" sz="1100">
              <a:solidFill>
                <a:schemeClr val="dk1"/>
              </a:solidFill>
              <a:latin typeface="+mn-lt"/>
              <a:ea typeface="+mn-ea"/>
              <a:cs typeface="+mn-cs"/>
            </a:rPr>
            <a:t>For LED signs with typical battery, battery chage is require annually.</a:t>
          </a:r>
        </a:p>
        <a:p>
          <a:pPr lvl="0"/>
          <a:r>
            <a:rPr lang="en-US" sz="1100">
              <a:solidFill>
                <a:schemeClr val="dk1"/>
              </a:solidFill>
              <a:latin typeface="+mn-lt"/>
              <a:ea typeface="+mn-ea"/>
              <a:cs typeface="+mn-cs"/>
            </a:rPr>
            <a:t>Battery must be tested monthly. Hence the big savings in self test. But sophisticated self test is not unique to LEC. Could also be engineered into LED.</a:t>
          </a:r>
        </a:p>
        <a:p>
          <a:pPr lvl="0"/>
          <a:r>
            <a:rPr lang="en-US" sz="1100">
              <a:solidFill>
                <a:schemeClr val="dk1"/>
              </a:solidFill>
              <a:latin typeface="+mn-lt"/>
              <a:ea typeface="+mn-ea"/>
              <a:cs typeface="+mn-cs"/>
            </a:rPr>
            <a:t>Battery must be tested every 30 days by code</a:t>
          </a:r>
        </a:p>
        <a:p>
          <a:pPr lvl="0"/>
          <a:r>
            <a:rPr lang="en-US" sz="1100">
              <a:solidFill>
                <a:schemeClr val="dk1"/>
              </a:solidFill>
              <a:latin typeface="+mn-lt"/>
              <a:ea typeface="+mn-ea"/>
              <a:cs typeface="+mn-cs"/>
            </a:rPr>
            <a:t>Lamp module:  Cartridge design. Cost $10 to $15 plus labor to replace. This versus $40-$50 for LED module replacement (if you can find it) or more likely new LED sign. Five-year max for LED module before inspector tags it for droop. LEC cartridge longer lasting and consistent – few tagging issues. LEC issues with UV light, so longer lasting indoors.</a:t>
          </a:r>
        </a:p>
        <a:p>
          <a:pPr lvl="0"/>
          <a:r>
            <a:rPr lang="en-US" sz="1100">
              <a:solidFill>
                <a:schemeClr val="dk1"/>
              </a:solidFill>
              <a:latin typeface="+mn-lt"/>
              <a:ea typeface="+mn-ea"/>
              <a:cs typeface="+mn-cs"/>
            </a:rPr>
            <a:t>Incremental cost new:  $30 to $35 for equivalent materials, finish and battery set up with self test.</a:t>
          </a:r>
        </a:p>
        <a:p>
          <a:pPr lvl="0"/>
          <a:r>
            <a:rPr lang="en-US" sz="1100">
              <a:solidFill>
                <a:schemeClr val="dk1"/>
              </a:solidFill>
              <a:latin typeface="+mn-lt"/>
              <a:ea typeface="+mn-ea"/>
              <a:cs typeface="+mn-cs"/>
            </a:rPr>
            <a:t>The sell 95% AC-only.</a:t>
          </a:r>
        </a:p>
        <a:p>
          <a:pPr lvl="0"/>
          <a:r>
            <a:rPr lang="en-US" sz="1100">
              <a:solidFill>
                <a:schemeClr val="dk1"/>
              </a:solidFill>
              <a:latin typeface="+mn-lt"/>
              <a:ea typeface="+mn-ea"/>
              <a:cs typeface="+mn-cs"/>
            </a:rPr>
            <a:t>AC-only is suitable is a building that has generator backup. If no generator backup, a battery pack is required by code</a:t>
          </a:r>
        </a:p>
        <a:p>
          <a:pPr lvl="0"/>
          <a:r>
            <a:rPr lang="en-US" sz="1100">
              <a:solidFill>
                <a:schemeClr val="dk1"/>
              </a:solidFill>
              <a:latin typeface="+mn-lt"/>
              <a:ea typeface="+mn-ea"/>
              <a:cs typeface="+mn-cs"/>
            </a:rPr>
            <a:t>Most of their market is new construction – lots of healthcare, schools, public buildings</a:t>
          </a:r>
        </a:p>
        <a:p>
          <a:pPr lvl="0"/>
          <a:r>
            <a:rPr lang="en-US" sz="1100">
              <a:solidFill>
                <a:schemeClr val="dk1"/>
              </a:solidFill>
              <a:latin typeface="+mn-lt"/>
              <a:ea typeface="+mn-ea"/>
              <a:cs typeface="+mn-cs"/>
            </a:rPr>
            <a:t>Office market:  Mostly Edge-lit LED. These look nice, but do not perform well in smoke and haze. But not a great market yet for LEC</a:t>
          </a:r>
        </a:p>
        <a:p>
          <a:pPr lvl="0"/>
          <a:r>
            <a:rPr lang="en-US" sz="1100">
              <a:solidFill>
                <a:schemeClr val="dk1"/>
              </a:solidFill>
              <a:latin typeface="+mn-lt"/>
              <a:ea typeface="+mn-ea"/>
              <a:cs typeface="+mn-cs"/>
            </a:rPr>
            <a:t>Health Care market:  This is the main market for UEC signs at the moment. Due largely to health and safety issues and more consistent luminosity of LEC. Fewer citations for non-performance. Also lower maintenance with self-test battery and fewer battery changes.</a:t>
          </a:r>
        </a:p>
        <a:p>
          <a:pPr lvl="0"/>
          <a:r>
            <a:rPr lang="en-US" sz="1100">
              <a:solidFill>
                <a:schemeClr val="dk1"/>
              </a:solidFill>
              <a:latin typeface="+mn-lt"/>
              <a:ea typeface="+mn-ea"/>
              <a:cs typeface="+mn-cs"/>
            </a:rPr>
            <a:t>Retrofit market?  Not much yet. But as current stock of LED signs nears end of life, there is an ROB option. New LEC or New LED/LED lamp module</a:t>
          </a:r>
        </a:p>
        <a:p>
          <a:pPr lvl="0"/>
          <a:r>
            <a:rPr lang="en-US" sz="1100">
              <a:solidFill>
                <a:schemeClr val="dk1"/>
              </a:solidFill>
              <a:latin typeface="+mn-lt"/>
              <a:ea typeface="+mn-ea"/>
              <a:cs typeface="+mn-cs"/>
            </a:rPr>
            <a:t>Some work in floor to floor retrofits</a:t>
          </a:r>
        </a:p>
        <a:p>
          <a:pPr lvl="0"/>
          <a:r>
            <a:rPr lang="en-US" sz="1100">
              <a:solidFill>
                <a:schemeClr val="dk1"/>
              </a:solidFill>
              <a:latin typeface="+mn-lt"/>
              <a:ea typeface="+mn-ea"/>
              <a:cs typeface="+mn-cs"/>
            </a:rPr>
            <a:t>In replacement market:  about 60% go to new signs rather than replace the LED module</a:t>
          </a:r>
        </a:p>
        <a:p>
          <a:pPr lvl="0"/>
          <a:r>
            <a:rPr lang="en-US" sz="1100">
              <a:solidFill>
                <a:schemeClr val="dk1"/>
              </a:solidFill>
              <a:latin typeface="+mn-lt"/>
              <a:ea typeface="+mn-ea"/>
              <a:cs typeface="+mn-cs"/>
            </a:rPr>
            <a:t>East Coast:  More red signs. West coast more green signs. Code officials and fire inspectors prefer green</a:t>
          </a:r>
        </a:p>
        <a:p>
          <a:pPr lvl="0"/>
          <a:r>
            <a:rPr lang="en-US" sz="1100">
              <a:solidFill>
                <a:schemeClr val="dk1"/>
              </a:solidFill>
              <a:latin typeface="+mn-lt"/>
              <a:ea typeface="+mn-ea"/>
              <a:cs typeface="+mn-cs"/>
            </a:rPr>
            <a:t>Does not have good sense of number of signs</a:t>
          </a:r>
        </a:p>
        <a:p>
          <a:pPr lvl="0"/>
          <a:r>
            <a:rPr lang="en-US" sz="1100">
              <a:solidFill>
                <a:schemeClr val="dk1"/>
              </a:solidFill>
              <a:latin typeface="+mn-lt"/>
              <a:ea typeface="+mn-ea"/>
              <a:cs typeface="+mn-cs"/>
            </a:rPr>
            <a:t>Thinks 1.2 signs per ksf seems low. Gut feel is that 2 signs per ksf more like the average.</a:t>
          </a:r>
        </a:p>
        <a:p>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endParaRPr lang="en-US" sz="1100"/>
        </a:p>
      </xdr:txBody>
    </xdr:sp>
    <xdr:clientData/>
  </xdr:twoCellAnchor>
  <xdr:twoCellAnchor editAs="oneCell">
    <xdr:from>
      <xdr:col>9</xdr:col>
      <xdr:colOff>419100</xdr:colOff>
      <xdr:row>24</xdr:row>
      <xdr:rowOff>76201</xdr:rowOff>
    </xdr:from>
    <xdr:to>
      <xdr:col>15</xdr:col>
      <xdr:colOff>438818</xdr:colOff>
      <xdr:row>49</xdr:row>
      <xdr:rowOff>47626</xdr:rowOff>
    </xdr:to>
    <xdr:pic>
      <xdr:nvPicPr>
        <xdr:cNvPr id="12" name="Picture 2"/>
        <xdr:cNvPicPr>
          <a:picLocks noChangeAspect="1" noChangeArrowheads="1"/>
        </xdr:cNvPicPr>
      </xdr:nvPicPr>
      <xdr:blipFill>
        <a:blip xmlns:r="http://schemas.openxmlformats.org/officeDocument/2006/relationships" r:embed="rId8" cstate="print"/>
        <a:srcRect/>
        <a:stretch>
          <a:fillRect/>
        </a:stretch>
      </xdr:blipFill>
      <xdr:spPr bwMode="auto">
        <a:xfrm>
          <a:off x="5905500" y="3962401"/>
          <a:ext cx="3677318" cy="40195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28575</xdr:colOff>
      <xdr:row>33</xdr:row>
      <xdr:rowOff>171449</xdr:rowOff>
    </xdr:from>
    <xdr:to>
      <xdr:col>46</xdr:col>
      <xdr:colOff>1476375</xdr:colOff>
      <xdr:row>63</xdr:row>
      <xdr:rowOff>76199</xdr:rowOff>
    </xdr:to>
    <xdr:sp macro="" textlink="">
      <xdr:nvSpPr>
        <xdr:cNvPr id="2" name="TextBox 1"/>
        <xdr:cNvSpPr txBox="1"/>
      </xdr:nvSpPr>
      <xdr:spPr>
        <a:xfrm>
          <a:off x="50949225" y="6629399"/>
          <a:ext cx="9458325" cy="664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Charlie,</a:t>
          </a:r>
        </a:p>
        <a:p>
          <a:r>
            <a:rPr lang="en-US" sz="1100">
              <a:solidFill>
                <a:schemeClr val="dk1"/>
              </a:solidFill>
              <a:latin typeface="+mn-lt"/>
              <a:ea typeface="+mn-ea"/>
              <a:cs typeface="+mn-cs"/>
            </a:rPr>
            <a:t> </a:t>
          </a:r>
        </a:p>
        <a:p>
          <a:r>
            <a:rPr lang="en-US" sz="1100">
              <a:solidFill>
                <a:schemeClr val="dk1"/>
              </a:solidFill>
              <a:latin typeface="+mn-lt"/>
              <a:ea typeface="+mn-ea"/>
              <a:cs typeface="+mn-cs"/>
            </a:rPr>
            <a:t>Is there one estimate or another that you feel more comfortable with i.e is it more likely that the 6P underestimated or that this is overestimating? </a:t>
          </a:r>
        </a:p>
        <a:p>
          <a:r>
            <a:rPr lang="en-US" sz="1100">
              <a:solidFill>
                <a:schemeClr val="dk1"/>
              </a:solidFill>
              <a:latin typeface="+mn-lt"/>
              <a:ea typeface="+mn-ea"/>
              <a:cs typeface="+mn-cs"/>
            </a:rPr>
            <a:t> </a:t>
          </a:r>
        </a:p>
        <a:p>
          <a:r>
            <a:rPr lang="en-US" sz="1100">
              <a:solidFill>
                <a:schemeClr val="dk1"/>
              </a:solidFill>
              <a:latin typeface="+mn-lt"/>
              <a:ea typeface="+mn-ea"/>
              <a:cs typeface="+mn-cs"/>
            </a:rPr>
            <a:t>Your logic for expansion makes sense. The question then is, what is the likelihood that the cases where the exit signs weren’t counted had a significantly lower density of exit signs? I guess following that through, maybe one could argue that the reason they weren’t counted is that they indeed had a lower density of signs.</a:t>
          </a:r>
        </a:p>
        <a:p>
          <a:r>
            <a:rPr lang="en-US" sz="1100">
              <a:solidFill>
                <a:schemeClr val="dk1"/>
              </a:solidFill>
              <a:latin typeface="+mn-lt"/>
              <a:ea typeface="+mn-ea"/>
              <a:cs typeface="+mn-cs"/>
            </a:rPr>
            <a:t> </a:t>
          </a:r>
        </a:p>
        <a:p>
          <a:r>
            <a:rPr lang="en-US" sz="1100">
              <a:solidFill>
                <a:schemeClr val="dk1"/>
              </a:solidFill>
              <a:latin typeface="+mn-lt"/>
              <a:ea typeface="+mn-ea"/>
              <a:cs typeface="+mn-cs"/>
            </a:rPr>
            <a:t>I will dig into it your spreadsheet and also see if I can come up with an alternate approach, but I am guessing that Occam’s razor will favor your straightforward approach.</a:t>
          </a:r>
        </a:p>
        <a:p>
          <a:r>
            <a:rPr lang="en-US" sz="1100">
              <a:solidFill>
                <a:schemeClr val="dk1"/>
              </a:solidFill>
              <a:latin typeface="+mn-lt"/>
              <a:ea typeface="+mn-ea"/>
              <a:cs typeface="+mn-cs"/>
            </a:rPr>
            <a:t> </a:t>
          </a:r>
        </a:p>
        <a:p>
          <a:r>
            <a:rPr lang="en-US" sz="1100">
              <a:solidFill>
                <a:schemeClr val="dk1"/>
              </a:solidFill>
              <a:latin typeface="+mn-lt"/>
              <a:ea typeface="+mn-ea"/>
              <a:cs typeface="+mn-cs"/>
            </a:rPr>
            <a:t>One thing that comes to mind that I will look at first – I wonder if Exits signs are more closely tied to square-footage than per building?</a:t>
          </a:r>
        </a:p>
        <a:p>
          <a:r>
            <a:rPr lang="en-US" sz="1100">
              <a:solidFill>
                <a:schemeClr val="dk1"/>
              </a:solidFill>
              <a:latin typeface="+mn-lt"/>
              <a:ea typeface="+mn-ea"/>
              <a:cs typeface="+mn-cs"/>
            </a:rPr>
            <a:t> </a:t>
          </a:r>
        </a:p>
        <a:p>
          <a:r>
            <a:rPr lang="en-US" sz="1100">
              <a:solidFill>
                <a:schemeClr val="dk1"/>
              </a:solidFill>
              <a:latin typeface="+mn-lt"/>
              <a:ea typeface="+mn-ea"/>
              <a:cs typeface="+mn-cs"/>
            </a:rPr>
            <a:t>Aaron</a:t>
          </a:r>
        </a:p>
        <a:p>
          <a:r>
            <a:rPr lang="en-US" sz="1100">
              <a:solidFill>
                <a:schemeClr val="dk1"/>
              </a:solidFill>
              <a:latin typeface="+mn-lt"/>
              <a:ea typeface="+mn-ea"/>
              <a:cs typeface="+mn-cs"/>
            </a:rPr>
            <a:t> </a:t>
          </a:r>
        </a:p>
        <a:p>
          <a:r>
            <a:rPr lang="en-US" sz="1100" b="1">
              <a:solidFill>
                <a:schemeClr val="dk1"/>
              </a:solidFill>
              <a:latin typeface="+mn-lt"/>
              <a:ea typeface="+mn-ea"/>
              <a:cs typeface="+mn-cs"/>
            </a:rPr>
            <a:t>From:</a:t>
          </a:r>
          <a:r>
            <a:rPr lang="en-US" sz="1100">
              <a:solidFill>
                <a:schemeClr val="dk1"/>
              </a:solidFill>
              <a:latin typeface="+mn-lt"/>
              <a:ea typeface="+mn-ea"/>
              <a:cs typeface="+mn-cs"/>
            </a:rPr>
            <a:t> Grist, Charlie [</a:t>
          </a:r>
          <a:r>
            <a:rPr lang="en-US" sz="1100" u="sng">
              <a:solidFill>
                <a:schemeClr val="dk1"/>
              </a:solidFill>
              <a:latin typeface="+mn-lt"/>
              <a:ea typeface="+mn-ea"/>
              <a:cs typeface="+mn-cs"/>
              <a:hlinkClick xmlns:r="http://schemas.openxmlformats.org/officeDocument/2006/relationships" r:id=""/>
            </a:rPr>
            <a:t>mailto:cgrist@nwcouncil.org</a:t>
          </a:r>
          <a:r>
            <a:rPr lang="en-US" sz="1100">
              <a:solidFill>
                <a:schemeClr val="dk1"/>
              </a:solidFill>
              <a:latin typeface="+mn-lt"/>
              <a:ea typeface="+mn-ea"/>
              <a:cs typeface="+mn-cs"/>
            </a:rPr>
            <a:t>] </a:t>
          </a:r>
          <a:br>
            <a:rPr lang="en-US" sz="1100">
              <a:solidFill>
                <a:schemeClr val="dk1"/>
              </a:solidFill>
              <a:latin typeface="+mn-lt"/>
              <a:ea typeface="+mn-ea"/>
              <a:cs typeface="+mn-cs"/>
            </a:rPr>
          </a:br>
          <a:r>
            <a:rPr lang="en-US" sz="1100" b="1">
              <a:solidFill>
                <a:schemeClr val="dk1"/>
              </a:solidFill>
              <a:latin typeface="+mn-lt"/>
              <a:ea typeface="+mn-ea"/>
              <a:cs typeface="+mn-cs"/>
            </a:rPr>
            <a:t>Sent:</a:t>
          </a:r>
          <a:r>
            <a:rPr lang="en-US" sz="1100">
              <a:solidFill>
                <a:schemeClr val="dk1"/>
              </a:solidFill>
              <a:latin typeface="+mn-lt"/>
              <a:ea typeface="+mn-ea"/>
              <a:cs typeface="+mn-cs"/>
            </a:rPr>
            <a:t> Thursday, March 05, 2015 10:51 AM</a:t>
          </a:r>
          <a:br>
            <a:rPr lang="en-US" sz="1100">
              <a:solidFill>
                <a:schemeClr val="dk1"/>
              </a:solidFill>
              <a:latin typeface="+mn-lt"/>
              <a:ea typeface="+mn-ea"/>
              <a:cs typeface="+mn-cs"/>
            </a:rPr>
          </a:br>
          <a:r>
            <a:rPr lang="en-US" sz="1100" b="1">
              <a:solidFill>
                <a:schemeClr val="dk1"/>
              </a:solidFill>
              <a:latin typeface="+mn-lt"/>
              <a:ea typeface="+mn-ea"/>
              <a:cs typeface="+mn-cs"/>
            </a:rPr>
            <a:t>To:</a:t>
          </a:r>
          <a:r>
            <a:rPr lang="en-US" sz="1100">
              <a:solidFill>
                <a:schemeClr val="dk1"/>
              </a:solidFill>
              <a:latin typeface="+mn-lt"/>
              <a:ea typeface="+mn-ea"/>
              <a:cs typeface="+mn-cs"/>
            </a:rPr>
            <a:t> Aaron James</a:t>
          </a:r>
          <a:br>
            <a:rPr lang="en-US" sz="1100">
              <a:solidFill>
                <a:schemeClr val="dk1"/>
              </a:solidFill>
              <a:latin typeface="+mn-lt"/>
              <a:ea typeface="+mn-ea"/>
              <a:cs typeface="+mn-cs"/>
            </a:rPr>
          </a:br>
          <a:r>
            <a:rPr lang="en-US" sz="1100" b="1">
              <a:solidFill>
                <a:schemeClr val="dk1"/>
              </a:solidFill>
              <a:latin typeface="+mn-lt"/>
              <a:ea typeface="+mn-ea"/>
              <a:cs typeface="+mn-cs"/>
            </a:rPr>
            <a:t>Subject:</a:t>
          </a:r>
          <a:r>
            <a:rPr lang="en-US" sz="1100">
              <a:solidFill>
                <a:schemeClr val="dk1"/>
              </a:solidFill>
              <a:latin typeface="+mn-lt"/>
              <a:ea typeface="+mn-ea"/>
              <a:cs typeface="+mn-cs"/>
            </a:rPr>
            <a:t> Exit signs</a:t>
          </a:r>
        </a:p>
        <a:p>
          <a:r>
            <a:rPr lang="en-US" sz="1100">
              <a:solidFill>
                <a:schemeClr val="dk1"/>
              </a:solidFill>
              <a:latin typeface="+mn-lt"/>
              <a:ea typeface="+mn-ea"/>
              <a:cs typeface="+mn-cs"/>
            </a:rPr>
            <a:t> </a:t>
          </a:r>
        </a:p>
        <a:p>
          <a:r>
            <a:rPr lang="en-US" sz="1100">
              <a:solidFill>
                <a:schemeClr val="dk1"/>
              </a:solidFill>
              <a:latin typeface="+mn-lt"/>
              <a:ea typeface="+mn-ea"/>
              <a:cs typeface="+mn-cs"/>
            </a:rPr>
            <a:t>Aaron:</a:t>
          </a:r>
        </a:p>
        <a:p>
          <a:r>
            <a:rPr lang="en-US" sz="1100">
              <a:solidFill>
                <a:schemeClr val="dk1"/>
              </a:solidFill>
              <a:latin typeface="+mn-lt"/>
              <a:ea typeface="+mn-ea"/>
              <a:cs typeface="+mn-cs"/>
            </a:rPr>
            <a:t> </a:t>
          </a:r>
        </a:p>
        <a:p>
          <a:r>
            <a:rPr lang="en-US" sz="1100">
              <a:solidFill>
                <a:schemeClr val="dk1"/>
              </a:solidFill>
              <a:latin typeface="+mn-lt"/>
              <a:ea typeface="+mn-ea"/>
              <a:cs typeface="+mn-cs"/>
            </a:rPr>
            <a:t>I looked at CBSA to estimate the count of exit signs.  I get a number that is tripple what I estimated in the Sixth Plan.  I chose not to expand the data directly because it was clear that a lot of the cases did not count exit signs.  So I applied the density of exit signs in the cases where they were reported to the whole sector floor area.  </a:t>
          </a:r>
        </a:p>
        <a:p>
          <a:r>
            <a:rPr lang="en-US" sz="1100">
              <a:solidFill>
                <a:schemeClr val="dk1"/>
              </a:solidFill>
              <a:latin typeface="+mn-lt"/>
              <a:ea typeface="+mn-ea"/>
              <a:cs typeface="+mn-cs"/>
            </a:rPr>
            <a:t> </a:t>
          </a:r>
        </a:p>
        <a:p>
          <a:r>
            <a:rPr lang="en-US" sz="1100">
              <a:solidFill>
                <a:schemeClr val="dk1"/>
              </a:solidFill>
              <a:latin typeface="+mn-lt"/>
              <a:ea typeface="+mn-ea"/>
              <a:cs typeface="+mn-cs"/>
            </a:rPr>
            <a:t>I wonder if you can look this over, or do an alternative analysis.  If the count is triple my earlier estimate then I will include a measure in the 7P.</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Charlie Grist </a:t>
          </a:r>
        </a:p>
        <a:p>
          <a:r>
            <a:rPr lang="en-US" sz="1100">
              <a:solidFill>
                <a:schemeClr val="dk1"/>
              </a:solidFill>
              <a:latin typeface="+mn-lt"/>
              <a:ea typeface="+mn-ea"/>
              <a:cs typeface="+mn-cs"/>
            </a:rPr>
            <a:t>Conservation Resources Manager </a:t>
          </a:r>
        </a:p>
        <a:p>
          <a:r>
            <a:rPr lang="en-US" sz="1100">
              <a:solidFill>
                <a:schemeClr val="dk1"/>
              </a:solidFill>
              <a:latin typeface="+mn-lt"/>
              <a:ea typeface="+mn-ea"/>
              <a:cs typeface="+mn-cs"/>
            </a:rPr>
            <a:t>503 222 5161, 503 250 4407 (cell)</a:t>
          </a:r>
          <a:br>
            <a:rPr lang="en-US" sz="1100">
              <a:solidFill>
                <a:schemeClr val="dk1"/>
              </a:solidFill>
              <a:latin typeface="+mn-lt"/>
              <a:ea typeface="+mn-ea"/>
              <a:cs typeface="+mn-cs"/>
            </a:rPr>
          </a:br>
          <a:r>
            <a:rPr lang="en-US" sz="1100" u="sng">
              <a:solidFill>
                <a:schemeClr val="dk1"/>
              </a:solidFill>
              <a:latin typeface="+mn-lt"/>
              <a:ea typeface="+mn-ea"/>
              <a:cs typeface="+mn-cs"/>
              <a:hlinkClick xmlns:r="http://schemas.openxmlformats.org/officeDocument/2006/relationships" r:id=""/>
            </a:rPr>
            <a:t>cgrist@nwcouncil.org</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ExteriorLighting-7P_V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s>
    <definedNames>
      <definedName name="ACHIEV" refersTo="='ACHIEV'!$B$19:$Y$122"/>
      <definedName name="APPLIC" refersTo="='APPLIC'!$B$12:$X$115"/>
      <definedName name="BLDGTYPE" refersTo="='APPLIC'!$B$11:$U$11"/>
      <definedName name="POST2013" refersTo="='CHAR'!$B$17:$U$55"/>
      <definedName name="TURN" refersTo="='TURN'!$B$12:$U$98" sheetId="6"/>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v>
          </cell>
          <cell r="C12" t="str">
            <v>Retro</v>
          </cell>
          <cell r="D12" t="str">
            <v>Compressed Air-Retro</v>
          </cell>
          <cell r="E12" t="str">
            <v>kWh per HP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v>
          </cell>
          <cell r="C13" t="str">
            <v>NR</v>
          </cell>
          <cell r="D13" t="str">
            <v>Compressed Air-NR</v>
          </cell>
          <cell r="E13" t="str">
            <v>kWh per HP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Laptop</v>
          </cell>
          <cell r="C15" t="str">
            <v>NR</v>
          </cell>
          <cell r="D15" t="str">
            <v>Laptop-NR</v>
          </cell>
          <cell r="E15" t="str">
            <v>Count</v>
          </cell>
          <cell r="F15" t="str">
            <v>ENERGY STAR Laptops</v>
          </cell>
          <cell r="G15">
            <v>1</v>
          </cell>
          <cell r="H15" t="str">
            <v>ENERGY STAR Laptops</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NR</v>
          </cell>
          <cell r="D17" t="str">
            <v>Data Centers-NR</v>
          </cell>
          <cell r="E17" t="str">
            <v>Count</v>
          </cell>
          <cell r="F17" t="str">
            <v xml:space="preserve">Data Centers; Virtualization, efficient servers, network gear, power supplies, and other measures at NR </v>
          </cell>
          <cell r="G17">
            <v>22</v>
          </cell>
          <cell r="H17" t="str">
            <v>Data Centers</v>
          </cell>
          <cell r="I17" t="str">
            <v>All</v>
          </cell>
          <cell r="L17" t="str">
            <v>CBSA 2014</v>
          </cell>
          <cell r="Q17" t="str">
            <v>x</v>
          </cell>
          <cell r="R17" t="str">
            <v>N/A</v>
          </cell>
          <cell r="U17" t="str">
            <v>Computer Technologies</v>
          </cell>
        </row>
        <row r="18">
          <cell r="B18" t="str">
            <v>Monitor</v>
          </cell>
          <cell r="C18" t="str">
            <v>NR</v>
          </cell>
          <cell r="D18" t="str">
            <v>Monitor-NR</v>
          </cell>
          <cell r="E18" t="str">
            <v>Count</v>
          </cell>
          <cell r="F18" t="str">
            <v>Commercial Computer Monitor</v>
          </cell>
          <cell r="G18">
            <v>1</v>
          </cell>
          <cell r="H18" t="str">
            <v>ENERGY STAR Monitor</v>
          </cell>
          <cell r="I18" t="str">
            <v>All</v>
          </cell>
          <cell r="L18" t="str">
            <v>Std Monitor</v>
          </cell>
          <cell r="R18" t="str">
            <v>N/A</v>
          </cell>
          <cell r="U18" t="str">
            <v>Computer Technologies</v>
          </cell>
        </row>
        <row r="19">
          <cell r="B19" t="str">
            <v>Desktop</v>
          </cell>
          <cell r="C19" t="str">
            <v>NR</v>
          </cell>
          <cell r="D19" t="str">
            <v>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DHP</v>
          </cell>
          <cell r="C22" t="str">
            <v>New</v>
          </cell>
          <cell r="D22" t="str">
            <v>DHP-New</v>
          </cell>
          <cell r="E22" t="str">
            <v>kWh per KSF BT</v>
          </cell>
          <cell r="G22">
            <v>4</v>
          </cell>
          <cell r="I22" t="str">
            <v>All</v>
          </cell>
          <cell r="L22" t="str">
            <v>CBSA 2014</v>
          </cell>
          <cell r="R22" t="str">
            <v>PRE/POST 2006</v>
          </cell>
          <cell r="U22" t="str">
            <v>HVAC System Improvements</v>
          </cell>
        </row>
        <row r="23">
          <cell r="B23" t="str">
            <v>DHP</v>
          </cell>
          <cell r="C23" t="str">
            <v>Retro</v>
          </cell>
          <cell r="D23" t="str">
            <v>DHP-Retro</v>
          </cell>
          <cell r="E23" t="str">
            <v>kWh per KSF BT</v>
          </cell>
          <cell r="G23">
            <v>4</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ControllerLite</v>
          </cell>
          <cell r="C26" t="str">
            <v>Retro</v>
          </cell>
          <cell r="D26" t="str">
            <v>ControllerLite-Retro</v>
          </cell>
          <cell r="E26" t="str">
            <v>kWh per KSF BT</v>
          </cell>
          <cell r="F26" t="str">
            <v>Small Commercial Building HVAC Controls</v>
          </cell>
          <cell r="G26">
            <v>3</v>
          </cell>
          <cell r="H26" t="str">
            <v>HVAC Controls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Advanced Rooftop Controller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Advanced Rooftop Controller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Advanced Rooftop Controller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Economizer</v>
          </cell>
          <cell r="C37" t="str">
            <v>Retro</v>
          </cell>
          <cell r="D37" t="str">
            <v>Economizer-Retro</v>
          </cell>
          <cell r="E37" t="str">
            <v>kWh per KSF BT</v>
          </cell>
          <cell r="F37" t="str">
            <v>Economizer Improvements</v>
          </cell>
          <cell r="G37">
            <v>2</v>
          </cell>
          <cell r="H37" t="str">
            <v>Economizer maintenance and repair</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Heat Recovery Ventilation</v>
          </cell>
          <cell r="G45">
            <v>1</v>
          </cell>
          <cell r="H45" t="str">
            <v>Heat Recovery Ventilation</v>
          </cell>
          <cell r="I45" t="str">
            <v>All</v>
          </cell>
          <cell r="L45" t="str">
            <v>CBSA 20154</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Lighting Controls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Lighting Controls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Lighting Controls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cell r="V70" t="str">
            <v>Lamps/Ballasts/Fixtures w/Controls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cell r="V71" t="str">
            <v>Lamps/Ballasts/Fixtures w/Controls</v>
          </cell>
        </row>
        <row r="72">
          <cell r="B72" t="str">
            <v>Bi-Level Stairwell Lighting</v>
          </cell>
          <cell r="C72" t="str">
            <v>NR</v>
          </cell>
          <cell r="D72" t="str">
            <v>Bi-Level Stairwell Lighting-NR</v>
          </cell>
          <cell r="E72" t="str">
            <v>kWh per KSF BT</v>
          </cell>
          <cell r="F72" t="str">
            <v xml:space="preserve">Bi-Level occupancy sensor control on stairwell </v>
          </cell>
          <cell r="G72">
            <v>1</v>
          </cell>
          <cell r="H72" t="str">
            <v>Bi-Level Stairwell</v>
          </cell>
          <cell r="I72" t="str">
            <v>All</v>
          </cell>
          <cell r="L72" t="str">
            <v>CBSA 2014</v>
          </cell>
          <cell r="R72" t="str">
            <v>N/A</v>
          </cell>
          <cell r="U72" t="str">
            <v>Lighting Controls</v>
          </cell>
        </row>
        <row r="73">
          <cell r="B73" t="str">
            <v>Low Power LF Lamps</v>
          </cell>
          <cell r="C73" t="str">
            <v>NR</v>
          </cell>
          <cell r="D73" t="str">
            <v>Low Power LF Lamps-NR</v>
          </cell>
          <cell r="E73" t="str">
            <v>lamp</v>
          </cell>
          <cell r="F73" t="str">
            <v>Shift mix of 32W, 28W and 25W lamps towards low watt lamps</v>
          </cell>
          <cell r="G73">
            <v>2</v>
          </cell>
          <cell r="H73" t="str">
            <v>High Performance Low Power Fluorescent Lamps</v>
          </cell>
          <cell r="I73" t="str">
            <v>All</v>
          </cell>
          <cell r="L73" t="str">
            <v>Federal GSFL 2014</v>
          </cell>
          <cell r="Q73" t="str">
            <v>x</v>
          </cell>
          <cell r="R73" t="str">
            <v>N/A</v>
          </cell>
          <cell r="U73" t="str">
            <v>Lamps/Ballasts/Fixtures</v>
          </cell>
        </row>
        <row r="74">
          <cell r="B74" t="str">
            <v>LEC Exit Sign</v>
          </cell>
          <cell r="C74" t="str">
            <v>New</v>
          </cell>
          <cell r="D74" t="str">
            <v>LEC Exit Sign-New</v>
          </cell>
          <cell r="E74" t="str">
            <v>sign</v>
          </cell>
          <cell r="F74" t="str">
            <v>Light Emiting Capacitor Exit Sign</v>
          </cell>
          <cell r="H74" t="str">
            <v>LEC Exit Sign</v>
          </cell>
          <cell r="I74" t="str">
            <v>All</v>
          </cell>
          <cell r="L74" t="str">
            <v>EPAct 2005</v>
          </cell>
        </row>
        <row r="75">
          <cell r="B75" t="str">
            <v>LEC Exit Sign</v>
          </cell>
          <cell r="C75" t="str">
            <v>NR</v>
          </cell>
          <cell r="D75" t="str">
            <v>LEC Exit Sign-NR</v>
          </cell>
          <cell r="E75" t="str">
            <v>sign</v>
          </cell>
          <cell r="F75" t="str">
            <v>Light Emiting Capacitor Exit Sign</v>
          </cell>
          <cell r="H75" t="str">
            <v>LEC Exit Sign</v>
          </cell>
          <cell r="I75" t="str">
            <v>All</v>
          </cell>
          <cell r="L75" t="str">
            <v>EPAct 2005</v>
          </cell>
        </row>
        <row r="76">
          <cell r="B76" t="str">
            <v>ECM-VAV</v>
          </cell>
          <cell r="C76" t="str">
            <v>New</v>
          </cell>
          <cell r="D76" t="str">
            <v>ECM-VAV-New</v>
          </cell>
          <cell r="E76" t="str">
            <v>kWh per KSF BT</v>
          </cell>
          <cell r="F76" t="str">
            <v>Electically Commutated Motors on Variable Air Volume Boxes</v>
          </cell>
          <cell r="G76">
            <v>1</v>
          </cell>
          <cell r="H76" t="str">
            <v>ECM Motors on Variable Air Volume Boxes</v>
          </cell>
          <cell r="I76" t="str">
            <v>All</v>
          </cell>
          <cell r="L76" t="str">
            <v>CBSA 2014</v>
          </cell>
          <cell r="R76" t="str">
            <v>PRE/POST 2006</v>
          </cell>
          <cell r="U76" t="str">
            <v>Motors</v>
          </cell>
        </row>
        <row r="77">
          <cell r="B77" t="str">
            <v>ECM-VAV</v>
          </cell>
          <cell r="C77" t="str">
            <v>NR</v>
          </cell>
          <cell r="D77" t="str">
            <v>ECM-VAV-NR</v>
          </cell>
          <cell r="E77" t="str">
            <v>kWh per KSF BT</v>
          </cell>
          <cell r="F77" t="str">
            <v>Electically Commutated Motors on Variable Air Volume Boxes</v>
          </cell>
          <cell r="G77">
            <v>1</v>
          </cell>
          <cell r="H77" t="str">
            <v>ECM Motors on Variable Air Volume Boxes</v>
          </cell>
          <cell r="I77" t="str">
            <v>All</v>
          </cell>
          <cell r="L77" t="str">
            <v>CBSA 2014</v>
          </cell>
          <cell r="R77" t="str">
            <v>PRE/POST 2006</v>
          </cell>
          <cell r="U77" t="str">
            <v>Motors</v>
          </cell>
        </row>
        <row r="78">
          <cell r="B78" t="str">
            <v>Pool pumps</v>
          </cell>
          <cell r="C78" t="str">
            <v>Retro</v>
          </cell>
          <cell r="D78" t="str">
            <v>Pool pumps-Retro</v>
          </cell>
          <cell r="E78" t="str">
            <v>Count</v>
          </cell>
          <cell r="F78" t="str">
            <v>Pool pumps</v>
          </cell>
          <cell r="G78">
            <v>1</v>
          </cell>
          <cell r="H78" t="str">
            <v>Pool pumps</v>
          </cell>
          <cell r="I78" t="str">
            <v>Some</v>
          </cell>
          <cell r="L78" t="str">
            <v>CBSA 2014</v>
          </cell>
          <cell r="Q78" t="str">
            <v>x</v>
          </cell>
          <cell r="R78" t="str">
            <v>N/A</v>
          </cell>
          <cell r="U78" t="str">
            <v>Pool System Improvements</v>
          </cell>
        </row>
        <row r="79">
          <cell r="B79" t="str">
            <v>MotorsRewind</v>
          </cell>
          <cell r="C79" t="str">
            <v>New</v>
          </cell>
          <cell r="D79" t="str">
            <v>MotorsRewind-New</v>
          </cell>
          <cell r="E79" t="str">
            <v>Count</v>
          </cell>
          <cell r="F79" t="str">
            <v>Motors - Rewind</v>
          </cell>
          <cell r="G79">
            <v>1</v>
          </cell>
          <cell r="H79" t="str">
            <v>Motors - Rewind</v>
          </cell>
          <cell r="I79" t="str">
            <v>All</v>
          </cell>
          <cell r="L79" t="str">
            <v>CBSA 2014</v>
          </cell>
          <cell r="Q79" t="str">
            <v>x</v>
          </cell>
          <cell r="R79" t="str">
            <v>N/A</v>
          </cell>
          <cell r="U79" t="str">
            <v>Motors</v>
          </cell>
        </row>
        <row r="80">
          <cell r="B80" t="str">
            <v>MotorsRewind</v>
          </cell>
          <cell r="C80" t="str">
            <v>NR</v>
          </cell>
          <cell r="D80" t="str">
            <v>MotorsRewind-NR</v>
          </cell>
          <cell r="E80" t="str">
            <v>Count</v>
          </cell>
          <cell r="F80" t="str">
            <v>Motors - Rewind</v>
          </cell>
          <cell r="G80">
            <v>1</v>
          </cell>
          <cell r="H80" t="str">
            <v>Motors - Rewind</v>
          </cell>
          <cell r="I80" t="str">
            <v>All</v>
          </cell>
          <cell r="L80" t="str">
            <v>CBSA 2014</v>
          </cell>
          <cell r="Q80" t="str">
            <v>x</v>
          </cell>
          <cell r="R80" t="str">
            <v>N/A</v>
          </cell>
          <cell r="U80" t="str">
            <v>Motors</v>
          </cell>
        </row>
        <row r="81">
          <cell r="B81" t="str">
            <v>Municipal Sewage Treatment</v>
          </cell>
          <cell r="C81" t="str">
            <v>Retro</v>
          </cell>
          <cell r="D81" t="str">
            <v>Municipal Sewage Treatment-Retro</v>
          </cell>
          <cell r="E81" t="str">
            <v>MGD Flow</v>
          </cell>
          <cell r="F81" t="str">
            <v>Suite of measures for sewage treatment</v>
          </cell>
          <cell r="G81">
            <v>10</v>
          </cell>
          <cell r="H81" t="str">
            <v>Municipal Sewage Treatment</v>
          </cell>
          <cell r="I81" t="str">
            <v>Non-Building</v>
          </cell>
          <cell r="J81" t="str">
            <v>BACGEN</v>
          </cell>
          <cell r="L81" t="str">
            <v>2013 EPA Flow rates</v>
          </cell>
          <cell r="M81" t="str">
            <v>Achievements</v>
          </cell>
          <cell r="O81" t="str">
            <v>6P+ETO data</v>
          </cell>
          <cell r="R81" t="str">
            <v>N/A</v>
          </cell>
          <cell r="S81" t="str">
            <v>V1</v>
          </cell>
          <cell r="T81" t="str">
            <v>More data coming from NEEA</v>
          </cell>
          <cell r="U81" t="str">
            <v>Process Loads System Improvements</v>
          </cell>
        </row>
        <row r="82">
          <cell r="B82" t="str">
            <v>Municipal Water Supply</v>
          </cell>
          <cell r="C82" t="str">
            <v>Retro</v>
          </cell>
          <cell r="D82" t="str">
            <v>Municipal Water Supply-Retro</v>
          </cell>
          <cell r="E82" t="str">
            <v>MGD Flow</v>
          </cell>
          <cell r="F82" t="str">
            <v>Suite of measures for water supply systems</v>
          </cell>
          <cell r="G82">
            <v>5</v>
          </cell>
          <cell r="H82" t="str">
            <v>Municipal Water Supply</v>
          </cell>
          <cell r="I82" t="str">
            <v>Non-Building</v>
          </cell>
          <cell r="J82" t="str">
            <v>BACGEN</v>
          </cell>
          <cell r="L82" t="str">
            <v>2013 EPA Flow rates</v>
          </cell>
          <cell r="M82" t="str">
            <v>Achievements</v>
          </cell>
          <cell r="O82" t="str">
            <v>6P+ETO data</v>
          </cell>
          <cell r="R82" t="str">
            <v>N/A</v>
          </cell>
          <cell r="S82" t="str">
            <v>V1</v>
          </cell>
          <cell r="T82" t="str">
            <v>More data coming from NEEA</v>
          </cell>
          <cell r="U82" t="str">
            <v>Process Loads System Improvements</v>
          </cell>
        </row>
        <row r="83">
          <cell r="B83" t="str">
            <v>Engine Generator Block Heaters</v>
          </cell>
          <cell r="C83" t="str">
            <v>Retro</v>
          </cell>
          <cell r="D83" t="str">
            <v>Engine Generator Block Heaters-Retro</v>
          </cell>
          <cell r="E83" t="str">
            <v>Count</v>
          </cell>
          <cell r="F83" t="str">
            <v>Engine Generator Block Heaters (for standby generators)</v>
          </cell>
          <cell r="G83">
            <v>1</v>
          </cell>
          <cell r="H83" t="str">
            <v>Engine Generator Block Heaters</v>
          </cell>
          <cell r="I83" t="str">
            <v>All</v>
          </cell>
          <cell r="L83" t="str">
            <v>No Control</v>
          </cell>
          <cell r="Q83" t="str">
            <v>x</v>
          </cell>
          <cell r="R83" t="str">
            <v>N/A</v>
          </cell>
          <cell r="U83" t="str">
            <v>Process Loads System Controls</v>
          </cell>
        </row>
        <row r="84">
          <cell r="B84" t="str">
            <v>Grocery Refrigeration Bundle</v>
          </cell>
          <cell r="C84" t="str">
            <v>Retro</v>
          </cell>
          <cell r="D84" t="str">
            <v>Grocery Refrigeration Bundle-Retro</v>
          </cell>
          <cell r="E84" t="str">
            <v>kWh per KSF BT</v>
          </cell>
          <cell r="F84" t="str">
            <v>Grocery store refrigeration measures</v>
          </cell>
          <cell r="G84">
            <v>12</v>
          </cell>
          <cell r="H84" t="str">
            <v>Grocery Refrigeration Bundle</v>
          </cell>
          <cell r="I84" t="str">
            <v>Grocery</v>
          </cell>
          <cell r="L84" t="str">
            <v>CBSA 2014</v>
          </cell>
          <cell r="R84" t="str">
            <v>N/A</v>
          </cell>
          <cell r="U84" t="str">
            <v>Refrigeration System Improvements</v>
          </cell>
        </row>
        <row r="85">
          <cell r="B85" t="str">
            <v>Packaged Refrigeration Equipment</v>
          </cell>
          <cell r="C85" t="str">
            <v>New</v>
          </cell>
          <cell r="D85" t="str">
            <v>Packaged Refrigeration Equipment-New</v>
          </cell>
          <cell r="E85" t="str">
            <v>Count</v>
          </cell>
          <cell r="F85" t="str">
            <v>Efficient refrigerators and freezers, beverage merchandizers, ice makers and vending machines</v>
          </cell>
          <cell r="G85">
            <v>20</v>
          </cell>
          <cell r="H85" t="str">
            <v>Packaged Refrigeration Equipment</v>
          </cell>
          <cell r="I85" t="str">
            <v>Grocery</v>
          </cell>
          <cell r="L85" t="str">
            <v>CBSA 2014</v>
          </cell>
          <cell r="R85" t="str">
            <v>N/A</v>
          </cell>
          <cell r="U85" t="str">
            <v>Packaged Refrigeration</v>
          </cell>
        </row>
        <row r="86">
          <cell r="B86" t="str">
            <v>Appliances - Freezers</v>
          </cell>
          <cell r="C86" t="str">
            <v>NR</v>
          </cell>
          <cell r="D86" t="str">
            <v>Appliances - Freezers-NR</v>
          </cell>
          <cell r="E86" t="str">
            <v>Count</v>
          </cell>
          <cell r="F86" t="str">
            <v>Residential freezers in commercial buildings</v>
          </cell>
          <cell r="G86">
            <v>1</v>
          </cell>
          <cell r="H86" t="str">
            <v>Appliances - Freezers</v>
          </cell>
          <cell r="I86" t="str">
            <v>All</v>
          </cell>
          <cell r="L86" t="str">
            <v>Fed Std 2014</v>
          </cell>
          <cell r="Q86" t="str">
            <v>x</v>
          </cell>
          <cell r="R86" t="str">
            <v>N/A</v>
          </cell>
          <cell r="U86" t="str">
            <v>Refrigeration System Improvements</v>
          </cell>
        </row>
        <row r="87">
          <cell r="B87" t="str">
            <v>Appliances - Refrigerators</v>
          </cell>
          <cell r="C87" t="str">
            <v>NR</v>
          </cell>
          <cell r="D87" t="str">
            <v>Appliances - Refrigerators-NR</v>
          </cell>
          <cell r="E87" t="str">
            <v>Count</v>
          </cell>
          <cell r="F87" t="str">
            <v>Residential refrigerators in commercial buildings</v>
          </cell>
          <cell r="G87">
            <v>1</v>
          </cell>
          <cell r="H87" t="str">
            <v>Appliances - Refrigerators</v>
          </cell>
          <cell r="I87" t="str">
            <v>All</v>
          </cell>
          <cell r="L87" t="str">
            <v>Fed Std 2014</v>
          </cell>
          <cell r="Q87" t="str">
            <v>x</v>
          </cell>
          <cell r="R87" t="str">
            <v>N/A</v>
          </cell>
          <cell r="U87" t="str">
            <v>Refrigeration System Improvements</v>
          </cell>
        </row>
        <row r="88">
          <cell r="B88" t="str">
            <v>Water Cooler Controls</v>
          </cell>
          <cell r="C88" t="str">
            <v>NR</v>
          </cell>
          <cell r="D88" t="str">
            <v>Water Cooler Controls-NR</v>
          </cell>
          <cell r="E88" t="str">
            <v>Count</v>
          </cell>
          <cell r="F88" t="str">
            <v>Water Cooler Controls</v>
          </cell>
          <cell r="G88">
            <v>1</v>
          </cell>
          <cell r="H88" t="str">
            <v>Water Cooler Controls</v>
          </cell>
          <cell r="I88" t="str">
            <v>Some</v>
          </cell>
          <cell r="L88" t="str">
            <v>Uncontrolled</v>
          </cell>
          <cell r="Q88" t="str">
            <v>x</v>
          </cell>
          <cell r="R88" t="str">
            <v>N/A</v>
          </cell>
          <cell r="U88" t="str">
            <v>Refrigeration System Controls</v>
          </cell>
        </row>
        <row r="89">
          <cell r="B89" t="str">
            <v>WHTanks</v>
          </cell>
          <cell r="C89" t="str">
            <v>New</v>
          </cell>
          <cell r="D89" t="str">
            <v>WHTanks-New</v>
          </cell>
          <cell r="E89" t="str">
            <v>Count</v>
          </cell>
          <cell r="F89" t="str">
            <v>Clotheswashers more efficient than federal standard</v>
          </cell>
          <cell r="H89" t="str">
            <v>DHW - Efficient Tanks</v>
          </cell>
          <cell r="I89" t="str">
            <v>Some</v>
          </cell>
          <cell r="L89" t="str">
            <v>CBSA 2014</v>
          </cell>
          <cell r="R89" t="str">
            <v>N/A</v>
          </cell>
          <cell r="U89" t="str">
            <v>Water Using Devices</v>
          </cell>
        </row>
        <row r="90">
          <cell r="B90" t="str">
            <v>WHTanks</v>
          </cell>
          <cell r="C90" t="str">
            <v>NR</v>
          </cell>
          <cell r="D90" t="str">
            <v>WHTanks-NR</v>
          </cell>
          <cell r="E90" t="str">
            <v>Count</v>
          </cell>
          <cell r="F90" t="str">
            <v>Efficient Residential water heaters in commercial buildings</v>
          </cell>
          <cell r="G90">
            <v>1</v>
          </cell>
          <cell r="H90" t="str">
            <v>DHW - Efficient Tanks</v>
          </cell>
          <cell r="I90" t="str">
            <v>All</v>
          </cell>
          <cell r="L90" t="str">
            <v>CBSA 2014</v>
          </cell>
          <cell r="Q90" t="str">
            <v>x</v>
          </cell>
          <cell r="R90" t="str">
            <v>N/A</v>
          </cell>
          <cell r="U90" t="str">
            <v>Water Heaters</v>
          </cell>
        </row>
        <row r="91">
          <cell r="B91" t="str">
            <v>Appliances - Clothes Washers</v>
          </cell>
          <cell r="C91" t="str">
            <v>NR</v>
          </cell>
          <cell r="D91" t="str">
            <v>Appliances - Clothes Washers-NR</v>
          </cell>
          <cell r="E91" t="str">
            <v>Count</v>
          </cell>
          <cell r="F91" t="str">
            <v>Efficient residential clothes washers in commercial buildings</v>
          </cell>
          <cell r="G91">
            <v>1</v>
          </cell>
          <cell r="H91" t="str">
            <v>Appliances - Clothes Washers</v>
          </cell>
          <cell r="I91" t="str">
            <v>Some</v>
          </cell>
          <cell r="L91" t="str">
            <v>CBSA 2014</v>
          </cell>
          <cell r="Q91" t="str">
            <v>x</v>
          </cell>
          <cell r="R91" t="str">
            <v>N/A</v>
          </cell>
          <cell r="U91" t="str">
            <v>Water Using Devices</v>
          </cell>
        </row>
        <row r="92">
          <cell r="B92" t="str">
            <v>Showerheads</v>
          </cell>
          <cell r="C92" t="str">
            <v>Retro</v>
          </cell>
          <cell r="D92" t="str">
            <v>Showerheads-Retro</v>
          </cell>
          <cell r="E92" t="str">
            <v>Count</v>
          </cell>
          <cell r="F92" t="str">
            <v>Efficient showerheads</v>
          </cell>
          <cell r="G92">
            <v>1</v>
          </cell>
          <cell r="H92" t="str">
            <v>DHW - Showerheads</v>
          </cell>
          <cell r="I92" t="str">
            <v>Some</v>
          </cell>
          <cell r="L92" t="str">
            <v>2.5 GPM</v>
          </cell>
          <cell r="Q92" t="str">
            <v>x</v>
          </cell>
          <cell r="R92" t="str">
            <v>N/A</v>
          </cell>
          <cell r="U92" t="str">
            <v>Water Using Devices</v>
          </cell>
        </row>
        <row r="93">
          <cell r="B93" t="str">
            <v>Water Heating - GFHX</v>
          </cell>
          <cell r="C93" t="str">
            <v>New</v>
          </cell>
          <cell r="D93" t="str">
            <v>Water Heating - GFHX-New</v>
          </cell>
          <cell r="E93" t="str">
            <v>Count</v>
          </cell>
          <cell r="F93" t="str">
            <v>Drain water heat recovery in new mulitfaimly applications</v>
          </cell>
          <cell r="G93">
            <v>1</v>
          </cell>
          <cell r="H93" t="str">
            <v>Water Heating - GFHX</v>
          </cell>
          <cell r="I93" t="str">
            <v>All</v>
          </cell>
          <cell r="L93" t="str">
            <v>No Heat Recovery</v>
          </cell>
          <cell r="Q93" t="str">
            <v>x</v>
          </cell>
          <cell r="R93" t="str">
            <v>N/A</v>
          </cell>
          <cell r="U93" t="str">
            <v>Water Using Devices</v>
          </cell>
        </row>
        <row r="94">
          <cell r="B94" t="str">
            <v>Demand Control Circulating system DHW</v>
          </cell>
          <cell r="C94" t="str">
            <v>Retro</v>
          </cell>
          <cell r="D94" t="str">
            <v>Demand Control Circulating system DHW-Retro</v>
          </cell>
          <cell r="E94" t="str">
            <v>kWh per KSF BT</v>
          </cell>
          <cell r="F94" t="str">
            <v>Demand Control Circulating system DHW</v>
          </cell>
          <cell r="G94">
            <v>1</v>
          </cell>
          <cell r="H94" t="str">
            <v>Demand Control Circulating system DHW</v>
          </cell>
          <cell r="I94" t="str">
            <v>Some</v>
          </cell>
          <cell r="L94" t="str">
            <v>CBSA 2014</v>
          </cell>
          <cell r="Q94" t="str">
            <v>x</v>
          </cell>
          <cell r="R94" t="str">
            <v>N/A</v>
          </cell>
          <cell r="U94" t="str">
            <v>Water Using Devices</v>
          </cell>
        </row>
        <row r="95">
          <cell r="B95" t="str">
            <v>Central HPWH MF</v>
          </cell>
          <cell r="C95" t="str">
            <v>Retro</v>
          </cell>
          <cell r="D95" t="str">
            <v>Central HPWH MF-Retro</v>
          </cell>
          <cell r="E95" t="str">
            <v>Count</v>
          </cell>
          <cell r="F95" t="str">
            <v>Central HPWH MF</v>
          </cell>
          <cell r="G95">
            <v>1</v>
          </cell>
          <cell r="H95" t="str">
            <v>Central HPWH MF</v>
          </cell>
          <cell r="I95" t="str">
            <v>Multifamily</v>
          </cell>
          <cell r="L95" t="str">
            <v>CBSA 2014</v>
          </cell>
          <cell r="Q95" t="str">
            <v>x</v>
          </cell>
          <cell r="R95" t="str">
            <v>N/A</v>
          </cell>
          <cell r="U95" t="str">
            <v>Water Heaters</v>
          </cell>
        </row>
        <row r="96">
          <cell r="B96" t="str">
            <v>Ultra Low Energy Building</v>
          </cell>
          <cell r="C96" t="str">
            <v>New</v>
          </cell>
          <cell r="D96" t="str">
            <v>Ultra Low Energy Building-New</v>
          </cell>
          <cell r="E96" t="str">
            <v>kWh per KSF BT</v>
          </cell>
          <cell r="F96" t="str">
            <v>Multiple measures applied in integrated design practice</v>
          </cell>
          <cell r="G96">
            <v>13</v>
          </cell>
          <cell r="H96" t="str">
            <v>Ultra Low Energy Building</v>
          </cell>
          <cell r="I96" t="str">
            <v>Some</v>
          </cell>
          <cell r="L96" t="str">
            <v>Code</v>
          </cell>
          <cell r="R96" t="str">
            <v>POST2006</v>
          </cell>
          <cell r="U96" t="str">
            <v>Whole Bldg/Meter Level System Improvements</v>
          </cell>
        </row>
        <row r="115">
          <cell r="B115" t="str">
            <v>Category_Name</v>
          </cell>
          <cell r="C115" t="str">
            <v>TAP_Name</v>
          </cell>
        </row>
        <row r="116">
          <cell r="B116" t="str">
            <v>Compressed Air System Controls</v>
          </cell>
          <cell r="C116" t="str">
            <v>Compressed Air Control Improvements (non-VFD)</v>
          </cell>
        </row>
        <row r="117">
          <cell r="B117" t="str">
            <v>Compressed Air System Improvements</v>
          </cell>
          <cell r="C117" t="str">
            <v>Compressed Air Control Improvements (VFD)</v>
          </cell>
        </row>
        <row r="118">
          <cell r="B118" t="str">
            <v>Computer Technologies</v>
          </cell>
          <cell r="C118" t="str">
            <v>Compressed Air System Compressor Improvements (non-VFD)</v>
          </cell>
        </row>
        <row r="119">
          <cell r="B119" t="str">
            <v>Cooking</v>
          </cell>
          <cell r="C119" t="str">
            <v>Compressed Air System Compressor Improvements (VFD)</v>
          </cell>
        </row>
        <row r="120">
          <cell r="B120" t="str">
            <v>Delamping</v>
          </cell>
          <cell r="C120" t="str">
            <v>Compressed Air System Demand Side Improvements</v>
          </cell>
        </row>
        <row r="121">
          <cell r="B121" t="str">
            <v>Elevators</v>
          </cell>
          <cell r="C121" t="str">
            <v>Compressed Air System Dryer Improvements</v>
          </cell>
        </row>
        <row r="122">
          <cell r="B122" t="str">
            <v>Envelope</v>
          </cell>
          <cell r="C122" t="str">
            <v>Compressed Air System Regulation Improvements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I11" t="str">
            <v>aMW in New Building Non Plug Load</v>
          </cell>
          <cell r="K11" t="str">
            <v>Comparable Estimate for 6th Plan (Pasted Values)</v>
          </cell>
          <cell r="L11" t="str">
            <v>Final Check for Draft Plan</v>
          </cell>
          <cell r="O11" t="str">
            <v>Analyst</v>
          </cell>
          <cell r="P11" t="str">
            <v>Comments Reviewed &amp; Updates Complete</v>
          </cell>
          <cell r="Q11" t="str">
            <v>Run ProCost with Final Inputs (Gas)</v>
          </cell>
          <cell r="R11" t="str">
            <v>Check/Repair RPM Links</v>
          </cell>
          <cell r="S11" t="str">
            <v>SC Curve to Auto High/Low Forecast</v>
          </cell>
          <cell r="T11" t="str">
            <v>SC Curve measure references linked to MList</v>
          </cell>
          <cell r="U11" t="str">
            <v>Check Linked Files and Range Names.  Correct link to ComMaster</v>
          </cell>
        </row>
        <row r="12">
          <cell r="B12" t="str">
            <v>Compressed Air-Retro</v>
          </cell>
          <cell r="C12" t="str">
            <v>COM-CompressedAir-7P_V3.xlsm</v>
          </cell>
          <cell r="F12" t="str">
            <v>Compressed Air Controls</v>
          </cell>
          <cell r="H12">
            <v>3.2238288305372076</v>
          </cell>
          <cell r="I12">
            <v>0</v>
          </cell>
          <cell r="K12" t="str">
            <v/>
          </cell>
          <cell r="O12" t="str">
            <v>ks</v>
          </cell>
        </row>
        <row r="13">
          <cell r="B13" t="str">
            <v>Compressed Air-NR</v>
          </cell>
          <cell r="C13" t="str">
            <v>COM-CompressedAir-7P_V3.xlsm</v>
          </cell>
          <cell r="F13" t="str">
            <v>Compressed Air Improvements</v>
          </cell>
          <cell r="H13">
            <v>1.0195557332307676</v>
          </cell>
          <cell r="I13">
            <v>0</v>
          </cell>
          <cell r="K13" t="str">
            <v/>
          </cell>
          <cell r="O13" t="str">
            <v>ks</v>
          </cell>
        </row>
        <row r="14">
          <cell r="B14" t="str">
            <v>Network PC Power Management-Retro</v>
          </cell>
          <cell r="C14" t="str">
            <v>dropped for 7p</v>
          </cell>
          <cell r="F14" t="str">
            <v>Network PC Power Management</v>
          </cell>
          <cell r="K14">
            <v>72.717466539008427</v>
          </cell>
        </row>
        <row r="15">
          <cell r="B15" t="str">
            <v>Laptop-NR</v>
          </cell>
          <cell r="C15" t="str">
            <v>COM-Computers-7P_V2.xlsx</v>
          </cell>
          <cell r="F15" t="str">
            <v>ENERGY STAR Laptops</v>
          </cell>
          <cell r="H15">
            <v>3.9941361655064203</v>
          </cell>
          <cell r="I15">
            <v>0</v>
          </cell>
          <cell r="K15">
            <v>129.97956115621164</v>
          </cell>
          <cell r="O15" t="str">
            <v>tj</v>
          </cell>
        </row>
        <row r="16">
          <cell r="B16" t="str">
            <v>Smart Plug Power Strips-Retro</v>
          </cell>
          <cell r="C16" t="str">
            <v>COM-PowerStrips-7P_V4.xlsm</v>
          </cell>
          <cell r="F16" t="str">
            <v>Smart Plug Power Strips</v>
          </cell>
          <cell r="H16">
            <v>46.672185845920254</v>
          </cell>
          <cell r="I16">
            <v>0</v>
          </cell>
          <cell r="K16" t="str">
            <v/>
          </cell>
          <cell r="O16" t="str">
            <v>ks</v>
          </cell>
        </row>
        <row r="17">
          <cell r="B17" t="str">
            <v>Data Centers-NR</v>
          </cell>
          <cell r="C17" t="str">
            <v>Com-DataCenters-7P_V4.xlsx</v>
          </cell>
          <cell r="F17" t="str">
            <v>Data Centers</v>
          </cell>
          <cell r="G17">
            <v>42071</v>
          </cell>
          <cell r="H17">
            <v>261.31837015129264</v>
          </cell>
          <cell r="I17">
            <v>0</v>
          </cell>
          <cell r="K17" t="str">
            <v/>
          </cell>
          <cell r="O17" t="str">
            <v>cg</v>
          </cell>
          <cell r="R17">
            <v>42069</v>
          </cell>
          <cell r="T17">
            <v>42069</v>
          </cell>
        </row>
        <row r="18">
          <cell r="B18" t="str">
            <v>Monitor-NR</v>
          </cell>
          <cell r="C18" t="str">
            <v>COM-Computers-7P_V2.xlsx</v>
          </cell>
          <cell r="F18" t="str">
            <v>ENERGY STAR Monitor</v>
          </cell>
          <cell r="H18">
            <v>24.336936136177435</v>
          </cell>
          <cell r="I18">
            <v>0</v>
          </cell>
          <cell r="K18" t="str">
            <v/>
          </cell>
          <cell r="O18" t="str">
            <v>tj</v>
          </cell>
        </row>
        <row r="19">
          <cell r="B19" t="str">
            <v>Desktop-NR</v>
          </cell>
          <cell r="C19" t="str">
            <v>COM-Computers-7P_V2.xlsx</v>
          </cell>
          <cell r="F19" t="str">
            <v>ENERGY STAR Desktop</v>
          </cell>
          <cell r="H19">
            <v>55.8193241357245</v>
          </cell>
          <cell r="I19">
            <v>0</v>
          </cell>
          <cell r="K19" t="str">
            <v/>
          </cell>
          <cell r="O19" t="str">
            <v>tj</v>
          </cell>
        </row>
        <row r="20">
          <cell r="B20" t="str">
            <v>Pre-Rinse Spray Valve-Retro</v>
          </cell>
          <cell r="C20" t="str">
            <v>COM-PreRinseSpray-7P_V3.xlsm</v>
          </cell>
          <cell r="F20" t="str">
            <v>Pre-Rinse Spray Valve</v>
          </cell>
          <cell r="H20">
            <v>0.97671631632425404</v>
          </cell>
          <cell r="I20">
            <v>0</v>
          </cell>
          <cell r="K20">
            <v>1.8020364840570837</v>
          </cell>
          <cell r="O20" t="str">
            <v>ks</v>
          </cell>
        </row>
        <row r="21">
          <cell r="B21" t="str">
            <v>Cooking Equipment-NR</v>
          </cell>
          <cell r="C21" t="str">
            <v>COM-Cooking-7P_V5.xlsm</v>
          </cell>
          <cell r="F21" t="str">
            <v>Cooking Equipment</v>
          </cell>
          <cell r="H21">
            <v>62.597373753658673</v>
          </cell>
          <cell r="I21">
            <v>0</v>
          </cell>
          <cell r="K21">
            <v>31.83672767383753</v>
          </cell>
          <cell r="O21" t="str">
            <v>ks</v>
          </cell>
        </row>
        <row r="22">
          <cell r="B22" t="str">
            <v>DHP-New</v>
          </cell>
          <cell r="F22">
            <v>0</v>
          </cell>
          <cell r="H22">
            <v>0</v>
          </cell>
          <cell r="K22">
            <v>7.3598915362035227</v>
          </cell>
        </row>
        <row r="23">
          <cell r="B23" t="str">
            <v>DHP-Retro</v>
          </cell>
          <cell r="F23">
            <v>0</v>
          </cell>
          <cell r="H23">
            <v>0</v>
          </cell>
          <cell r="K23">
            <v>28.437885955279242</v>
          </cell>
        </row>
        <row r="24">
          <cell r="B24" t="str">
            <v>Glass-New</v>
          </cell>
          <cell r="C24" t="str">
            <v>dropped for 7p - codes</v>
          </cell>
          <cell r="F24" t="str">
            <v>Windows</v>
          </cell>
          <cell r="K24">
            <v>3.1359227208655991</v>
          </cell>
        </row>
        <row r="25">
          <cell r="B25" t="str">
            <v>Glass-NR</v>
          </cell>
          <cell r="C25" t="str">
            <v>dropped for 7p - codes</v>
          </cell>
          <cell r="F25" t="str">
            <v>Windows</v>
          </cell>
          <cell r="K25">
            <v>7.2056124298919988</v>
          </cell>
        </row>
        <row r="26">
          <cell r="B26" t="str">
            <v>ControllerLite-Retro</v>
          </cell>
          <cell r="F26" t="str">
            <v>HVAC Controls</v>
          </cell>
          <cell r="K26">
            <v>20.889312946804694</v>
          </cell>
        </row>
        <row r="27">
          <cell r="B27" t="str">
            <v>Advanced Rooftop Controller-New</v>
          </cell>
          <cell r="F27" t="str">
            <v>Advanced Rooftop Controller</v>
          </cell>
          <cell r="K27" t="str">
            <v/>
          </cell>
          <cell r="O27" t="str">
            <v>ks</v>
          </cell>
        </row>
        <row r="28">
          <cell r="B28" t="str">
            <v>Advanced Rooftop Controller-NR</v>
          </cell>
          <cell r="F28" t="str">
            <v>Advanced Rooftop Controller</v>
          </cell>
          <cell r="K28" t="str">
            <v/>
          </cell>
          <cell r="O28" t="str">
            <v>ks</v>
          </cell>
        </row>
        <row r="29">
          <cell r="B29" t="str">
            <v>Advanced Rooftop Controller-Retro</v>
          </cell>
          <cell r="C29" t="str">
            <v>Com-RooftopController-7P_V5.xlsm</v>
          </cell>
          <cell r="F29" t="str">
            <v>Advanced Rooftop Controller</v>
          </cell>
          <cell r="H29">
            <v>119.37282587197582</v>
          </cell>
          <cell r="I29">
            <v>0</v>
          </cell>
          <cell r="K29" t="str">
            <v/>
          </cell>
          <cell r="O29" t="str">
            <v>ks</v>
          </cell>
        </row>
        <row r="30">
          <cell r="B30" t="str">
            <v>Variable Speed Chiller-New</v>
          </cell>
          <cell r="F30" t="str">
            <v>Variable Speed Chiller</v>
          </cell>
          <cell r="K30">
            <v>1.1125921894779771</v>
          </cell>
        </row>
        <row r="31">
          <cell r="B31" t="str">
            <v>Variable Speed Chiller-NR</v>
          </cell>
          <cell r="F31" t="str">
            <v>Variable Speed Chiller</v>
          </cell>
          <cell r="K31">
            <v>12.287439737441444</v>
          </cell>
        </row>
        <row r="32">
          <cell r="B32" t="str">
            <v>Commercial EM-New</v>
          </cell>
          <cell r="F32" t="str">
            <v>Commercial Energy Management For Complex systems</v>
          </cell>
          <cell r="K32">
            <v>9.3003260024451517</v>
          </cell>
        </row>
        <row r="33">
          <cell r="B33" t="str">
            <v>Commercial EM-NR</v>
          </cell>
          <cell r="F33" t="str">
            <v>Commercial Energy Management For Complex systems</v>
          </cell>
          <cell r="K33">
            <v>0</v>
          </cell>
          <cell r="O33" t="str">
            <v>ks</v>
          </cell>
        </row>
        <row r="34">
          <cell r="B34" t="str">
            <v>Commercial EM-Retro</v>
          </cell>
          <cell r="C34" t="str">
            <v>Com-EM-7P_V4.xlsm</v>
          </cell>
          <cell r="F34" t="str">
            <v>Commercial Energy Management For Complex systems</v>
          </cell>
          <cell r="H34">
            <v>76.986931526097095</v>
          </cell>
          <cell r="I34">
            <v>11.548039728914564</v>
          </cell>
          <cell r="K34">
            <v>120.33075078506094</v>
          </cell>
          <cell r="O34" t="str">
            <v>ks</v>
          </cell>
        </row>
        <row r="35">
          <cell r="B35" t="str">
            <v>Evaporative Assist Cooling-New</v>
          </cell>
          <cell r="C35" t="str">
            <v>dropped for 7p - no data</v>
          </cell>
          <cell r="F35" t="str">
            <v>Evaporative Assist Cooling</v>
          </cell>
          <cell r="K35">
            <v>0</v>
          </cell>
        </row>
        <row r="36">
          <cell r="B36" t="str">
            <v>Evaporative Assist Cooling-NR</v>
          </cell>
          <cell r="C36" t="str">
            <v>dropped for 7p - no data</v>
          </cell>
          <cell r="F36" t="str">
            <v>Evaporative Assist Cooling</v>
          </cell>
          <cell r="K36">
            <v>0</v>
          </cell>
        </row>
        <row r="37">
          <cell r="B37" t="str">
            <v>Economizer-Retro</v>
          </cell>
          <cell r="C37" t="str">
            <v>COM-Economizer-7P_v1.xlsm</v>
          </cell>
          <cell r="F37" t="str">
            <v>Economizer maintenance and repair</v>
          </cell>
          <cell r="H37">
            <v>26.426181974293137</v>
          </cell>
          <cell r="K37">
            <v>5.9129303419382238</v>
          </cell>
        </row>
        <row r="38">
          <cell r="B38" t="str">
            <v>Demand Control Ventilation-New</v>
          </cell>
          <cell r="F38" t="str">
            <v>Demand Control Ventilation</v>
          </cell>
          <cell r="K38">
            <v>3.7806867212698152</v>
          </cell>
          <cell r="O38" t="str">
            <v>ks</v>
          </cell>
        </row>
        <row r="39">
          <cell r="B39" t="str">
            <v>Demand Control Ventilation-NR</v>
          </cell>
          <cell r="F39" t="str">
            <v>Demand Control Ventilation</v>
          </cell>
          <cell r="K39">
            <v>3.1208141189685712</v>
          </cell>
          <cell r="O39" t="str">
            <v>ks</v>
          </cell>
        </row>
        <row r="40">
          <cell r="B40" t="str">
            <v>Demand Control Ventilation-Retro</v>
          </cell>
          <cell r="C40" t="str">
            <v>Com-DCV-7P_V3.xlsm</v>
          </cell>
          <cell r="F40" t="str">
            <v>Demand Control Ventilation</v>
          </cell>
          <cell r="H40">
            <v>21.228186154993367</v>
          </cell>
          <cell r="I40">
            <v>0</v>
          </cell>
          <cell r="K40">
            <v>18.586994736156402</v>
          </cell>
          <cell r="O40" t="str">
            <v>ks</v>
          </cell>
        </row>
        <row r="41">
          <cell r="B41" t="str">
            <v>Premium Fume Hood-NR</v>
          </cell>
          <cell r="C41" t="str">
            <v>COM-FumeHood-7P_V2.xlsm</v>
          </cell>
          <cell r="F41" t="str">
            <v>Premium Fume Hood</v>
          </cell>
          <cell r="H41">
            <v>3.8878892674922914</v>
          </cell>
          <cell r="I41">
            <v>0</v>
          </cell>
          <cell r="K41">
            <v>19.625784442962761</v>
          </cell>
          <cell r="O41" t="str">
            <v>ks</v>
          </cell>
        </row>
        <row r="42">
          <cell r="B42" t="str">
            <v>DCV Restaurant Hood-Retro</v>
          </cell>
          <cell r="F42" t="str">
            <v>DCV Restaurant Hood</v>
          </cell>
          <cell r="K42">
            <v>5.2084283011879595</v>
          </cell>
          <cell r="O42" t="str">
            <v>ks</v>
          </cell>
        </row>
        <row r="43">
          <cell r="B43" t="str">
            <v>DCV Parking Garage-Retro</v>
          </cell>
          <cell r="C43" t="str">
            <v>COM-DCV-Garage-7P_V3.xlsm</v>
          </cell>
          <cell r="F43" t="str">
            <v>DCV Parking Garage</v>
          </cell>
          <cell r="H43">
            <v>12.888276850646843</v>
          </cell>
          <cell r="K43">
            <v>0</v>
          </cell>
          <cell r="O43" t="str">
            <v>ks</v>
          </cell>
        </row>
        <row r="44">
          <cell r="B44" t="str">
            <v>Weatherization - School-Retro</v>
          </cell>
          <cell r="F44" t="str">
            <v>Weatherization - School</v>
          </cell>
          <cell r="K44" t="str">
            <v/>
          </cell>
        </row>
        <row r="45">
          <cell r="B45" t="str">
            <v>Energy Recovery Ventilator-NR</v>
          </cell>
          <cell r="C45" t="str">
            <v>dropped for 7p - too expensive</v>
          </cell>
          <cell r="F45" t="str">
            <v>Heat Recovery Ventilation</v>
          </cell>
          <cell r="K45" t="str">
            <v/>
          </cell>
        </row>
        <row r="46">
          <cell r="B46" t="str">
            <v>AC Heat Recovery for Water Heating-NR</v>
          </cell>
          <cell r="C46" t="str">
            <v>dropped for 7p</v>
          </cell>
          <cell r="F46" t="str">
            <v>AC Heat Recovery for Water Heating</v>
          </cell>
          <cell r="K46" t="str">
            <v/>
          </cell>
        </row>
        <row r="47">
          <cell r="B47" t="str">
            <v>Room Occupancy Sensors in Lodging-Retro</v>
          </cell>
          <cell r="C47" t="str">
            <v>dropped for 7p</v>
          </cell>
          <cell r="F47" t="str">
            <v>Room Occupancy Sensors in Lodging</v>
          </cell>
          <cell r="K47" t="str">
            <v/>
          </cell>
        </row>
        <row r="48">
          <cell r="B48" t="str">
            <v>Chiller - chilled water retrofit-Retro</v>
          </cell>
          <cell r="C48" t="str">
            <v>dropped for 7p - no data</v>
          </cell>
          <cell r="F48" t="str">
            <v>Chiller - chilled water retrofit</v>
          </cell>
          <cell r="K48" t="str">
            <v/>
          </cell>
        </row>
        <row r="49">
          <cell r="B49" t="str">
            <v>Chiller - equip retrofits-Retro</v>
          </cell>
          <cell r="C49" t="str">
            <v>dropped for 7p - no data</v>
          </cell>
          <cell r="F49" t="str">
            <v>Chiller - equip retrofits</v>
          </cell>
          <cell r="K49" t="str">
            <v/>
          </cell>
        </row>
        <row r="50">
          <cell r="B50" t="str">
            <v>Pool Blankets-Retro</v>
          </cell>
          <cell r="C50" t="str">
            <v>dropped for 7p</v>
          </cell>
          <cell r="F50" t="str">
            <v>Pool Blankets</v>
          </cell>
          <cell r="K50" t="str">
            <v/>
          </cell>
        </row>
        <row r="51">
          <cell r="B51" t="str">
            <v>Web-Enabled Thermostats-Retro</v>
          </cell>
          <cell r="C51" t="str">
            <v>dropped for 7p</v>
          </cell>
          <cell r="F51" t="str">
            <v>Web-Enabled Thermostats</v>
          </cell>
          <cell r="K51" t="str">
            <v/>
          </cell>
        </row>
        <row r="52">
          <cell r="B52" t="str">
            <v>Garage CO2 ventilation-Retro</v>
          </cell>
          <cell r="C52" t="str">
            <v>see com-dcv-garage</v>
          </cell>
          <cell r="F52" t="str">
            <v>Garage CO2 ventilation</v>
          </cell>
          <cell r="K52" t="str">
            <v/>
          </cell>
          <cell r="O52" t="str">
            <v>ks</v>
          </cell>
        </row>
        <row r="53">
          <cell r="B53" t="str">
            <v>Circ Pump ECM and drive-Retro</v>
          </cell>
          <cell r="F53" t="str">
            <v>Circ Pump ECM and drive</v>
          </cell>
          <cell r="K53" t="str">
            <v/>
          </cell>
        </row>
        <row r="54">
          <cell r="B54" t="str">
            <v>VRF-New</v>
          </cell>
          <cell r="C54" t="str">
            <v>COM-VRF-7P_V5.xlsm</v>
          </cell>
          <cell r="F54" t="str">
            <v>Variable Refrigerant Flow</v>
          </cell>
          <cell r="H54">
            <v>61.089028709904269</v>
          </cell>
          <cell r="I54">
            <v>61.089028709904269</v>
          </cell>
          <cell r="K54" t="str">
            <v/>
          </cell>
          <cell r="O54" t="str">
            <v>ks</v>
          </cell>
        </row>
        <row r="55">
          <cell r="B55" t="str">
            <v>VRF-Retro</v>
          </cell>
          <cell r="C55" t="str">
            <v>COM-VRF-7P_V5.xlsm</v>
          </cell>
          <cell r="F55" t="str">
            <v>Variable Refrigerant Flow</v>
          </cell>
          <cell r="H55">
            <v>31.395155521232557</v>
          </cell>
          <cell r="K55" t="str">
            <v/>
          </cell>
          <cell r="O55" t="str">
            <v>ks</v>
          </cell>
        </row>
        <row r="56">
          <cell r="B56" t="str">
            <v>Evaporator Roof Top HVAC-Retro</v>
          </cell>
          <cell r="C56" t="str">
            <v>dropped for 7p</v>
          </cell>
          <cell r="F56" t="str">
            <v>Evaporator Roof Top HVAC</v>
          </cell>
          <cell r="K56" t="str">
            <v/>
          </cell>
        </row>
        <row r="57">
          <cell r="B57" t="str">
            <v>Secondary Glazing Systems-Retro</v>
          </cell>
          <cell r="C57" t="str">
            <v>Com-WindowSGS-7P_V4.xlsx</v>
          </cell>
          <cell r="F57" t="str">
            <v>Secondary Glazing Systems</v>
          </cell>
          <cell r="G57">
            <v>42071</v>
          </cell>
          <cell r="H57">
            <v>40.390797895321441</v>
          </cell>
          <cell r="K57" t="str">
            <v/>
          </cell>
          <cell r="O57" t="str">
            <v>cg</v>
          </cell>
          <cell r="R57">
            <v>42069</v>
          </cell>
          <cell r="T57">
            <v>42069</v>
          </cell>
        </row>
        <row r="58">
          <cell r="B58" t="str">
            <v>LPD Package-New</v>
          </cell>
          <cell r="C58" t="str">
            <v>Com-LightingInterior-7P_v36.xlsx</v>
          </cell>
          <cell r="F58" t="str">
            <v>Lighting Power Density</v>
          </cell>
          <cell r="G58">
            <v>42071</v>
          </cell>
          <cell r="H58">
            <v>77.181342695273457</v>
          </cell>
          <cell r="I58">
            <v>77.181342695273457</v>
          </cell>
          <cell r="K58">
            <v>43.425816906114818</v>
          </cell>
          <cell r="O58" t="str">
            <v>cg</v>
          </cell>
          <cell r="P58">
            <v>42070</v>
          </cell>
          <cell r="Q58">
            <v>42070</v>
          </cell>
          <cell r="R58">
            <v>42069</v>
          </cell>
          <cell r="T58">
            <v>42069</v>
          </cell>
          <cell r="U58">
            <v>42070</v>
          </cell>
        </row>
        <row r="59">
          <cell r="B59" t="str">
            <v>LPD Package-NR</v>
          </cell>
          <cell r="C59" t="str">
            <v>Com-LightingInterior-7P_v36.xlsx</v>
          </cell>
          <cell r="F59" t="str">
            <v>Lighting Power Density</v>
          </cell>
          <cell r="G59">
            <v>42071</v>
          </cell>
          <cell r="H59">
            <v>209.62341372597962</v>
          </cell>
          <cell r="K59">
            <v>288.64083212829757</v>
          </cell>
          <cell r="O59" t="str">
            <v>cg</v>
          </cell>
          <cell r="P59">
            <v>42070</v>
          </cell>
          <cell r="Q59">
            <v>42070</v>
          </cell>
          <cell r="R59">
            <v>42069</v>
          </cell>
          <cell r="T59">
            <v>42069</v>
          </cell>
          <cell r="U59">
            <v>42070</v>
          </cell>
        </row>
        <row r="60">
          <cell r="B60" t="str">
            <v>LPD Package-Retro</v>
          </cell>
          <cell r="C60" t="str">
            <v>Com-LightingInterior-7P_v36.xlsx</v>
          </cell>
          <cell r="F60" t="str">
            <v>Lighting Power Density</v>
          </cell>
          <cell r="G60">
            <v>42071</v>
          </cell>
          <cell r="H60">
            <v>108.93189922488979</v>
          </cell>
          <cell r="K60">
            <v>32.215584324387343</v>
          </cell>
          <cell r="O60" t="str">
            <v>cg</v>
          </cell>
          <cell r="P60">
            <v>42070</v>
          </cell>
          <cell r="Q60">
            <v>42070</v>
          </cell>
          <cell r="R60">
            <v>42069</v>
          </cell>
          <cell r="T60">
            <v>42069</v>
          </cell>
          <cell r="U60">
            <v>42070</v>
          </cell>
        </row>
        <row r="61">
          <cell r="B61" t="str">
            <v>Top Daylighting-New</v>
          </cell>
          <cell r="C61" t="str">
            <v>dropped for 7p - codes</v>
          </cell>
          <cell r="F61" t="str">
            <v>Daylighting with Skylights</v>
          </cell>
          <cell r="K61">
            <v>17.425003592262602</v>
          </cell>
          <cell r="O61" t="str">
            <v>cg</v>
          </cell>
          <cell r="R61">
            <v>42069</v>
          </cell>
          <cell r="T61">
            <v>42069</v>
          </cell>
        </row>
        <row r="62">
          <cell r="B62" t="str">
            <v>Perimeter Daylighting Controls Advanced-New</v>
          </cell>
          <cell r="C62" t="str">
            <v>dropped for 7p - codes</v>
          </cell>
          <cell r="F62" t="str">
            <v>Daylighting with Windows</v>
          </cell>
          <cell r="K62">
            <v>3.1006916194307825</v>
          </cell>
          <cell r="O62" t="str">
            <v>cg</v>
          </cell>
          <cell r="R62">
            <v>42069</v>
          </cell>
          <cell r="T62">
            <v>42069</v>
          </cell>
        </row>
        <row r="63">
          <cell r="B63" t="str">
            <v>Perimeter Daylighting Controls Advanced-NR</v>
          </cell>
          <cell r="F63" t="str">
            <v>Daylighting with Windows</v>
          </cell>
          <cell r="K63">
            <v>11.866846651298719</v>
          </cell>
          <cell r="O63" t="str">
            <v>cg</v>
          </cell>
          <cell r="R63">
            <v>42069</v>
          </cell>
          <cell r="T63">
            <v>42069</v>
          </cell>
        </row>
        <row r="64">
          <cell r="B64" t="str">
            <v>Lighting Controls Interior-New</v>
          </cell>
          <cell r="C64" t="str">
            <v>Com-InteriorLightingControls-7P_V5.xlsx</v>
          </cell>
          <cell r="F64" t="str">
            <v>Lighting Controls Interior</v>
          </cell>
          <cell r="G64">
            <v>42071</v>
          </cell>
          <cell r="H64">
            <v>10.950320424220106</v>
          </cell>
          <cell r="I64">
            <v>10.950320424220106</v>
          </cell>
          <cell r="K64">
            <v>5.4534720066331879</v>
          </cell>
          <cell r="O64" t="str">
            <v>cg</v>
          </cell>
          <cell r="R64">
            <v>42069</v>
          </cell>
          <cell r="T64">
            <v>42069</v>
          </cell>
        </row>
        <row r="65">
          <cell r="B65" t="str">
            <v>Lighting Controls Interior-NR</v>
          </cell>
          <cell r="C65" t="str">
            <v>Com-InteriorLightingControls-7P_V5.xlsx</v>
          </cell>
          <cell r="F65" t="str">
            <v>Lighting Controls Interior</v>
          </cell>
          <cell r="G65">
            <v>42071</v>
          </cell>
          <cell r="H65">
            <v>26.31391009160577</v>
          </cell>
          <cell r="K65">
            <v>53.550862716639848</v>
          </cell>
          <cell r="O65" t="str">
            <v>cg</v>
          </cell>
          <cell r="R65">
            <v>42069</v>
          </cell>
          <cell r="T65">
            <v>42069</v>
          </cell>
        </row>
        <row r="66">
          <cell r="B66" t="str">
            <v>Exterior Building Lighting-New</v>
          </cell>
          <cell r="C66" t="str">
            <v>Com-ExteriorLighting-7P_V13.xlsx</v>
          </cell>
          <cell r="F66" t="str">
            <v>Exterior Building Lighting</v>
          </cell>
          <cell r="G66">
            <v>42070</v>
          </cell>
          <cell r="H66">
            <v>18.695722892998404</v>
          </cell>
          <cell r="I66">
            <v>18.695722892998404</v>
          </cell>
          <cell r="K66">
            <v>23.218243762601482</v>
          </cell>
          <cell r="O66" t="str">
            <v>cg</v>
          </cell>
          <cell r="P66">
            <v>42069</v>
          </cell>
          <cell r="Q66">
            <v>42069</v>
          </cell>
          <cell r="R66">
            <v>42069</v>
          </cell>
          <cell r="T66">
            <v>42069</v>
          </cell>
          <cell r="U66">
            <v>42069</v>
          </cell>
        </row>
        <row r="67">
          <cell r="B67" t="str">
            <v>Exterior Building Lighting-NR</v>
          </cell>
          <cell r="C67" t="str">
            <v>Com-ExteriorLighting-7P_V13.xlsx</v>
          </cell>
          <cell r="F67" t="str">
            <v>Exterior Building Lighting</v>
          </cell>
          <cell r="G67">
            <v>42070</v>
          </cell>
          <cell r="H67">
            <v>123.72449000056638</v>
          </cell>
          <cell r="K67">
            <v>65.152385048123932</v>
          </cell>
          <cell r="O67" t="str">
            <v>cg</v>
          </cell>
          <cell r="P67">
            <v>42069</v>
          </cell>
          <cell r="Q67">
            <v>42069</v>
          </cell>
          <cell r="R67">
            <v>42069</v>
          </cell>
          <cell r="T67">
            <v>42069</v>
          </cell>
          <cell r="U67">
            <v>42069</v>
          </cell>
        </row>
        <row r="68">
          <cell r="B68" t="str">
            <v>Street and Roadway Lighting-New</v>
          </cell>
          <cell r="C68" t="str">
            <v>Com-Streetlight-7P_V9.xlsx</v>
          </cell>
          <cell r="F68" t="str">
            <v>Street and Roadway Lighting</v>
          </cell>
          <cell r="G68">
            <v>42070</v>
          </cell>
          <cell r="H68">
            <v>6.6186035002887733</v>
          </cell>
          <cell r="K68">
            <v>8.0478163439427366</v>
          </cell>
          <cell r="O68" t="str">
            <v>cg</v>
          </cell>
          <cell r="P68">
            <v>42069</v>
          </cell>
          <cell r="Q68">
            <v>42069</v>
          </cell>
          <cell r="R68">
            <v>42069</v>
          </cell>
          <cell r="T68">
            <v>42069</v>
          </cell>
          <cell r="U68">
            <v>42069</v>
          </cell>
        </row>
        <row r="69">
          <cell r="B69" t="str">
            <v>Street and Roadway Lighting-NR</v>
          </cell>
          <cell r="C69" t="str">
            <v>Com-Streetlight-7P_V9.xlsx</v>
          </cell>
          <cell r="F69" t="str">
            <v>Street and Roadway Lighting</v>
          </cell>
          <cell r="G69">
            <v>42070</v>
          </cell>
          <cell r="H69">
            <v>54.214701088024171</v>
          </cell>
          <cell r="K69">
            <v>35.768242090251178</v>
          </cell>
          <cell r="O69" t="str">
            <v>cg</v>
          </cell>
          <cell r="P69">
            <v>42069</v>
          </cell>
          <cell r="Q69">
            <v>42069</v>
          </cell>
          <cell r="R69">
            <v>42069</v>
          </cell>
          <cell r="T69">
            <v>42069</v>
          </cell>
          <cell r="U69">
            <v>42069</v>
          </cell>
        </row>
        <row r="70">
          <cell r="B70" t="str">
            <v>Parking Lighting-New</v>
          </cell>
          <cell r="C70" t="str">
            <v>Com-ParkingGarageLighting-7P_v6.xlsx</v>
          </cell>
          <cell r="F70" t="str">
            <v>Parking Lighting</v>
          </cell>
          <cell r="I70">
            <v>0</v>
          </cell>
          <cell r="K70">
            <v>8.3762581743454216</v>
          </cell>
          <cell r="O70" t="str">
            <v>cg</v>
          </cell>
          <cell r="R70">
            <v>42069</v>
          </cell>
          <cell r="T70">
            <v>42069</v>
          </cell>
        </row>
        <row r="71">
          <cell r="B71" t="str">
            <v>Parking Lighting-NR</v>
          </cell>
          <cell r="C71" t="str">
            <v>Com-ParkingGarageLighting-7P_v6.xlsx</v>
          </cell>
          <cell r="F71" t="str">
            <v>Parking Lighting</v>
          </cell>
          <cell r="G71">
            <v>42081</v>
          </cell>
          <cell r="H71">
            <v>8.4133728390346398</v>
          </cell>
          <cell r="K71">
            <v>45.816647060114327</v>
          </cell>
          <cell r="O71" t="str">
            <v>cg</v>
          </cell>
          <cell r="R71">
            <v>42069</v>
          </cell>
          <cell r="T71">
            <v>42069</v>
          </cell>
        </row>
        <row r="72">
          <cell r="B72" t="str">
            <v>Bi-Level Stairwell Lighting-NR</v>
          </cell>
          <cell r="C72" t="str">
            <v>Com-Bi-Level Stairwell-7P_V2.xlsx</v>
          </cell>
          <cell r="F72" t="str">
            <v>Bi-Level Stairwell</v>
          </cell>
          <cell r="G72">
            <v>42081</v>
          </cell>
          <cell r="H72">
            <v>11.858348727423326</v>
          </cell>
          <cell r="K72" t="str">
            <v/>
          </cell>
          <cell r="O72" t="str">
            <v>cg</v>
          </cell>
          <cell r="R72">
            <v>42069</v>
          </cell>
          <cell r="T72">
            <v>42069</v>
          </cell>
        </row>
        <row r="73">
          <cell r="B73" t="str">
            <v>Low Power LF Lamps-NR</v>
          </cell>
          <cell r="C73" t="str">
            <v>Com-HPLowPowerGSFL-7P_V5.xlsx</v>
          </cell>
          <cell r="F73" t="str">
            <v>High Perf Low Power Fluorescent Lamp PPA</v>
          </cell>
          <cell r="G73">
            <v>42057</v>
          </cell>
          <cell r="H73">
            <v>40.479721787784023</v>
          </cell>
          <cell r="O73" t="str">
            <v>cg</v>
          </cell>
          <cell r="P73">
            <v>42070</v>
          </cell>
          <cell r="Q73">
            <v>42070</v>
          </cell>
          <cell r="R73">
            <v>42069</v>
          </cell>
          <cell r="T73">
            <v>42069</v>
          </cell>
          <cell r="U73">
            <v>42070</v>
          </cell>
        </row>
        <row r="74">
          <cell r="B74" t="str">
            <v>LEC Exit Sign-New</v>
          </cell>
          <cell r="C74" t="str">
            <v>Com-ExitSign-7P_V2.xlsx</v>
          </cell>
          <cell r="F74" t="str">
            <v xml:space="preserve">LEC Exit Sign </v>
          </cell>
          <cell r="G74">
            <v>42086</v>
          </cell>
        </row>
        <row r="75">
          <cell r="B75" t="str">
            <v>LEC Exit Sign-NR</v>
          </cell>
          <cell r="C75" t="str">
            <v>Com-ExitSign-7P_V2.xlsx</v>
          </cell>
        </row>
        <row r="76">
          <cell r="B76" t="str">
            <v>ECM-VAV-New</v>
          </cell>
          <cell r="C76" t="str">
            <v>COM-ECM-VAV-7P_V3.xlsm</v>
          </cell>
          <cell r="F76" t="str">
            <v>ECM Motors on Variable Air Volume Boxes</v>
          </cell>
          <cell r="H76">
            <v>6.3907640383945719</v>
          </cell>
          <cell r="I76">
            <v>6.3907640383945719</v>
          </cell>
          <cell r="K76">
            <v>2.5095329434297415</v>
          </cell>
          <cell r="O76" t="str">
            <v>ks</v>
          </cell>
        </row>
        <row r="77">
          <cell r="B77" t="str">
            <v>ECM-VAV-NR</v>
          </cell>
          <cell r="C77" t="str">
            <v>COM-ECM-VAV-7P_V3.xlsm</v>
          </cell>
          <cell r="F77" t="str">
            <v>ECM Motors on Variable Air Volume Boxes</v>
          </cell>
          <cell r="H77">
            <v>27.229691418576945</v>
          </cell>
          <cell r="K77">
            <v>8.5068284449929461</v>
          </cell>
          <cell r="O77" t="str">
            <v>ks</v>
          </cell>
        </row>
        <row r="78">
          <cell r="B78" t="str">
            <v>Pool pumps-Retro</v>
          </cell>
          <cell r="C78" t="str">
            <v>dropped for 7p</v>
          </cell>
          <cell r="F78" t="str">
            <v>Pool pumps</v>
          </cell>
          <cell r="K78" t="str">
            <v/>
          </cell>
        </row>
        <row r="79">
          <cell r="B79" t="str">
            <v>MotorsRewind-New</v>
          </cell>
          <cell r="C79" t="str">
            <v>COM-MotorsRewind-7P_v2.xlsm</v>
          </cell>
          <cell r="F79" t="str">
            <v>Motors - Rewind</v>
          </cell>
          <cell r="H79">
            <v>0.59897056594621811</v>
          </cell>
          <cell r="I79">
            <v>0.59897056594621811</v>
          </cell>
          <cell r="K79" t="str">
            <v/>
          </cell>
          <cell r="O79" t="str">
            <v>ks</v>
          </cell>
        </row>
        <row r="80">
          <cell r="B80" t="str">
            <v>MotorsRewind-NR</v>
          </cell>
          <cell r="C80" t="str">
            <v>COM-MotorsRewind-7P_v2.xlsm</v>
          </cell>
          <cell r="F80" t="str">
            <v>Motors - Rewind</v>
          </cell>
          <cell r="H80">
            <v>2.6079890407215234</v>
          </cell>
          <cell r="K80" t="str">
            <v/>
          </cell>
          <cell r="O80" t="str">
            <v>ks</v>
          </cell>
        </row>
        <row r="81">
          <cell r="B81" t="str">
            <v>Municipal Sewage Treatment-Retro</v>
          </cell>
          <cell r="C81" t="str">
            <v>COM-Wastewater-7P_V5.xlsm</v>
          </cell>
          <cell r="D81" t="str">
            <v>SC_Retro</v>
          </cell>
          <cell r="E81" t="str">
            <v>Retro</v>
          </cell>
          <cell r="F81" t="str">
            <v>Municipal Sewage Treatment</v>
          </cell>
          <cell r="H81">
            <v>35.292674678530631</v>
          </cell>
          <cell r="K81">
            <v>35.639494471243012</v>
          </cell>
          <cell r="O81" t="str">
            <v>ks</v>
          </cell>
        </row>
        <row r="82">
          <cell r="B82" t="str">
            <v>Municipal Water Supply-Retro</v>
          </cell>
          <cell r="C82" t="str">
            <v>COM-WaterSupply-7P_V5.xlsm</v>
          </cell>
          <cell r="D82" t="str">
            <v>SC_Retro</v>
          </cell>
          <cell r="E82" t="str">
            <v>Retro</v>
          </cell>
          <cell r="F82" t="str">
            <v>Municipal Water Supply</v>
          </cell>
          <cell r="H82">
            <v>14.042252983626129</v>
          </cell>
          <cell r="K82">
            <v>13.786942026010605</v>
          </cell>
          <cell r="O82" t="str">
            <v>ks</v>
          </cell>
        </row>
        <row r="83">
          <cell r="B83" t="str">
            <v>Engine Generator Block Heaters-Retro</v>
          </cell>
          <cell r="C83" t="str">
            <v>dropped for 7p</v>
          </cell>
          <cell r="F83" t="str">
            <v>Engine Generator Block Heaters</v>
          </cell>
          <cell r="K83" t="str">
            <v/>
          </cell>
        </row>
        <row r="84">
          <cell r="B84" t="str">
            <v>Grocery Refrigeration Bundle-Retro</v>
          </cell>
          <cell r="C84" t="str">
            <v>Com-Grocery-7P_V6.xlsx</v>
          </cell>
          <cell r="F84" t="str">
            <v>Grocery Refrigeration Bundle</v>
          </cell>
          <cell r="G84">
            <v>42081</v>
          </cell>
          <cell r="H84">
            <v>63.16626946870079</v>
          </cell>
          <cell r="K84">
            <v>85.641041401934004</v>
          </cell>
          <cell r="O84" t="str">
            <v>cg</v>
          </cell>
          <cell r="R84">
            <v>42069</v>
          </cell>
          <cell r="T84">
            <v>42069</v>
          </cell>
        </row>
        <row r="85">
          <cell r="B85" t="str">
            <v>Packaged Refrigeration Equipment-New</v>
          </cell>
          <cell r="C85" t="str">
            <v>dropped for 7p - stds</v>
          </cell>
          <cell r="F85" t="str">
            <v>Packaged Refrigeration Equipment</v>
          </cell>
          <cell r="K85">
            <v>49.431909921506794</v>
          </cell>
        </row>
        <row r="86">
          <cell r="B86" t="str">
            <v>Appliances - Freezers-NR</v>
          </cell>
          <cell r="F86" t="str">
            <v>Appliances - Freezers</v>
          </cell>
          <cell r="K86" t="str">
            <v/>
          </cell>
        </row>
        <row r="87">
          <cell r="B87" t="str">
            <v>Appliances - Refrigerators-NR</v>
          </cell>
          <cell r="F87" t="str">
            <v>Appliances - Refrigerators</v>
          </cell>
          <cell r="K87" t="str">
            <v/>
          </cell>
        </row>
        <row r="88">
          <cell r="B88" t="str">
            <v>Water Cooler Controls-NR</v>
          </cell>
          <cell r="C88" t="str">
            <v>Com-WaterCooler-7P_V4.xlsx</v>
          </cell>
          <cell r="F88" t="str">
            <v>Water Cooler Controls</v>
          </cell>
          <cell r="G88">
            <v>42081</v>
          </cell>
          <cell r="H88">
            <v>13.180394293600866</v>
          </cell>
          <cell r="K88" t="str">
            <v/>
          </cell>
          <cell r="O88" t="str">
            <v>cg</v>
          </cell>
          <cell r="R88">
            <v>42069</v>
          </cell>
          <cell r="T88">
            <v>42069</v>
          </cell>
        </row>
        <row r="89">
          <cell r="B89" t="str">
            <v>WHTanks-New</v>
          </cell>
          <cell r="C89" t="str">
            <v>COM-WHTanks-7p_v5.xlsm</v>
          </cell>
          <cell r="F89" t="str">
            <v>DHW - Efficient Tanks</v>
          </cell>
          <cell r="H89">
            <v>0.49370461821151984</v>
          </cell>
          <cell r="I89">
            <v>0.49370461821151984</v>
          </cell>
          <cell r="K89">
            <v>0</v>
          </cell>
          <cell r="O89" t="str">
            <v>ks</v>
          </cell>
        </row>
        <row r="90">
          <cell r="B90" t="str">
            <v>WHTanks-NR</v>
          </cell>
          <cell r="C90" t="str">
            <v>COM-WHTanks-7p_v5.xlsm</v>
          </cell>
          <cell r="F90" t="str">
            <v>DHW - Efficient Tanks</v>
          </cell>
          <cell r="H90">
            <v>2.0446577325813005</v>
          </cell>
          <cell r="K90" t="str">
            <v/>
          </cell>
          <cell r="O90" t="str">
            <v>ks</v>
          </cell>
        </row>
        <row r="91">
          <cell r="B91" t="str">
            <v>Appliances - Clothes Washers-NR</v>
          </cell>
          <cell r="F91" t="str">
            <v>Appliances - Clothes Washers</v>
          </cell>
          <cell r="K91" t="str">
            <v/>
          </cell>
        </row>
        <row r="92">
          <cell r="B92" t="str">
            <v>Showerheads-Retro</v>
          </cell>
          <cell r="C92" t="str">
            <v>COM-Showerhead-7P_v3.xlsm</v>
          </cell>
          <cell r="F92" t="str">
            <v>DHW - Showerheads</v>
          </cell>
          <cell r="H92">
            <v>3.7216771353503777</v>
          </cell>
          <cell r="K92" t="str">
            <v/>
          </cell>
          <cell r="O92" t="str">
            <v>ks</v>
          </cell>
        </row>
        <row r="93">
          <cell r="B93" t="str">
            <v>Water Heating - GFHX-New</v>
          </cell>
          <cell r="C93" t="str">
            <v>dropped for 7p</v>
          </cell>
          <cell r="F93" t="str">
            <v>Water Heating - GFHX</v>
          </cell>
          <cell r="K93" t="str">
            <v/>
          </cell>
        </row>
        <row r="94">
          <cell r="B94" t="str">
            <v>Demand Control Circulating system DHW-Retro</v>
          </cell>
          <cell r="C94" t="str">
            <v>dropped for 7p</v>
          </cell>
          <cell r="F94" t="str">
            <v>Demand Control Circulating system DHW</v>
          </cell>
          <cell r="K94" t="str">
            <v/>
          </cell>
        </row>
        <row r="95">
          <cell r="B95" t="str">
            <v>Central HPWH MF-Retro</v>
          </cell>
          <cell r="F95" t="str">
            <v>Central HPWH MF</v>
          </cell>
          <cell r="K95" t="str">
            <v/>
          </cell>
        </row>
        <row r="96">
          <cell r="B96" t="str">
            <v>Ultra Low Energy Building-New</v>
          </cell>
          <cell r="F96" t="str">
            <v>Ultra Low Energy Building</v>
          </cell>
          <cell r="K96">
            <v>57.012696990717721</v>
          </cell>
          <cell r="O96" t="str">
            <v>cg</v>
          </cell>
          <cell r="R96">
            <v>42069</v>
          </cell>
          <cell r="T96">
            <v>42069</v>
          </cell>
        </row>
        <row r="99">
          <cell r="B99" t="str">
            <v>From 6P not in 7P</v>
          </cell>
        </row>
        <row r="100">
          <cell r="B100" t="str">
            <v>Signage-New</v>
          </cell>
          <cell r="C100" t="str">
            <v>dropped for 7p</v>
          </cell>
          <cell r="K100">
            <v>1.1088142099641565</v>
          </cell>
        </row>
        <row r="101">
          <cell r="B101" t="str">
            <v>Signage-NR</v>
          </cell>
          <cell r="C101" t="str">
            <v>dropped for 7p</v>
          </cell>
          <cell r="K101">
            <v>5.6760557940938234</v>
          </cell>
        </row>
        <row r="102">
          <cell r="B102" t="str">
            <v>Exit Signs-NR</v>
          </cell>
          <cell r="C102" t="str">
            <v>dropped for 7p</v>
          </cell>
          <cell r="H102">
            <v>741</v>
          </cell>
          <cell r="K102">
            <v>4.88794421832577</v>
          </cell>
        </row>
        <row r="103">
          <cell r="B103" t="str">
            <v>Roof Insulation-NR</v>
          </cell>
          <cell r="C103" t="str">
            <v>dropped for 7p</v>
          </cell>
          <cell r="K103">
            <v>24.79389803241914</v>
          </cell>
        </row>
        <row r="104">
          <cell r="B104" t="str">
            <v>Package Roof Top Optimization and Repair-New</v>
          </cell>
          <cell r="C104" t="str">
            <v>See Economizer Measure</v>
          </cell>
          <cell r="K104">
            <v>4.3297471414332787</v>
          </cell>
        </row>
        <row r="105">
          <cell r="B105" t="str">
            <v>Package Roof Top Optimization and Repair-NR</v>
          </cell>
          <cell r="C105" t="str">
            <v>See Economizer Measure</v>
          </cell>
          <cell r="K105">
            <v>8.0798753943758364</v>
          </cell>
        </row>
        <row r="106">
          <cell r="B106" t="str">
            <v>Package Roof Top Optimization and Repair-Retro</v>
          </cell>
          <cell r="C106" t="str">
            <v>See Economizer Measure</v>
          </cell>
          <cell r="K106">
            <v>13.993833635474468</v>
          </cell>
        </row>
        <row r="107">
          <cell r="B107" t="str">
            <v>Computer Servers and IT-Retro</v>
          </cell>
          <cell r="C107" t="str">
            <v>See data centers</v>
          </cell>
        </row>
        <row r="108">
          <cell r="B108" t="str">
            <v>Low Pressure Distribution Complex HVAC-New</v>
          </cell>
          <cell r="F108" t="str">
            <v>Low Pressure Distribution Complex HVAC</v>
          </cell>
        </row>
        <row r="109">
          <cell r="B109" t="str">
            <v>Premium HVAC Equipment-New</v>
          </cell>
          <cell r="C109" t="str">
            <v>dropped for 7p Stds</v>
          </cell>
        </row>
        <row r="110">
          <cell r="B110" t="str">
            <v>Premium HVAC Equipment-NR</v>
          </cell>
          <cell r="C110" t="str">
            <v>dropped for 7p Stds</v>
          </cell>
        </row>
        <row r="111">
          <cell r="B111" t="str">
            <v>Considered by not included in 7P</v>
          </cell>
        </row>
        <row r="112">
          <cell r="B112" t="str">
            <v>Energy Recovery Ventilator-NR</v>
          </cell>
          <cell r="C112" t="str">
            <v>dropped for 7p - too expensive</v>
          </cell>
        </row>
        <row r="113">
          <cell r="B113" t="str">
            <v>AC Heat Recovery for Water Heating-NR</v>
          </cell>
          <cell r="C113" t="str">
            <v>dropped for 7p</v>
          </cell>
        </row>
        <row r="114">
          <cell r="B114" t="str">
            <v>Room Occupancy Sensors in Lodging-Retro</v>
          </cell>
          <cell r="C114" t="str">
            <v>dropped for 7p</v>
          </cell>
          <cell r="D114" t="str">
            <v>dropped for 7p</v>
          </cell>
          <cell r="E114" t="str">
            <v>dropped for 7p</v>
          </cell>
          <cell r="F114" t="str">
            <v>dropped for 7p</v>
          </cell>
        </row>
        <row r="115">
          <cell r="B115" t="str">
            <v>Commercial Clothes Washers-New</v>
          </cell>
          <cell r="C115" t="str">
            <v>dropped for 7p</v>
          </cell>
          <cell r="D115" t="str">
            <v>dropped for 7p</v>
          </cell>
          <cell r="E115" t="str">
            <v>dropped for 7p</v>
          </cell>
          <cell r="F115" t="str">
            <v>dropped for 7p</v>
          </cell>
        </row>
        <row r="116">
          <cell r="B116" t="str">
            <v>Switched Reluctance/Permanent Magnet Motors-Retro</v>
          </cell>
          <cell r="C116" t="str">
            <v>see ecm-vav - could be expanded to other applications</v>
          </cell>
          <cell r="F116" t="str">
            <v>Switched Reluctance/Permanent Magnet Motors</v>
          </cell>
          <cell r="L116" t="str">
            <v>power supplies</v>
          </cell>
        </row>
        <row r="117">
          <cell r="F117">
            <v>0</v>
          </cell>
          <cell r="L117" t="str">
            <v>Computers (in ICE)</v>
          </cell>
        </row>
        <row r="118">
          <cell r="L118" t="str">
            <v>Monitors (in ICE)</v>
          </cell>
        </row>
        <row r="119">
          <cell r="B119" t="str">
            <v>Glass-New</v>
          </cell>
          <cell r="C119" t="str">
            <v>dropped for 7p - codes</v>
          </cell>
          <cell r="F119" t="str">
            <v>Windows</v>
          </cell>
        </row>
        <row r="120">
          <cell r="B120" t="str">
            <v>Glass-NR</v>
          </cell>
          <cell r="C120" t="str">
            <v>dropped for 7p - codes</v>
          </cell>
          <cell r="F120" t="str">
            <v>Windows</v>
          </cell>
        </row>
        <row r="121">
          <cell r="B121" t="str">
            <v>Glass-Retro</v>
          </cell>
          <cell r="C121" t="str">
            <v>see secondary glazing</v>
          </cell>
          <cell r="F121" t="str">
            <v>Windows</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X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9.9999999999999978E-2</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cell r="X16">
            <v>0.01</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cell r="X17">
            <v>0.01</v>
          </cell>
        </row>
        <row r="18">
          <cell r="B18" t="str">
            <v>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X18">
            <v>0.01</v>
          </cell>
        </row>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DHP-New</v>
          </cell>
          <cell r="C22">
            <v>0</v>
          </cell>
          <cell r="D22">
            <v>9.3666492863930473E-2</v>
          </cell>
          <cell r="E22">
            <v>0.18093220414775901</v>
          </cell>
          <cell r="F22">
            <v>0</v>
          </cell>
          <cell r="G22">
            <v>0</v>
          </cell>
          <cell r="H22">
            <v>0.1845720316176401</v>
          </cell>
          <cell r="I22">
            <v>0.23278079179476083</v>
          </cell>
          <cell r="J22">
            <v>3.7519732135274744E-4</v>
          </cell>
          <cell r="K22">
            <v>0</v>
          </cell>
          <cell r="L22">
            <v>4.0847109948506629E-3</v>
          </cell>
          <cell r="M22">
            <v>0</v>
          </cell>
          <cell r="N22">
            <v>5.4746597404996745E-2</v>
          </cell>
          <cell r="O22">
            <v>2.9347519170761286E-2</v>
          </cell>
          <cell r="P22">
            <v>4.3510047797893039E-2</v>
          </cell>
          <cell r="Q22">
            <v>0</v>
          </cell>
          <cell r="R22">
            <v>6.9159304953855333E-2</v>
          </cell>
          <cell r="S22">
            <v>6.6382185345618808E-2</v>
          </cell>
          <cell r="T22">
            <v>3.7441828223745317E-2</v>
          </cell>
          <cell r="X22">
            <v>1</v>
          </cell>
          <cell r="Y22">
            <v>1</v>
          </cell>
        </row>
        <row r="23">
          <cell r="B23" t="str">
            <v>DHP-Retro</v>
          </cell>
          <cell r="C23">
            <v>0</v>
          </cell>
          <cell r="D23">
            <v>9.3666492863930473E-2</v>
          </cell>
          <cell r="E23">
            <v>0.18093220414775901</v>
          </cell>
          <cell r="F23">
            <v>0</v>
          </cell>
          <cell r="G23">
            <v>0</v>
          </cell>
          <cell r="H23">
            <v>0.1845720316176401</v>
          </cell>
          <cell r="I23">
            <v>0.23278079179476083</v>
          </cell>
          <cell r="J23">
            <v>3.7519732135274744E-4</v>
          </cell>
          <cell r="K23">
            <v>0</v>
          </cell>
          <cell r="L23">
            <v>4.0847109948506629E-3</v>
          </cell>
          <cell r="M23">
            <v>0</v>
          </cell>
          <cell r="N23">
            <v>5.4746597404996745E-2</v>
          </cell>
          <cell r="O23">
            <v>2.9347519170761286E-2</v>
          </cell>
          <cell r="P23">
            <v>4.3510047797893039E-2</v>
          </cell>
          <cell r="Q23">
            <v>0</v>
          </cell>
          <cell r="R23">
            <v>6.9159304953855333E-2</v>
          </cell>
          <cell r="S23">
            <v>6.6382185345618808E-2</v>
          </cell>
          <cell r="T23">
            <v>3.7441828223745317E-2</v>
          </cell>
          <cell r="X23">
            <v>0</v>
          </cell>
          <cell r="Y23">
            <v>9.3666492863930473E-2</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ControllerLite-Retro</v>
          </cell>
          <cell r="C26">
            <v>0</v>
          </cell>
          <cell r="D26">
            <v>0</v>
          </cell>
          <cell r="E26">
            <v>1</v>
          </cell>
          <cell r="F26">
            <v>0</v>
          </cell>
          <cell r="G26">
            <v>0</v>
          </cell>
          <cell r="H26">
            <v>0</v>
          </cell>
          <cell r="I26">
            <v>1</v>
          </cell>
          <cell r="J26">
            <v>1.4578844468467652E-2</v>
          </cell>
          <cell r="K26">
            <v>0</v>
          </cell>
          <cell r="L26">
            <v>3.523051634076587E-2</v>
          </cell>
          <cell r="M26">
            <v>0</v>
          </cell>
          <cell r="N26">
            <v>1</v>
          </cell>
          <cell r="O26">
            <v>0.51802836477288372</v>
          </cell>
          <cell r="P26">
            <v>4.738035107666288E-3</v>
          </cell>
          <cell r="Q26">
            <v>0</v>
          </cell>
          <cell r="R26">
            <v>4.9345201334677321E-3</v>
          </cell>
          <cell r="S26">
            <v>3.9136333877381378E-2</v>
          </cell>
          <cell r="T26">
            <v>8.2412585873646096E-2</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Economizer-Retro</v>
          </cell>
          <cell r="C37">
            <v>0.37773742662640791</v>
          </cell>
          <cell r="D37">
            <v>0.23826646440482974</v>
          </cell>
          <cell r="E37">
            <v>5.5518884697354179E-2</v>
          </cell>
          <cell r="F37">
            <v>0.35309381104934129</v>
          </cell>
          <cell r="G37">
            <v>0.19907568268653997</v>
          </cell>
          <cell r="H37">
            <v>0.15513670187653161</v>
          </cell>
          <cell r="I37">
            <v>1.0197910929940514E-2</v>
          </cell>
          <cell r="J37">
            <v>0.28088324172086482</v>
          </cell>
          <cell r="K37">
            <v>0.28088324172086482</v>
          </cell>
          <cell r="L37">
            <v>0.11124903795477889</v>
          </cell>
          <cell r="M37">
            <v>0.31360984414443888</v>
          </cell>
          <cell r="N37">
            <v>0.15264480663133839</v>
          </cell>
          <cell r="O37">
            <v>0.24652213025227437</v>
          </cell>
          <cell r="P37">
            <v>7.8175735111402314E-2</v>
          </cell>
          <cell r="Q37">
            <v>0.34124133606352913</v>
          </cell>
          <cell r="R37">
            <v>5.9048454739110051E-2</v>
          </cell>
          <cell r="S37">
            <v>0.29894926354357898</v>
          </cell>
          <cell r="T37">
            <v>0.31491070071894045</v>
          </cell>
          <cell r="X37">
            <v>0.62956237771067991</v>
          </cell>
          <cell r="Y37">
            <v>0.31768861920643965</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Low Power LF Lamps-NR</v>
          </cell>
          <cell r="C73">
            <v>1</v>
          </cell>
          <cell r="D73">
            <v>1</v>
          </cell>
          <cell r="E73">
            <v>1</v>
          </cell>
          <cell r="F73">
            <v>1</v>
          </cell>
          <cell r="G73">
            <v>1</v>
          </cell>
          <cell r="H73">
            <v>1</v>
          </cell>
          <cell r="I73">
            <v>1</v>
          </cell>
          <cell r="J73">
            <v>1</v>
          </cell>
          <cell r="K73">
            <v>1</v>
          </cell>
          <cell r="L73">
            <v>1</v>
          </cell>
          <cell r="M73">
            <v>1</v>
          </cell>
          <cell r="N73">
            <v>1</v>
          </cell>
          <cell r="O73">
            <v>1</v>
          </cell>
          <cell r="P73">
            <v>1</v>
          </cell>
          <cell r="Q73">
            <v>1</v>
          </cell>
          <cell r="R73">
            <v>1</v>
          </cell>
          <cell r="S73">
            <v>1</v>
          </cell>
          <cell r="T73">
            <v>1</v>
          </cell>
          <cell r="X73">
            <v>1</v>
          </cell>
          <cell r="Y73">
            <v>1</v>
          </cell>
        </row>
        <row r="74">
          <cell r="B74" t="str">
            <v>LEC Exit Sign-New</v>
          </cell>
        </row>
        <row r="75">
          <cell r="B75" t="str">
            <v>LEC Exit Sign-NR</v>
          </cell>
        </row>
        <row r="76">
          <cell r="B76" t="str">
            <v>ECM-VAV-New</v>
          </cell>
          <cell r="C76">
            <v>0.6</v>
          </cell>
          <cell r="D76">
            <v>0.7</v>
          </cell>
          <cell r="E76">
            <v>0.9</v>
          </cell>
          <cell r="F76">
            <v>0.9</v>
          </cell>
          <cell r="G76">
            <v>0.9</v>
          </cell>
          <cell r="H76">
            <v>0.9</v>
          </cell>
          <cell r="I76">
            <v>0.6</v>
          </cell>
          <cell r="J76">
            <v>0.9</v>
          </cell>
          <cell r="K76">
            <v>0.6</v>
          </cell>
          <cell r="L76">
            <v>0.9</v>
          </cell>
          <cell r="M76">
            <v>0.9</v>
          </cell>
          <cell r="N76">
            <v>0.9</v>
          </cell>
          <cell r="O76">
            <v>0.9</v>
          </cell>
          <cell r="P76">
            <v>0.9</v>
          </cell>
          <cell r="Q76">
            <v>0.6</v>
          </cell>
          <cell r="R76">
            <v>0.9</v>
          </cell>
          <cell r="S76">
            <v>0.9</v>
          </cell>
          <cell r="T76">
            <v>0.6</v>
          </cell>
          <cell r="X76">
            <v>1</v>
          </cell>
          <cell r="Y76">
            <v>1</v>
          </cell>
        </row>
        <row r="77">
          <cell r="B77" t="str">
            <v>ECM-VAV-NR</v>
          </cell>
          <cell r="C77">
            <v>0.8</v>
          </cell>
          <cell r="D77">
            <v>0.8</v>
          </cell>
          <cell r="E77">
            <v>0.9</v>
          </cell>
          <cell r="F77">
            <v>0.9</v>
          </cell>
          <cell r="G77">
            <v>0.9</v>
          </cell>
          <cell r="H77">
            <v>0.9</v>
          </cell>
          <cell r="I77">
            <v>0.8</v>
          </cell>
          <cell r="J77">
            <v>0.9</v>
          </cell>
          <cell r="K77">
            <v>0.8</v>
          </cell>
          <cell r="L77">
            <v>0.9</v>
          </cell>
          <cell r="M77">
            <v>0.9</v>
          </cell>
          <cell r="N77">
            <v>0.9</v>
          </cell>
          <cell r="O77">
            <v>0.9</v>
          </cell>
          <cell r="P77">
            <v>0.9</v>
          </cell>
          <cell r="Q77">
            <v>0.8</v>
          </cell>
          <cell r="R77">
            <v>0.9</v>
          </cell>
          <cell r="S77">
            <v>0.9</v>
          </cell>
          <cell r="T77">
            <v>0.8</v>
          </cell>
          <cell r="X77">
            <v>1</v>
          </cell>
          <cell r="Y77">
            <v>1</v>
          </cell>
        </row>
        <row r="78">
          <cell r="B78" t="str">
            <v>Pool pumps-Retro</v>
          </cell>
          <cell r="C78">
            <v>0.01</v>
          </cell>
          <cell r="D78">
            <v>0.01</v>
          </cell>
          <cell r="E78">
            <v>0.01</v>
          </cell>
          <cell r="F78">
            <v>0.01</v>
          </cell>
          <cell r="G78">
            <v>0.01</v>
          </cell>
          <cell r="H78">
            <v>0.01</v>
          </cell>
          <cell r="I78">
            <v>0.01</v>
          </cell>
          <cell r="J78">
            <v>0.01</v>
          </cell>
          <cell r="K78">
            <v>0.01</v>
          </cell>
          <cell r="L78">
            <v>0.01</v>
          </cell>
          <cell r="M78">
            <v>0.01</v>
          </cell>
          <cell r="N78">
            <v>0.01</v>
          </cell>
          <cell r="O78">
            <v>0.01</v>
          </cell>
          <cell r="P78">
            <v>0.01</v>
          </cell>
          <cell r="Q78">
            <v>0.01</v>
          </cell>
          <cell r="R78">
            <v>0.01</v>
          </cell>
          <cell r="S78">
            <v>0.01</v>
          </cell>
          <cell r="T78">
            <v>0.01</v>
          </cell>
          <cell r="X78">
            <v>0.01</v>
          </cell>
          <cell r="Y78">
            <v>0.01</v>
          </cell>
        </row>
        <row r="79">
          <cell r="B79" t="str">
            <v>MotorsRewind-New</v>
          </cell>
          <cell r="C79">
            <v>0.01</v>
          </cell>
          <cell r="D79">
            <v>0.01</v>
          </cell>
          <cell r="E79">
            <v>0.01</v>
          </cell>
          <cell r="F79">
            <v>0.01</v>
          </cell>
          <cell r="G79">
            <v>0.01</v>
          </cell>
          <cell r="H79">
            <v>0.01</v>
          </cell>
          <cell r="I79">
            <v>0.01</v>
          </cell>
          <cell r="J79">
            <v>0.01</v>
          </cell>
          <cell r="K79">
            <v>0.01</v>
          </cell>
          <cell r="L79">
            <v>0.01</v>
          </cell>
          <cell r="M79">
            <v>0.01</v>
          </cell>
          <cell r="N79">
            <v>0.01</v>
          </cell>
          <cell r="O79">
            <v>0.01</v>
          </cell>
          <cell r="P79">
            <v>0.01</v>
          </cell>
          <cell r="Q79">
            <v>0.01</v>
          </cell>
          <cell r="R79">
            <v>0.01</v>
          </cell>
          <cell r="S79">
            <v>0.01</v>
          </cell>
          <cell r="T79">
            <v>0.01</v>
          </cell>
          <cell r="X79">
            <v>0.01</v>
          </cell>
          <cell r="Y79">
            <v>0.01</v>
          </cell>
        </row>
        <row r="80">
          <cell r="B80" t="str">
            <v>MotorsRewind-NR</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Municipal Sewage Treatment-Retro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1</v>
          </cell>
          <cell r="X81">
            <v>0</v>
          </cell>
          <cell r="Y81">
            <v>0</v>
          </cell>
        </row>
        <row r="82">
          <cell r="B82" t="str">
            <v>Municipal Water Supply-Retro</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1</v>
          </cell>
          <cell r="X82">
            <v>0</v>
          </cell>
          <cell r="Y82">
            <v>0</v>
          </cell>
        </row>
        <row r="83">
          <cell r="B83" t="str">
            <v>Engine Generator Block Heaters-Retro</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X83">
            <v>0.01</v>
          </cell>
          <cell r="Y83">
            <v>0.01</v>
          </cell>
        </row>
        <row r="84">
          <cell r="B84" t="str">
            <v>Grocery Refrigeration Bundle-Retro</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X84">
            <v>0</v>
          </cell>
          <cell r="Y84">
            <v>0</v>
          </cell>
        </row>
        <row r="85">
          <cell r="B85" t="str">
            <v>Packaged Refrigeration Equipment-New</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X85">
            <v>0</v>
          </cell>
          <cell r="Y85">
            <v>0</v>
          </cell>
        </row>
        <row r="86">
          <cell r="B86" t="str">
            <v>Appliances - Freezers-NR</v>
          </cell>
          <cell r="C86">
            <v>0.01</v>
          </cell>
          <cell r="D86">
            <v>0.01</v>
          </cell>
          <cell r="E86">
            <v>0.01</v>
          </cell>
          <cell r="F86">
            <v>0.01</v>
          </cell>
          <cell r="G86">
            <v>0.01</v>
          </cell>
          <cell r="H86">
            <v>0.01</v>
          </cell>
          <cell r="I86">
            <v>0.01</v>
          </cell>
          <cell r="J86">
            <v>0.01</v>
          </cell>
          <cell r="K86">
            <v>0.01</v>
          </cell>
          <cell r="L86">
            <v>0.01</v>
          </cell>
          <cell r="M86">
            <v>0.01</v>
          </cell>
          <cell r="N86">
            <v>0.01</v>
          </cell>
          <cell r="O86">
            <v>0.01</v>
          </cell>
          <cell r="P86">
            <v>0.01</v>
          </cell>
          <cell r="Q86">
            <v>0.01</v>
          </cell>
          <cell r="R86">
            <v>0.01</v>
          </cell>
          <cell r="S86">
            <v>0.01</v>
          </cell>
          <cell r="T86">
            <v>0.01</v>
          </cell>
          <cell r="U86" t="e">
            <v>#VALUE!</v>
          </cell>
          <cell r="X86">
            <v>0.01</v>
          </cell>
          <cell r="Y86">
            <v>0.01</v>
          </cell>
        </row>
        <row r="87">
          <cell r="B87" t="str">
            <v>Appliances - Refrigerators-NR</v>
          </cell>
          <cell r="C87">
            <v>0.01</v>
          </cell>
          <cell r="D87">
            <v>0.01</v>
          </cell>
          <cell r="E87">
            <v>0.01</v>
          </cell>
          <cell r="F87">
            <v>0.01</v>
          </cell>
          <cell r="G87">
            <v>0.01</v>
          </cell>
          <cell r="H87">
            <v>0.01</v>
          </cell>
          <cell r="I87">
            <v>0.01</v>
          </cell>
          <cell r="J87">
            <v>0.01</v>
          </cell>
          <cell r="K87">
            <v>0.01</v>
          </cell>
          <cell r="L87">
            <v>0.01</v>
          </cell>
          <cell r="M87">
            <v>0.01</v>
          </cell>
          <cell r="N87">
            <v>0.01</v>
          </cell>
          <cell r="O87">
            <v>0.01</v>
          </cell>
          <cell r="P87">
            <v>0.01</v>
          </cell>
          <cell r="Q87">
            <v>0.01</v>
          </cell>
          <cell r="R87">
            <v>0.01</v>
          </cell>
          <cell r="S87">
            <v>0.01</v>
          </cell>
          <cell r="T87">
            <v>0.01</v>
          </cell>
          <cell r="U87" t="e">
            <v>#VALUE!</v>
          </cell>
          <cell r="X87">
            <v>0.01</v>
          </cell>
          <cell r="Y87">
            <v>0.01</v>
          </cell>
        </row>
        <row r="88">
          <cell r="B88" t="str">
            <v>Water Cooler Controls-NR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X88">
            <v>0</v>
          </cell>
          <cell r="Y88">
            <v>0</v>
          </cell>
        </row>
        <row r="89">
          <cell r="B89" t="str">
            <v>WHTanks-New</v>
          </cell>
          <cell r="C89">
            <v>1</v>
          </cell>
          <cell r="D89">
            <v>1</v>
          </cell>
          <cell r="E89">
            <v>1</v>
          </cell>
          <cell r="F89">
            <v>1</v>
          </cell>
          <cell r="G89">
            <v>1</v>
          </cell>
          <cell r="H89">
            <v>1</v>
          </cell>
          <cell r="I89">
            <v>1</v>
          </cell>
          <cell r="J89">
            <v>1</v>
          </cell>
          <cell r="K89">
            <v>1</v>
          </cell>
          <cell r="L89">
            <v>1</v>
          </cell>
          <cell r="M89">
            <v>1</v>
          </cell>
          <cell r="N89">
            <v>1</v>
          </cell>
          <cell r="O89">
            <v>1</v>
          </cell>
          <cell r="P89">
            <v>1</v>
          </cell>
          <cell r="Q89">
            <v>1</v>
          </cell>
          <cell r="R89">
            <v>1</v>
          </cell>
          <cell r="S89">
            <v>1</v>
          </cell>
          <cell r="T89">
            <v>1</v>
          </cell>
          <cell r="U89">
            <v>0</v>
          </cell>
          <cell r="X89">
            <v>1</v>
          </cell>
          <cell r="Y89">
            <v>1</v>
          </cell>
        </row>
        <row r="90">
          <cell r="B90" t="str">
            <v>WHTanks-NR</v>
          </cell>
          <cell r="C90">
            <v>1</v>
          </cell>
          <cell r="D90">
            <v>1</v>
          </cell>
          <cell r="E90">
            <v>1</v>
          </cell>
          <cell r="F90">
            <v>1</v>
          </cell>
          <cell r="G90">
            <v>1</v>
          </cell>
          <cell r="H90">
            <v>1</v>
          </cell>
          <cell r="I90">
            <v>1</v>
          </cell>
          <cell r="J90">
            <v>1</v>
          </cell>
          <cell r="K90">
            <v>1</v>
          </cell>
          <cell r="L90">
            <v>1</v>
          </cell>
          <cell r="M90">
            <v>1</v>
          </cell>
          <cell r="N90">
            <v>1</v>
          </cell>
          <cell r="O90">
            <v>1</v>
          </cell>
          <cell r="P90">
            <v>1</v>
          </cell>
          <cell r="Q90">
            <v>1</v>
          </cell>
          <cell r="R90">
            <v>1</v>
          </cell>
          <cell r="S90">
            <v>1</v>
          </cell>
          <cell r="T90">
            <v>1</v>
          </cell>
          <cell r="U90" t="e">
            <v>#VALUE!</v>
          </cell>
          <cell r="X90">
            <v>1</v>
          </cell>
          <cell r="Y90">
            <v>1</v>
          </cell>
        </row>
        <row r="91">
          <cell r="B91" t="str">
            <v>Appliances - Clothes Washers-NR</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Showerheads-Retro</v>
          </cell>
          <cell r="C92">
            <v>0.8</v>
          </cell>
          <cell r="D92">
            <v>0.8</v>
          </cell>
          <cell r="E92">
            <v>0.8</v>
          </cell>
          <cell r="F92">
            <v>0.8</v>
          </cell>
          <cell r="G92">
            <v>0.8</v>
          </cell>
          <cell r="H92">
            <v>0.8</v>
          </cell>
          <cell r="I92">
            <v>0.8</v>
          </cell>
          <cell r="J92">
            <v>0.8</v>
          </cell>
          <cell r="K92">
            <v>0.8</v>
          </cell>
          <cell r="L92">
            <v>0.8</v>
          </cell>
          <cell r="M92">
            <v>0.8</v>
          </cell>
          <cell r="N92">
            <v>0.8</v>
          </cell>
          <cell r="O92">
            <v>0.8</v>
          </cell>
          <cell r="P92">
            <v>0.8</v>
          </cell>
          <cell r="Q92">
            <v>0.8</v>
          </cell>
          <cell r="R92">
            <v>0.8</v>
          </cell>
          <cell r="S92">
            <v>0.8</v>
          </cell>
          <cell r="T92">
            <v>0.8</v>
          </cell>
          <cell r="U92" t="e">
            <v>#VALUE!</v>
          </cell>
          <cell r="X92">
            <v>1</v>
          </cell>
          <cell r="Y92">
            <v>1</v>
          </cell>
        </row>
        <row r="93">
          <cell r="B93" t="str">
            <v>Water Heating - GFHX-New</v>
          </cell>
          <cell r="C93">
            <v>0.01</v>
          </cell>
          <cell r="D93">
            <v>0.01</v>
          </cell>
          <cell r="E93">
            <v>0.01</v>
          </cell>
          <cell r="F93">
            <v>0.01</v>
          </cell>
          <cell r="G93">
            <v>0.01</v>
          </cell>
          <cell r="H93">
            <v>0.01</v>
          </cell>
          <cell r="I93">
            <v>0.01</v>
          </cell>
          <cell r="J93">
            <v>0.01</v>
          </cell>
          <cell r="K93">
            <v>0.01</v>
          </cell>
          <cell r="L93">
            <v>0.01</v>
          </cell>
          <cell r="M93">
            <v>0.01</v>
          </cell>
          <cell r="N93">
            <v>0.01</v>
          </cell>
          <cell r="O93">
            <v>0.01</v>
          </cell>
          <cell r="P93">
            <v>0.01</v>
          </cell>
          <cell r="Q93">
            <v>0.01</v>
          </cell>
          <cell r="R93">
            <v>0.01</v>
          </cell>
          <cell r="S93">
            <v>0.01</v>
          </cell>
          <cell r="T93">
            <v>0.01</v>
          </cell>
          <cell r="U93" t="e">
            <v>#VALUE!</v>
          </cell>
          <cell r="X93">
            <v>0.01</v>
          </cell>
          <cell r="Y93">
            <v>0.01</v>
          </cell>
        </row>
        <row r="94">
          <cell r="B94" t="str">
            <v>Demand Control Circulating system DHW-Retro</v>
          </cell>
          <cell r="C94">
            <v>0.01</v>
          </cell>
          <cell r="D94">
            <v>0.01</v>
          </cell>
          <cell r="E94">
            <v>0.01</v>
          </cell>
          <cell r="F94">
            <v>0.01</v>
          </cell>
          <cell r="G94">
            <v>0.01</v>
          </cell>
          <cell r="H94">
            <v>0.01</v>
          </cell>
          <cell r="I94">
            <v>0.01</v>
          </cell>
          <cell r="J94">
            <v>0.01</v>
          </cell>
          <cell r="K94">
            <v>0.01</v>
          </cell>
          <cell r="L94">
            <v>0.01</v>
          </cell>
          <cell r="M94">
            <v>0.01</v>
          </cell>
          <cell r="N94">
            <v>0.01</v>
          </cell>
          <cell r="O94">
            <v>0.01</v>
          </cell>
          <cell r="P94">
            <v>0.01</v>
          </cell>
          <cell r="Q94">
            <v>0.01</v>
          </cell>
          <cell r="R94">
            <v>0.01</v>
          </cell>
          <cell r="S94">
            <v>0.01</v>
          </cell>
          <cell r="T94">
            <v>0.01</v>
          </cell>
          <cell r="U94" t="e">
            <v>#VALUE!</v>
          </cell>
          <cell r="X94">
            <v>0.01</v>
          </cell>
          <cell r="Y94">
            <v>0.01</v>
          </cell>
        </row>
        <row r="95">
          <cell r="B95" t="str">
            <v>Central HPWH MF-Retro</v>
          </cell>
          <cell r="C95">
            <v>0.01</v>
          </cell>
          <cell r="D95">
            <v>0.01</v>
          </cell>
          <cell r="E95">
            <v>0.01</v>
          </cell>
          <cell r="F95">
            <v>0.01</v>
          </cell>
          <cell r="G95">
            <v>0.01</v>
          </cell>
          <cell r="H95">
            <v>0.01</v>
          </cell>
          <cell r="I95">
            <v>0.01</v>
          </cell>
          <cell r="J95">
            <v>0.01</v>
          </cell>
          <cell r="K95">
            <v>0.01</v>
          </cell>
          <cell r="L95">
            <v>0.01</v>
          </cell>
          <cell r="M95">
            <v>0.01</v>
          </cell>
          <cell r="N95">
            <v>0.01</v>
          </cell>
          <cell r="O95">
            <v>0.01</v>
          </cell>
          <cell r="P95">
            <v>0.01</v>
          </cell>
          <cell r="Q95">
            <v>0.01</v>
          </cell>
          <cell r="R95">
            <v>0.01</v>
          </cell>
          <cell r="S95">
            <v>0.01</v>
          </cell>
          <cell r="T95">
            <v>0.01</v>
          </cell>
          <cell r="U95" t="e">
            <v>#VALUE!</v>
          </cell>
          <cell r="X95">
            <v>0.01</v>
          </cell>
          <cell r="Y95">
            <v>0.01</v>
          </cell>
        </row>
        <row r="96">
          <cell r="B96" t="str">
            <v>Ultra Low Energy Building-New</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X96">
            <v>0</v>
          </cell>
          <cell r="Y96">
            <v>0</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0.9</v>
          </cell>
          <cell r="V15" t="str">
            <v>NEEA Sales data</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0.4</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cell r="V17" t="str">
            <v>ESTAR Server 9% (+), Virtualization 20%</v>
          </cell>
        </row>
        <row r="18">
          <cell r="B18" t="str">
            <v>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0.55000000000000004</v>
          </cell>
          <cell r="V18" t="str">
            <v>ENERGY STAR USD Summary Report _2013</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DHP-New</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row>
        <row r="23">
          <cell r="B23" t="str">
            <v>DHP-Retro</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ControllerLite-Retro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0.18579999999999999</v>
          </cell>
          <cell r="D34">
            <v>0.18579999999999999</v>
          </cell>
          <cell r="E34">
            <v>0.18579999999999999</v>
          </cell>
          <cell r="F34">
            <v>0.18579999999999999</v>
          </cell>
          <cell r="G34">
            <v>0.18579999999999999</v>
          </cell>
          <cell r="H34">
            <v>0.18579999999999999</v>
          </cell>
          <cell r="I34">
            <v>0.18579999999999999</v>
          </cell>
          <cell r="J34">
            <v>0.18579999999999999</v>
          </cell>
          <cell r="K34">
            <v>0.18579999999999999</v>
          </cell>
          <cell r="L34">
            <v>0.18579999999999999</v>
          </cell>
          <cell r="M34">
            <v>0.18579999999999999</v>
          </cell>
          <cell r="N34">
            <v>0.18579999999999999</v>
          </cell>
          <cell r="O34">
            <v>0.18579999999999999</v>
          </cell>
          <cell r="P34">
            <v>0.18579999999999999</v>
          </cell>
          <cell r="Q34">
            <v>0.18579999999999999</v>
          </cell>
          <cell r="R34">
            <v>0.18579999999999999</v>
          </cell>
          <cell r="S34">
            <v>0.18579999999999999</v>
          </cell>
          <cell r="T34">
            <v>0.18579999999999999</v>
          </cell>
          <cell r="U34" t="str">
            <v/>
          </cell>
          <cell r="V34" t="str">
            <v>From 6 going on 7.  See Com-EM workbook</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Economizer-Retro</v>
          </cell>
          <cell r="C37">
            <v>0.4</v>
          </cell>
          <cell r="D37">
            <v>0.25</v>
          </cell>
          <cell r="E37">
            <v>0.25</v>
          </cell>
          <cell r="F37">
            <v>0.4</v>
          </cell>
          <cell r="G37">
            <v>0.25</v>
          </cell>
          <cell r="H37">
            <v>0.25</v>
          </cell>
          <cell r="I37">
            <v>0.25</v>
          </cell>
          <cell r="J37">
            <v>0.4</v>
          </cell>
          <cell r="K37">
            <v>0.4</v>
          </cell>
          <cell r="L37">
            <v>0.25</v>
          </cell>
          <cell r="M37">
            <v>0.4</v>
          </cell>
          <cell r="N37">
            <v>0.25</v>
          </cell>
          <cell r="O37">
            <v>0.25</v>
          </cell>
          <cell r="P37">
            <v>0.25</v>
          </cell>
          <cell r="Q37">
            <v>0.4</v>
          </cell>
          <cell r="R37">
            <v>0.25</v>
          </cell>
          <cell r="S37">
            <v>0.25</v>
          </cell>
          <cell r="T37">
            <v>0.25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0.29417841433623887</v>
          </cell>
          <cell r="D40">
            <v>0.16600530238180544</v>
          </cell>
          <cell r="E40">
            <v>2.3737663898859066E-2</v>
          </cell>
          <cell r="F40">
            <v>0.22300715162221316</v>
          </cell>
          <cell r="G40">
            <v>0.19741792645695339</v>
          </cell>
          <cell r="H40">
            <v>4.2740762746028386E-2</v>
          </cell>
          <cell r="I40">
            <v>1.3597214573254024E-2</v>
          </cell>
          <cell r="J40">
            <v>0.3265989178858158</v>
          </cell>
          <cell r="K40">
            <v>0.13622896031789924</v>
          </cell>
          <cell r="L40">
            <v>0.12181229468805803</v>
          </cell>
          <cell r="M40">
            <v>1.5043119467328166E-2</v>
          </cell>
          <cell r="N40">
            <v>0.13718952244125024</v>
          </cell>
          <cell r="O40">
            <v>0.13714113159081304</v>
          </cell>
          <cell r="P40">
            <v>3.8125362646436782E-2</v>
          </cell>
          <cell r="Q40">
            <v>0.13622896031789924</v>
          </cell>
          <cell r="R40">
            <v>9.2381299117502383E-2</v>
          </cell>
          <cell r="S40">
            <v>0.22458868903269982</v>
          </cell>
          <cell r="T40">
            <v>0.27868917229328594</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cell r="W41">
            <v>0.29417841433623887</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W42">
            <v>0.16600530238180544</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cell r="W43">
            <v>2.3737663898859066E-2</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cell r="W44">
            <v>0.22300715162221316</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cell r="W45">
            <v>0.19741792645695339</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cell r="W46">
            <v>4.2740762746028386E-2</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cell r="W47">
            <v>1.3597214573254024E-2</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cell r="W48">
            <v>0.3265989178858158</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cell r="W49">
            <v>0.13622896031789924</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cell r="W50">
            <v>0.12181229468805803</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cell r="W51">
            <v>1.5043119467328166E-2</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cell r="W52">
            <v>0.13718952244125024</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cell r="W53">
            <v>0.13714113159081304</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cell r="W54">
            <v>3.8125362646436782E-2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cell r="W55">
            <v>0.13622896031789924</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cell r="W56">
            <v>9.2381299117502383E-2</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cell r="W57">
            <v>0.22458868903269982</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cell r="W58">
            <v>0.27868917229328594</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cell r="W59">
            <v>0.22300715162221316</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cell r="W60">
            <v>0.3265989178858158</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cell r="W61">
            <v>0.12181229468805803</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cell r="W62">
            <v>0.17488641186800052</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0.4</v>
          </cell>
          <cell r="V68" t="str">
            <v>Baseline saturation in measure workbook.  Source (DOE 2014)</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  Source (DOE 2014)</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Low Power LF Lamps-NR</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V73" t="str">
            <v>In workbook. Uses market average mix of lpow watt from sales data</v>
          </cell>
        </row>
        <row r="74">
          <cell r="B74" t="str">
            <v>LEC Exit Sign-New</v>
          </cell>
        </row>
        <row r="75">
          <cell r="B75" t="str">
            <v>LEC Exit Sign-NR</v>
          </cell>
        </row>
        <row r="76">
          <cell r="B76" t="str">
            <v>ECM-VAV-New</v>
          </cell>
          <cell r="C76">
            <v>0.4</v>
          </cell>
          <cell r="D76">
            <v>0.3</v>
          </cell>
          <cell r="E76">
            <v>0.1</v>
          </cell>
          <cell r="F76">
            <v>0.1</v>
          </cell>
          <cell r="G76">
            <v>0.1</v>
          </cell>
          <cell r="H76">
            <v>0.1</v>
          </cell>
          <cell r="I76">
            <v>0.4</v>
          </cell>
          <cell r="J76">
            <v>0.1</v>
          </cell>
          <cell r="K76">
            <v>0.4</v>
          </cell>
          <cell r="L76">
            <v>0.1</v>
          </cell>
          <cell r="M76">
            <v>0.1</v>
          </cell>
          <cell r="N76">
            <v>0.1</v>
          </cell>
          <cell r="O76">
            <v>0.1</v>
          </cell>
          <cell r="P76">
            <v>0.1</v>
          </cell>
          <cell r="Q76">
            <v>0.4</v>
          </cell>
          <cell r="R76">
            <v>0.1</v>
          </cell>
          <cell r="S76">
            <v>0.1</v>
          </cell>
          <cell r="T76">
            <v>0.4</v>
          </cell>
          <cell r="U76">
            <v>0</v>
          </cell>
        </row>
        <row r="77">
          <cell r="B77" t="str">
            <v>ECM-VAV-NR</v>
          </cell>
          <cell r="C77">
            <v>0.2</v>
          </cell>
          <cell r="D77">
            <v>0.2</v>
          </cell>
          <cell r="E77">
            <v>0.1</v>
          </cell>
          <cell r="F77">
            <v>0.1</v>
          </cell>
          <cell r="G77">
            <v>0.1</v>
          </cell>
          <cell r="H77">
            <v>0.1</v>
          </cell>
          <cell r="I77">
            <v>0.2</v>
          </cell>
          <cell r="J77">
            <v>0.1</v>
          </cell>
          <cell r="K77">
            <v>0.2</v>
          </cell>
          <cell r="L77">
            <v>0.1</v>
          </cell>
          <cell r="M77">
            <v>0.1</v>
          </cell>
          <cell r="N77">
            <v>0.1</v>
          </cell>
          <cell r="O77">
            <v>0.1</v>
          </cell>
          <cell r="P77">
            <v>0.1</v>
          </cell>
          <cell r="Q77">
            <v>0.2</v>
          </cell>
          <cell r="R77">
            <v>0.1</v>
          </cell>
          <cell r="S77">
            <v>0.1</v>
          </cell>
          <cell r="T77">
            <v>0.2</v>
          </cell>
          <cell r="U77">
            <v>0</v>
          </cell>
        </row>
        <row r="78">
          <cell r="B78" t="str">
            <v>Pool pumps-Retro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t="str">
            <v/>
          </cell>
        </row>
        <row r="79">
          <cell r="B79" t="str">
            <v>MotorsRewind-New</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t="str">
            <v/>
          </cell>
        </row>
        <row r="80">
          <cell r="B80" t="str">
            <v>MotorsRewind-NR</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Municipal Sewage Treatment-Retro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t="str">
            <v>Baseline saturation in measure workbook</v>
          </cell>
        </row>
        <row r="82">
          <cell r="B82" t="str">
            <v>Municipal Water Supply-Retro</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t="str">
            <v>Baseline saturation in measure workbook</v>
          </cell>
        </row>
        <row r="83">
          <cell r="B83" t="str">
            <v>Engine Generator Block Heaters-Retro</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Grocery Refrigeration Bundle-Retro</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row>
        <row r="85">
          <cell r="B85" t="str">
            <v>Packaged Refrigeration Equipment-New</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0.05</v>
          </cell>
        </row>
        <row r="86">
          <cell r="B86" t="str">
            <v>Appliances - Freezers-NR</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t="str">
            <v/>
          </cell>
        </row>
        <row r="87">
          <cell r="B87" t="str">
            <v>Appliances - Refrigerators-NR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Water Cooler Controls-NR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t="str">
            <v>Baseline saturation in measure workbook.  Multiple measures</v>
          </cell>
        </row>
        <row r="89">
          <cell r="B89" t="str">
            <v>WHTanks-New</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0.1</v>
          </cell>
        </row>
        <row r="90">
          <cell r="B90" t="str">
            <v>WHTanks-NR</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Appliances - Clothes Washers-NR</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Showerheads-Retro</v>
          </cell>
          <cell r="C92">
            <v>0.2</v>
          </cell>
          <cell r="D92">
            <v>0.2</v>
          </cell>
          <cell r="E92">
            <v>0.2</v>
          </cell>
          <cell r="F92">
            <v>0.2</v>
          </cell>
          <cell r="G92">
            <v>0.2</v>
          </cell>
          <cell r="H92">
            <v>0.2</v>
          </cell>
          <cell r="I92">
            <v>0.2</v>
          </cell>
          <cell r="J92">
            <v>0.2</v>
          </cell>
          <cell r="K92">
            <v>0.2</v>
          </cell>
          <cell r="L92">
            <v>0.2</v>
          </cell>
          <cell r="M92">
            <v>0.2</v>
          </cell>
          <cell r="N92">
            <v>0.2</v>
          </cell>
          <cell r="O92">
            <v>0.2</v>
          </cell>
          <cell r="P92">
            <v>0.2</v>
          </cell>
          <cell r="Q92">
            <v>0.2</v>
          </cell>
          <cell r="R92">
            <v>0.2</v>
          </cell>
          <cell r="S92">
            <v>0.2</v>
          </cell>
          <cell r="T92">
            <v>0.2</v>
          </cell>
          <cell r="U92" t="str">
            <v/>
          </cell>
        </row>
        <row r="93">
          <cell r="B93" t="str">
            <v>Water Heating - GFHX-New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t="str">
            <v/>
          </cell>
        </row>
        <row r="94">
          <cell r="B94" t="str">
            <v>Demand Control Circulating system DHW-Retro</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t="str">
            <v/>
          </cell>
        </row>
        <row r="95">
          <cell r="B95" t="str">
            <v>Central HPWH MF-Retro</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t="str">
            <v/>
          </cell>
        </row>
        <row r="96">
          <cell r="B96" t="str">
            <v>Ultra Low Energy Building-New</v>
          </cell>
          <cell r="C96">
            <v>0.08</v>
          </cell>
          <cell r="D96">
            <v>0.04</v>
          </cell>
          <cell r="E96">
            <v>0</v>
          </cell>
          <cell r="F96">
            <v>0.08</v>
          </cell>
          <cell r="G96">
            <v>0</v>
          </cell>
          <cell r="H96">
            <v>0</v>
          </cell>
          <cell r="I96">
            <v>0.02</v>
          </cell>
          <cell r="J96">
            <v>0.3</v>
          </cell>
          <cell r="K96">
            <v>0.15</v>
          </cell>
          <cell r="L96">
            <v>0</v>
          </cell>
          <cell r="M96">
            <v>0</v>
          </cell>
          <cell r="N96">
            <v>0</v>
          </cell>
          <cell r="O96">
            <v>0</v>
          </cell>
          <cell r="P96">
            <v>0.02</v>
          </cell>
          <cell r="Q96">
            <v>0.1</v>
          </cell>
          <cell r="R96">
            <v>0.05</v>
          </cell>
          <cell r="S96">
            <v>0.02</v>
          </cell>
          <cell r="T96">
            <v>0.02</v>
          </cell>
          <cell r="U96">
            <v>0</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cell r="W12" t="str">
            <v>_PRE2013</v>
          </cell>
          <cell r="X12" t="str">
            <v>Retro</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cell r="W13" t="str">
            <v>_PRE2013</v>
          </cell>
          <cell r="X13" t="str">
            <v>NR</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cell r="W14" t="str">
            <v>_PRE2013</v>
          </cell>
          <cell r="X14" t="str">
            <v>Retro</v>
          </cell>
        </row>
        <row r="15">
          <cell r="B15" t="str">
            <v>Laptop-NR</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cell r="W15" t="str">
            <v>_PRE2013</v>
          </cell>
          <cell r="X15" t="str">
            <v>NR</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cell r="W16" t="str">
            <v>_PRE2013</v>
          </cell>
          <cell r="X16" t="str">
            <v>Retro</v>
          </cell>
        </row>
        <row r="17">
          <cell r="B17" t="str">
            <v>Data Centers-NR</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cell r="W17" t="str">
            <v>_PRE2013</v>
          </cell>
          <cell r="X17" t="str">
            <v>NR</v>
          </cell>
        </row>
        <row r="18">
          <cell r="B18" t="str">
            <v>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cell r="W18" t="str">
            <v>_PRE2013</v>
          </cell>
          <cell r="X18" t="str">
            <v>NR</v>
          </cell>
        </row>
        <row r="19">
          <cell r="B19" t="str">
            <v>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DHP-New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DHP-Retro</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Retro</v>
          </cell>
          <cell r="Y23" t="str">
            <v>_PRE2013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ControllerLite-Retro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Economizer-Retro</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Retro</v>
          </cell>
          <cell r="Y37" t="str">
            <v>_PRE2013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Low Power LF Lamps-NR</v>
          </cell>
          <cell r="C72" t="str">
            <v>_PRE2013</v>
          </cell>
          <cell r="D72" t="str">
            <v>_PRE2013</v>
          </cell>
          <cell r="W72" t="str">
            <v>_PRE2013</v>
          </cell>
          <cell r="X72" t="str">
            <v>Retro</v>
          </cell>
          <cell r="Y72" t="str">
            <v>_PRE2013</v>
          </cell>
        </row>
        <row r="73">
          <cell r="B73" t="str">
            <v>LEC Exit Sign-New</v>
          </cell>
          <cell r="C73" t="str">
            <v>POST2013</v>
          </cell>
          <cell r="D73" t="str">
            <v>POST2013</v>
          </cell>
          <cell r="W73" t="str">
            <v>POST2013</v>
          </cell>
          <cell r="X73" t="str">
            <v>NR</v>
          </cell>
          <cell r="Y73" t="str">
            <v>POST2013</v>
          </cell>
        </row>
        <row r="74">
          <cell r="B74" t="str">
            <v>LEC Exit Sign-NR</v>
          </cell>
          <cell r="C74" t="str">
            <v>POST2013</v>
          </cell>
          <cell r="D74" t="str">
            <v>POST2013</v>
          </cell>
          <cell r="W74" t="str">
            <v>POST2013</v>
          </cell>
          <cell r="X74" t="str">
            <v>New</v>
          </cell>
          <cell r="Y74" t="str">
            <v>POST2013</v>
          </cell>
        </row>
        <row r="75">
          <cell r="B75" t="str">
            <v>Bi-Level Stairwell Lighting-NR</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NR</v>
          </cell>
          <cell r="Y75" t="str">
            <v>POST2013</v>
          </cell>
        </row>
        <row r="76">
          <cell r="B76" t="str">
            <v>ECM-VAV-New</v>
          </cell>
          <cell r="C76" t="str">
            <v>POST2013</v>
          </cell>
          <cell r="D76" t="str">
            <v>POST2013</v>
          </cell>
          <cell r="E76" t="str">
            <v>POST2013</v>
          </cell>
          <cell r="F76" t="str">
            <v>POST2013</v>
          </cell>
          <cell r="G76" t="str">
            <v>POST2013</v>
          </cell>
          <cell r="H76" t="str">
            <v>POST2013</v>
          </cell>
          <cell r="I76" t="str">
            <v>POST2013</v>
          </cell>
          <cell r="J76" t="str">
            <v>POST2013</v>
          </cell>
          <cell r="K76" t="str">
            <v>POST2013</v>
          </cell>
          <cell r="L76" t="str">
            <v>POST2013</v>
          </cell>
          <cell r="M76" t="str">
            <v>POST2013</v>
          </cell>
          <cell r="N76" t="str">
            <v>POST2013</v>
          </cell>
          <cell r="O76" t="str">
            <v>POST2013</v>
          </cell>
          <cell r="P76" t="str">
            <v>POST2013</v>
          </cell>
          <cell r="Q76" t="str">
            <v>POST2013</v>
          </cell>
          <cell r="R76" t="str">
            <v>POST2013</v>
          </cell>
          <cell r="S76" t="str">
            <v>POST2013</v>
          </cell>
          <cell r="T76" t="str">
            <v>POST2013</v>
          </cell>
          <cell r="W76" t="str">
            <v>POST2013</v>
          </cell>
          <cell r="X76" t="str">
            <v>New</v>
          </cell>
          <cell r="Y76" t="str">
            <v>POST2013</v>
          </cell>
        </row>
        <row r="77">
          <cell r="B77" t="str">
            <v>ECM-VAV-NR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Pool pumps-Retro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MotorsRewind-New</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New</v>
          </cell>
          <cell r="Y79" t="str">
            <v>POST2013</v>
          </cell>
        </row>
        <row r="80">
          <cell r="B80" t="str">
            <v>MotorsRewind-NR</v>
          </cell>
          <cell r="C80" t="str">
            <v>POST2013</v>
          </cell>
          <cell r="D80" t="str">
            <v>POST2013</v>
          </cell>
          <cell r="E80" t="str">
            <v>POST2013</v>
          </cell>
          <cell r="F80" t="str">
            <v>POST2013</v>
          </cell>
          <cell r="G80" t="str">
            <v>POST2013</v>
          </cell>
          <cell r="H80" t="str">
            <v>POST2013</v>
          </cell>
          <cell r="I80" t="str">
            <v>POST2013</v>
          </cell>
          <cell r="J80" t="str">
            <v>POST2013</v>
          </cell>
          <cell r="K80" t="str">
            <v>POST2013</v>
          </cell>
          <cell r="L80" t="str">
            <v>POST2013</v>
          </cell>
          <cell r="M80" t="str">
            <v>POST2013</v>
          </cell>
          <cell r="N80" t="str">
            <v>POST2013</v>
          </cell>
          <cell r="O80" t="str">
            <v>POST2013</v>
          </cell>
          <cell r="P80" t="str">
            <v>POST2013</v>
          </cell>
          <cell r="Q80" t="str">
            <v>POST2013</v>
          </cell>
          <cell r="R80" t="str">
            <v>POST2013</v>
          </cell>
          <cell r="S80" t="str">
            <v>POST2013</v>
          </cell>
          <cell r="T80" t="str">
            <v>POST2013</v>
          </cell>
          <cell r="W80" t="str">
            <v>POST2013</v>
          </cell>
          <cell r="X80" t="str">
            <v>NR</v>
          </cell>
          <cell r="Y80" t="str">
            <v>POST2013</v>
          </cell>
        </row>
        <row r="81">
          <cell r="B81" t="str">
            <v>Municipal Sewage Treatment-Retro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Municipal Water Supply-Retro</v>
          </cell>
          <cell r="C82" t="str">
            <v>_PRE2013</v>
          </cell>
          <cell r="D82" t="str">
            <v>_PRE2013</v>
          </cell>
          <cell r="E82" t="str">
            <v>_PRE2013</v>
          </cell>
          <cell r="F82" t="str">
            <v>_PRE2013</v>
          </cell>
          <cell r="G82" t="str">
            <v>_PRE2013</v>
          </cell>
          <cell r="H82" t="str">
            <v>_PRE2013</v>
          </cell>
          <cell r="I82" t="str">
            <v>_PRE2013</v>
          </cell>
          <cell r="J82" t="str">
            <v>_PRE2013</v>
          </cell>
          <cell r="K82" t="str">
            <v>_PRE2013</v>
          </cell>
          <cell r="L82" t="str">
            <v>_PRE2013</v>
          </cell>
          <cell r="M82" t="str">
            <v>_PRE2013</v>
          </cell>
          <cell r="N82" t="str">
            <v>_PRE2013</v>
          </cell>
          <cell r="O82" t="str">
            <v>_PRE2013</v>
          </cell>
          <cell r="P82" t="str">
            <v>_PRE2013</v>
          </cell>
          <cell r="Q82" t="str">
            <v>_PRE2013</v>
          </cell>
          <cell r="R82" t="str">
            <v>_PRE2013</v>
          </cell>
          <cell r="S82" t="str">
            <v>_PRE2013</v>
          </cell>
          <cell r="T82" t="str">
            <v>_PRE2013</v>
          </cell>
          <cell r="W82" t="str">
            <v>_PRE2013</v>
          </cell>
          <cell r="X82" t="str">
            <v>Retro</v>
          </cell>
          <cell r="Y82" t="str">
            <v>_PRE2013</v>
          </cell>
        </row>
        <row r="83">
          <cell r="B83" t="str">
            <v>Engine Generator Block Heaters-Retro</v>
          </cell>
          <cell r="C83" t="str">
            <v>_PRE2013</v>
          </cell>
          <cell r="D83" t="str">
            <v>_PRE2013</v>
          </cell>
          <cell r="E83" t="str">
            <v>_PRE2013</v>
          </cell>
          <cell r="F83" t="str">
            <v>_PRE2013</v>
          </cell>
          <cell r="G83" t="str">
            <v>_PRE2013</v>
          </cell>
          <cell r="H83" t="str">
            <v>_PRE2013</v>
          </cell>
          <cell r="I83" t="str">
            <v>_PRE2013</v>
          </cell>
          <cell r="J83" t="str">
            <v>_PRE2013</v>
          </cell>
          <cell r="K83" t="str">
            <v>_PRE2013</v>
          </cell>
          <cell r="L83" t="str">
            <v>_PRE2013</v>
          </cell>
          <cell r="M83" t="str">
            <v>_PRE2013</v>
          </cell>
          <cell r="N83" t="str">
            <v>_PRE2013</v>
          </cell>
          <cell r="O83" t="str">
            <v>_PRE2013</v>
          </cell>
          <cell r="P83" t="str">
            <v>_PRE2013</v>
          </cell>
          <cell r="Q83" t="str">
            <v>_PRE2013</v>
          </cell>
          <cell r="R83" t="str">
            <v>_PRE2013</v>
          </cell>
          <cell r="S83" t="str">
            <v>_PRE2013</v>
          </cell>
          <cell r="T83" t="str">
            <v>_PRE2013</v>
          </cell>
          <cell r="W83" t="str">
            <v>_PRE2013</v>
          </cell>
          <cell r="X83" t="str">
            <v>Retro</v>
          </cell>
          <cell r="Y83" t="str">
            <v>_PRE2013</v>
          </cell>
        </row>
        <row r="84">
          <cell r="B84" t="str">
            <v>Grocery Refrigeration Bundle-Retro</v>
          </cell>
          <cell r="C84" t="str">
            <v>_PRE2013</v>
          </cell>
          <cell r="D84" t="str">
            <v>_PRE2013</v>
          </cell>
          <cell r="E84" t="str">
            <v>_PRE2013</v>
          </cell>
          <cell r="F84" t="str">
            <v>_PRE2013</v>
          </cell>
          <cell r="G84" t="str">
            <v>_PRE2013</v>
          </cell>
          <cell r="H84" t="str">
            <v>_PRE2013</v>
          </cell>
          <cell r="I84" t="str">
            <v>_PRE2013</v>
          </cell>
          <cell r="J84" t="str">
            <v>_PRE2013</v>
          </cell>
          <cell r="K84" t="str">
            <v>_PRE2013</v>
          </cell>
          <cell r="L84" t="str">
            <v>_PRE2013</v>
          </cell>
          <cell r="M84" t="str">
            <v>_PRE2013</v>
          </cell>
          <cell r="N84" t="str">
            <v>_PRE2013</v>
          </cell>
          <cell r="O84" t="str">
            <v>_PRE2013</v>
          </cell>
          <cell r="P84" t="str">
            <v>_PRE2013</v>
          </cell>
          <cell r="Q84" t="str">
            <v>_PRE2013</v>
          </cell>
          <cell r="R84" t="str">
            <v>_PRE2013</v>
          </cell>
          <cell r="S84" t="str">
            <v>_PRE2013</v>
          </cell>
          <cell r="T84" t="str">
            <v>_PRE2013</v>
          </cell>
          <cell r="W84" t="str">
            <v>_PRE2013</v>
          </cell>
          <cell r="X84" t="str">
            <v>Retro</v>
          </cell>
          <cell r="Y84" t="str">
            <v>_PRE2013</v>
          </cell>
        </row>
        <row r="85">
          <cell r="B85" t="str">
            <v>Packaged Refrigeration Equipment-New</v>
          </cell>
          <cell r="C85" t="str">
            <v>POST2013</v>
          </cell>
          <cell r="D85" t="str">
            <v>POST2013</v>
          </cell>
          <cell r="E85" t="str">
            <v>POST2013</v>
          </cell>
          <cell r="F85" t="str">
            <v>POST2013</v>
          </cell>
          <cell r="G85" t="str">
            <v>POST2013</v>
          </cell>
          <cell r="H85" t="str">
            <v>POST2013</v>
          </cell>
          <cell r="I85" t="str">
            <v>POST2013</v>
          </cell>
          <cell r="J85" t="str">
            <v>POST2013</v>
          </cell>
          <cell r="K85" t="str">
            <v>POST2013</v>
          </cell>
          <cell r="L85" t="str">
            <v>POST2013</v>
          </cell>
          <cell r="M85" t="str">
            <v>POST2013</v>
          </cell>
          <cell r="N85" t="str">
            <v>POST2013</v>
          </cell>
          <cell r="O85" t="str">
            <v>POST2013</v>
          </cell>
          <cell r="P85" t="str">
            <v>POST2013</v>
          </cell>
          <cell r="Q85" t="str">
            <v>POST2013</v>
          </cell>
          <cell r="R85" t="str">
            <v>POST2013</v>
          </cell>
          <cell r="S85" t="str">
            <v>POST2013</v>
          </cell>
          <cell r="T85" t="str">
            <v>POST2013</v>
          </cell>
          <cell r="W85" t="str">
            <v>POST2013</v>
          </cell>
          <cell r="X85" t="str">
            <v>New</v>
          </cell>
          <cell r="Y85" t="str">
            <v>POST2013</v>
          </cell>
        </row>
        <row r="86">
          <cell r="B86" t="str">
            <v>Appliances - Freezers-NR</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NR</v>
          </cell>
          <cell r="Y86" t="str">
            <v>POST2013</v>
          </cell>
        </row>
        <row r="87">
          <cell r="B87" t="str">
            <v>Appliances - Refrigerators-NR</v>
          </cell>
          <cell r="C87" t="str">
            <v>POST2013</v>
          </cell>
          <cell r="D87" t="str">
            <v>POST2013</v>
          </cell>
          <cell r="E87" t="str">
            <v>POST2013</v>
          </cell>
          <cell r="F87" t="str">
            <v>POST2013</v>
          </cell>
          <cell r="G87" t="str">
            <v>POST2013</v>
          </cell>
          <cell r="H87" t="str">
            <v>POST2013</v>
          </cell>
          <cell r="I87" t="str">
            <v>POST2013</v>
          </cell>
          <cell r="J87" t="str">
            <v>POST2013</v>
          </cell>
          <cell r="K87" t="str">
            <v>POST2013</v>
          </cell>
          <cell r="L87" t="str">
            <v>POST2013</v>
          </cell>
          <cell r="M87" t="str">
            <v>POST2013</v>
          </cell>
          <cell r="N87" t="str">
            <v>POST2013</v>
          </cell>
          <cell r="O87" t="str">
            <v>POST2013</v>
          </cell>
          <cell r="P87" t="str">
            <v>POST2013</v>
          </cell>
          <cell r="Q87" t="str">
            <v>POST2013</v>
          </cell>
          <cell r="R87" t="str">
            <v>POST2013</v>
          </cell>
          <cell r="S87" t="str">
            <v>POST2013</v>
          </cell>
          <cell r="T87" t="str">
            <v>POST2013</v>
          </cell>
          <cell r="W87" t="str">
            <v>POST2013</v>
          </cell>
          <cell r="X87" t="str">
            <v>NR</v>
          </cell>
          <cell r="Y87" t="str">
            <v>POST2013</v>
          </cell>
        </row>
        <row r="88">
          <cell r="B88" t="str">
            <v>Water Cooler Controls-NR</v>
          </cell>
          <cell r="C88" t="str">
            <v>_PRE2013</v>
          </cell>
          <cell r="D88" t="str">
            <v>_PRE2013</v>
          </cell>
          <cell r="E88" t="str">
            <v>_PRE2013</v>
          </cell>
          <cell r="F88" t="str">
            <v>_PRE2013</v>
          </cell>
          <cell r="G88" t="str">
            <v>_PRE2013</v>
          </cell>
          <cell r="H88" t="str">
            <v>_PRE2013</v>
          </cell>
          <cell r="I88" t="str">
            <v>_PRE2013</v>
          </cell>
          <cell r="J88" t="str">
            <v>_PRE2013</v>
          </cell>
          <cell r="K88" t="str">
            <v>_PRE2013</v>
          </cell>
          <cell r="L88" t="str">
            <v>_PRE2013</v>
          </cell>
          <cell r="M88" t="str">
            <v>_PRE2013</v>
          </cell>
          <cell r="N88" t="str">
            <v>_PRE2013</v>
          </cell>
          <cell r="O88" t="str">
            <v>_PRE2013</v>
          </cell>
          <cell r="P88" t="str">
            <v>_PRE2013</v>
          </cell>
          <cell r="Q88" t="str">
            <v>_PRE2013</v>
          </cell>
          <cell r="R88" t="str">
            <v>_PRE2013</v>
          </cell>
          <cell r="S88" t="str">
            <v>_PRE2013</v>
          </cell>
          <cell r="T88" t="str">
            <v>_PRE2013</v>
          </cell>
          <cell r="W88" t="str">
            <v>_PRE2013</v>
          </cell>
          <cell r="X88" t="str">
            <v>NR</v>
          </cell>
          <cell r="Y88" t="str">
            <v>POST2013</v>
          </cell>
        </row>
        <row r="89">
          <cell r="B89" t="str">
            <v>WHTanks-New</v>
          </cell>
          <cell r="C89" t="str">
            <v>POST2013</v>
          </cell>
          <cell r="D89" t="str">
            <v>POST2013</v>
          </cell>
          <cell r="E89" t="str">
            <v>POST2013</v>
          </cell>
          <cell r="F89" t="str">
            <v>POST2013</v>
          </cell>
          <cell r="G89" t="str">
            <v>POST2013</v>
          </cell>
          <cell r="H89" t="str">
            <v>POST2013</v>
          </cell>
          <cell r="I89" t="str">
            <v>POST2013</v>
          </cell>
          <cell r="J89" t="str">
            <v>POST2013</v>
          </cell>
          <cell r="K89" t="str">
            <v>POST2013</v>
          </cell>
          <cell r="L89" t="str">
            <v>POST2013</v>
          </cell>
          <cell r="M89" t="str">
            <v>POST2013</v>
          </cell>
          <cell r="N89" t="str">
            <v>POST2013</v>
          </cell>
          <cell r="O89" t="str">
            <v>POST2013</v>
          </cell>
          <cell r="P89" t="str">
            <v>POST2013</v>
          </cell>
          <cell r="Q89" t="str">
            <v>POST2013</v>
          </cell>
          <cell r="R89" t="str">
            <v>POST2013</v>
          </cell>
          <cell r="S89" t="str">
            <v>POST2013</v>
          </cell>
          <cell r="T89" t="str">
            <v>POST2013</v>
          </cell>
          <cell r="W89" t="str">
            <v>POST2013</v>
          </cell>
          <cell r="X89" t="str">
            <v>New</v>
          </cell>
          <cell r="Y89" t="str">
            <v>POST2013</v>
          </cell>
        </row>
        <row r="90">
          <cell r="B90" t="str">
            <v>WHTanks-NR</v>
          </cell>
          <cell r="C90" t="str">
            <v>_PRE2013</v>
          </cell>
          <cell r="D90" t="str">
            <v>_PRE2013</v>
          </cell>
          <cell r="E90" t="str">
            <v>_PRE2013</v>
          </cell>
          <cell r="F90" t="str">
            <v>_PRE2013</v>
          </cell>
          <cell r="G90" t="str">
            <v>_PRE2013</v>
          </cell>
          <cell r="H90" t="str">
            <v>_PRE2013</v>
          </cell>
          <cell r="I90" t="str">
            <v>_PRE2013</v>
          </cell>
          <cell r="J90" t="str">
            <v>_PRE2013</v>
          </cell>
          <cell r="K90" t="str">
            <v>_PRE2013</v>
          </cell>
          <cell r="L90" t="str">
            <v>_PRE2013</v>
          </cell>
          <cell r="M90" t="str">
            <v>_PRE2013</v>
          </cell>
          <cell r="N90" t="str">
            <v>_PRE2013</v>
          </cell>
          <cell r="O90" t="str">
            <v>_PRE2013</v>
          </cell>
          <cell r="P90" t="str">
            <v>_PRE2013</v>
          </cell>
          <cell r="Q90" t="str">
            <v>_PRE2013</v>
          </cell>
          <cell r="R90" t="str">
            <v>_PRE2013</v>
          </cell>
          <cell r="S90" t="str">
            <v>_PRE2013</v>
          </cell>
          <cell r="T90" t="str">
            <v>_PRE2013</v>
          </cell>
          <cell r="W90" t="str">
            <v>_PRE2013</v>
          </cell>
          <cell r="X90" t="str">
            <v>NR</v>
          </cell>
          <cell r="Y90" t="str">
            <v>POST2013</v>
          </cell>
        </row>
        <row r="91">
          <cell r="B91" t="str">
            <v>Appliances - Clothes Washers-NR</v>
          </cell>
          <cell r="C91" t="str">
            <v>POST2013</v>
          </cell>
          <cell r="D91" t="str">
            <v>POST2013</v>
          </cell>
          <cell r="E91" t="str">
            <v>POST2013</v>
          </cell>
          <cell r="F91" t="str">
            <v>POST2013</v>
          </cell>
          <cell r="G91" t="str">
            <v>POST2013</v>
          </cell>
          <cell r="H91" t="str">
            <v>POST2013</v>
          </cell>
          <cell r="I91" t="str">
            <v>POST2013</v>
          </cell>
          <cell r="J91" t="str">
            <v>POST2013</v>
          </cell>
          <cell r="K91" t="str">
            <v>POST2013</v>
          </cell>
          <cell r="L91" t="str">
            <v>POST2013</v>
          </cell>
          <cell r="M91" t="str">
            <v>POST2013</v>
          </cell>
          <cell r="N91" t="str">
            <v>POST2013</v>
          </cell>
          <cell r="O91" t="str">
            <v>POST2013</v>
          </cell>
          <cell r="P91" t="str">
            <v>POST2013</v>
          </cell>
          <cell r="Q91" t="str">
            <v>POST2013</v>
          </cell>
          <cell r="R91" t="str">
            <v>POST2013</v>
          </cell>
          <cell r="S91" t="str">
            <v>POST2013</v>
          </cell>
          <cell r="T91" t="str">
            <v>POST2013</v>
          </cell>
          <cell r="W91" t="str">
            <v>POST2013</v>
          </cell>
          <cell r="X91" t="str">
            <v>NR</v>
          </cell>
          <cell r="Y91" t="str">
            <v>POST2013</v>
          </cell>
        </row>
        <row r="92">
          <cell r="B92" t="str">
            <v>Showerheads-Retro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Water Heating - GFHX-New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Demand Control Circulating system DHW-Retro</v>
          </cell>
          <cell r="C94" t="str">
            <v>_PRE2013</v>
          </cell>
          <cell r="D94" t="str">
            <v>_PRE2013</v>
          </cell>
          <cell r="E94" t="str">
            <v>_PRE2013</v>
          </cell>
          <cell r="F94" t="str">
            <v>_PRE2013</v>
          </cell>
          <cell r="G94" t="str">
            <v>_PRE2013</v>
          </cell>
          <cell r="H94" t="str">
            <v>_PRE2013</v>
          </cell>
          <cell r="I94" t="str">
            <v>_PRE2013</v>
          </cell>
          <cell r="J94" t="str">
            <v>_PRE2013</v>
          </cell>
          <cell r="K94" t="str">
            <v>_PRE2013</v>
          </cell>
          <cell r="L94" t="str">
            <v>_PRE2013</v>
          </cell>
          <cell r="M94" t="str">
            <v>_PRE2013</v>
          </cell>
          <cell r="N94" t="str">
            <v>_PRE2013</v>
          </cell>
          <cell r="O94" t="str">
            <v>_PRE2013</v>
          </cell>
          <cell r="P94" t="str">
            <v>_PRE2013</v>
          </cell>
          <cell r="Q94" t="str">
            <v>_PRE2013</v>
          </cell>
          <cell r="R94" t="str">
            <v>_PRE2013</v>
          </cell>
          <cell r="S94" t="str">
            <v>_PRE2013</v>
          </cell>
          <cell r="T94" t="str">
            <v>_PRE2013</v>
          </cell>
          <cell r="W94" t="str">
            <v>_PRE2013</v>
          </cell>
          <cell r="X94" t="str">
            <v>Retro</v>
          </cell>
          <cell r="Y94" t="str">
            <v>_PRE2013</v>
          </cell>
        </row>
        <row r="95">
          <cell r="B95" t="str">
            <v>Central HPWH MF-Retro</v>
          </cell>
          <cell r="C95" t="str">
            <v>_PRE2013</v>
          </cell>
          <cell r="D95" t="str">
            <v>_PRE2013</v>
          </cell>
          <cell r="E95" t="str">
            <v>_PRE2013</v>
          </cell>
          <cell r="F95" t="str">
            <v>_PRE2013</v>
          </cell>
          <cell r="G95" t="str">
            <v>_PRE2013</v>
          </cell>
          <cell r="H95" t="str">
            <v>_PRE2013</v>
          </cell>
          <cell r="I95" t="str">
            <v>_PRE2013</v>
          </cell>
          <cell r="J95" t="str">
            <v>_PRE2013</v>
          </cell>
          <cell r="K95" t="str">
            <v>_PRE2013</v>
          </cell>
          <cell r="L95" t="str">
            <v>_PRE2013</v>
          </cell>
          <cell r="M95" t="str">
            <v>_PRE2013</v>
          </cell>
          <cell r="N95" t="str">
            <v>_PRE2013</v>
          </cell>
          <cell r="O95" t="str">
            <v>_PRE2013</v>
          </cell>
          <cell r="P95" t="str">
            <v>_PRE2013</v>
          </cell>
          <cell r="Q95" t="str">
            <v>_PRE2013</v>
          </cell>
          <cell r="R95" t="str">
            <v>_PRE2013</v>
          </cell>
          <cell r="S95" t="str">
            <v>_PRE2013</v>
          </cell>
          <cell r="T95" t="str">
            <v>_PRE2013</v>
          </cell>
          <cell r="W95" t="str">
            <v>_PRE2013</v>
          </cell>
          <cell r="X95" t="str">
            <v>Retro</v>
          </cell>
          <cell r="Y95" t="str">
            <v>_PRE2013</v>
          </cell>
        </row>
        <row r="96">
          <cell r="B96" t="str">
            <v>Ultra Low Energy Building-New</v>
          </cell>
          <cell r="C96" t="str">
            <v>POST2013</v>
          </cell>
          <cell r="D96" t="str">
            <v>POST2013</v>
          </cell>
          <cell r="E96" t="str">
            <v>POST2013</v>
          </cell>
          <cell r="F96" t="str">
            <v>POST2013</v>
          </cell>
          <cell r="G96" t="str">
            <v>POST2013</v>
          </cell>
          <cell r="H96" t="str">
            <v>POST2013</v>
          </cell>
          <cell r="I96" t="str">
            <v>POST2013</v>
          </cell>
          <cell r="J96" t="str">
            <v>POST2013</v>
          </cell>
          <cell r="K96" t="str">
            <v>POST2013</v>
          </cell>
          <cell r="L96" t="str">
            <v>POST2013</v>
          </cell>
          <cell r="M96" t="str">
            <v>POST2013</v>
          </cell>
          <cell r="N96" t="str">
            <v>POST2013</v>
          </cell>
          <cell r="O96" t="str">
            <v>POST2013</v>
          </cell>
          <cell r="P96" t="str">
            <v>POST2013</v>
          </cell>
          <cell r="Q96" t="str">
            <v>POST2013</v>
          </cell>
          <cell r="R96" t="str">
            <v>POST2013</v>
          </cell>
          <cell r="S96" t="str">
            <v>POST2013</v>
          </cell>
          <cell r="T96" t="str">
            <v>POST2013</v>
          </cell>
          <cell r="W96" t="str">
            <v>POST2013</v>
          </cell>
          <cell r="X96" t="str">
            <v>New</v>
          </cell>
          <cell r="Y96" t="str">
            <v>POST2013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cell r="U15">
            <v>0.25</v>
          </cell>
        </row>
        <row r="16">
          <cell r="B16" t="str">
            <v>Smart Plug Power Strips-Retro</v>
          </cell>
          <cell r="U16">
            <v>0.2</v>
          </cell>
        </row>
        <row r="17">
          <cell r="B17" t="str">
            <v>Data Centers-NR</v>
          </cell>
          <cell r="U17">
            <v>0.2</v>
          </cell>
        </row>
        <row r="18">
          <cell r="B18" t="str">
            <v>Monitor-NR</v>
          </cell>
          <cell r="U18">
            <v>0.2</v>
          </cell>
        </row>
        <row r="19">
          <cell r="B19" t="str">
            <v>Desktop-NR</v>
          </cell>
          <cell r="U19">
            <v>0.25</v>
          </cell>
        </row>
        <row r="20">
          <cell r="B20" t="str">
            <v>Pre-Rinse Spray Valve-Retro</v>
          </cell>
          <cell r="U20">
            <v>0.2</v>
          </cell>
        </row>
        <row r="21">
          <cell r="B21" t="str">
            <v>Cooking Equipment-NR</v>
          </cell>
          <cell r="U21">
            <v>0.08</v>
          </cell>
        </row>
        <row r="22">
          <cell r="B22" t="str">
            <v>DHP-New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DHP-Retro</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ControllerLite-Retro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Energy Recovery Ventilator-NR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Bi-Level Stairwell Lighting-NR</v>
          </cell>
        </row>
        <row r="73">
          <cell r="B73" t="str">
            <v>Low Power LF Lamps-NR</v>
          </cell>
        </row>
        <row r="74">
          <cell r="B74" t="str">
            <v>LEC Exit Sign-New</v>
          </cell>
        </row>
        <row r="75">
          <cell r="B75" t="str">
            <v>LEC Exit Sign-NR</v>
          </cell>
        </row>
        <row r="76">
          <cell r="B76" t="str">
            <v>ECM-VAV-New</v>
          </cell>
        </row>
        <row r="77">
          <cell r="B77" t="str">
            <v>ECM-VAV-NR</v>
          </cell>
        </row>
        <row r="78">
          <cell r="B78" t="str">
            <v>Pool pumps-Retro</v>
          </cell>
        </row>
        <row r="79">
          <cell r="B79" t="str">
            <v>MotorsRewind-New</v>
          </cell>
        </row>
        <row r="80">
          <cell r="B80" t="str">
            <v>MotorsRewind-NR</v>
          </cell>
        </row>
        <row r="81">
          <cell r="B81" t="str">
            <v>Municipal Sewage Treatment-Retro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row>
        <row r="82">
          <cell r="B82" t="str">
            <v>Municipal Water Supply-Retro</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row>
        <row r="83">
          <cell r="B83" t="str">
            <v>Engine Generator Block Heaters-Retro</v>
          </cell>
        </row>
        <row r="84">
          <cell r="B84" t="str">
            <v>Grocery Refrigeration Bundle-Retro</v>
          </cell>
        </row>
        <row r="85">
          <cell r="B85" t="str">
            <v>Packaged Refrigeration Equipment-New</v>
          </cell>
        </row>
        <row r="86">
          <cell r="B86" t="str">
            <v>Appliances - Freezers-NR</v>
          </cell>
        </row>
        <row r="87">
          <cell r="B87" t="str">
            <v>Appliances - Refrigerators-NR</v>
          </cell>
        </row>
        <row r="88">
          <cell r="B88" t="str">
            <v>Water Cooler Controls-NR</v>
          </cell>
        </row>
        <row r="89">
          <cell r="B89" t="str">
            <v>WHTanks-New</v>
          </cell>
        </row>
        <row r="90">
          <cell r="B90" t="str">
            <v>WHTanks-NR</v>
          </cell>
        </row>
        <row r="91">
          <cell r="B91" t="str">
            <v>Appliances - Clothes Washers-NR</v>
          </cell>
        </row>
        <row r="92">
          <cell r="B92" t="str">
            <v>Showerheads-Retro</v>
          </cell>
        </row>
        <row r="93">
          <cell r="B93" t="str">
            <v>Water Heating - GFHX-New</v>
          </cell>
        </row>
        <row r="94">
          <cell r="B94" t="str">
            <v>Demand Control Circulating system DHW-Retro</v>
          </cell>
        </row>
        <row r="95">
          <cell r="B95" t="str">
            <v>Central HPWH MF-Retro</v>
          </cell>
        </row>
        <row r="96">
          <cell r="B96" t="str">
            <v>Ultra Low Energy Building-New</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cell r="V12">
            <v>1.0006739780561755</v>
          </cell>
          <cell r="W12">
            <v>1.0006739783428409</v>
          </cell>
        </row>
        <row r="13">
          <cell r="C13" t="str">
            <v>LO20Fast</v>
          </cell>
          <cell r="D13">
            <v>0.22119921692859512</v>
          </cell>
          <cell r="E13">
            <v>0.37624232795148943</v>
          </cell>
          <cell r="F13">
            <v>0.48357361352878442</v>
          </cell>
          <cell r="G13">
            <v>0.56716330278444227</v>
          </cell>
          <cell r="H13">
            <v>0.64040048266456928</v>
          </cell>
          <cell r="I13">
            <v>0.70377511937632964</v>
          </cell>
          <cell r="J13">
            <v>0.7580669577441127</v>
          </cell>
          <cell r="K13">
            <v>0.80419335000071168</v>
          </cell>
          <cell r="L13">
            <v>0.84311022627788457</v>
          </cell>
          <cell r="M13">
            <v>0.87575014259103623</v>
          </cell>
          <cell r="N13">
            <v>0.90298584871682319</v>
          </cell>
          <cell r="O13">
            <v>0.92419703797508856</v>
          </cell>
          <cell r="P13">
            <v>0.94071632877930145</v>
          </cell>
          <cell r="Q13">
            <v>0.95358156539340677</v>
          </cell>
          <cell r="R13">
            <v>0.96360102174287088</v>
          </cell>
          <cell r="S13">
            <v>0.97140418219378311</v>
          </cell>
          <cell r="T13">
            <v>0.97748128966338554</v>
          </cell>
          <cell r="U13">
            <v>0.98221414571952104</v>
          </cell>
          <cell r="V13">
            <v>0.98590009772220355</v>
          </cell>
          <cell r="W13">
            <v>0.98877072002825628</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cell r="V14">
            <v>0.95000000000000029</v>
          </cell>
          <cell r="W14">
            <v>1.0000000000000002</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cell r="V15">
            <v>0.62073708896927293</v>
          </cell>
          <cell r="W15">
            <v>0.6422286539276808</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cell r="V16">
            <v>0.99067241740690848</v>
          </cell>
          <cell r="W16">
            <v>0.99498010738139331</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A29" t="str">
            <v>HVAC</v>
          </cell>
          <cell r="B29" t="str">
            <v>DHP-New</v>
          </cell>
          <cell r="C29" t="str">
            <v>LOEven20</v>
          </cell>
          <cell r="D29">
            <v>0.05</v>
          </cell>
          <cell r="E29">
            <v>0.1</v>
          </cell>
          <cell r="F29">
            <v>0.15000000000000002</v>
          </cell>
          <cell r="G29">
            <v>0.2</v>
          </cell>
          <cell r="H29">
            <v>0.25</v>
          </cell>
          <cell r="I29">
            <v>0.3</v>
          </cell>
          <cell r="J29">
            <v>0.35</v>
          </cell>
          <cell r="K29">
            <v>0.39999999999999997</v>
          </cell>
          <cell r="L29">
            <v>0.44999999999999996</v>
          </cell>
          <cell r="M29">
            <v>0.49999999999999994</v>
          </cell>
          <cell r="N29">
            <v>0.54999999999999993</v>
          </cell>
          <cell r="O29">
            <v>0.6</v>
          </cell>
          <cell r="P29">
            <v>0.65</v>
          </cell>
          <cell r="Q29">
            <v>0.70000000000000007</v>
          </cell>
          <cell r="R29">
            <v>0.75000000000000011</v>
          </cell>
          <cell r="S29">
            <v>0.80000000000000016</v>
          </cell>
          <cell r="T29">
            <v>0.8500000000000002</v>
          </cell>
          <cell r="U29">
            <v>0.90000000000000024</v>
          </cell>
          <cell r="V29">
            <v>0.95000000000000029</v>
          </cell>
          <cell r="W29">
            <v>1.0000000000000002</v>
          </cell>
        </row>
        <row r="30">
          <cell r="A30" t="str">
            <v>HVAC</v>
          </cell>
          <cell r="B30" t="str">
            <v>DHP-Retro</v>
          </cell>
          <cell r="C30" t="str">
            <v>Retro5Med</v>
          </cell>
          <cell r="D30">
            <v>4.2999999999999997E-2</v>
          </cell>
          <cell r="E30">
            <v>5.279714228027832E-2</v>
          </cell>
          <cell r="F30">
            <v>6.4608251467478173E-2</v>
          </cell>
          <cell r="G30">
            <v>7.4999999999999997E-2</v>
          </cell>
          <cell r="H30">
            <v>8.5546997470333563E-2</v>
          </cell>
          <cell r="I30">
            <v>0.10001472303820647</v>
          </cell>
          <cell r="J30">
            <v>0.10971770435235073</v>
          </cell>
          <cell r="K30">
            <v>0.11208438511970376</v>
          </cell>
          <cell r="L30">
            <v>0.10562608162722853</v>
          </cell>
          <cell r="M30">
            <v>9.0794563997872335E-2</v>
          </cell>
          <cell r="N30">
            <v>7.0260666991849297E-2</v>
          </cell>
          <cell r="O30">
            <v>4.8218360404944538E-2</v>
          </cell>
          <cell r="P30">
            <v>2.8854234614640095E-2</v>
          </cell>
          <cell r="Q30">
            <v>1.4773964924806759E-2</v>
          </cell>
          <cell r="R30">
            <v>6.3385343681182649E-3</v>
          </cell>
          <cell r="S30">
            <v>2.2268577196306039E-3</v>
          </cell>
          <cell r="T30">
            <v>6.2471001963848583E-4</v>
          </cell>
          <cell r="U30">
            <v>1.3615841889635938E-4</v>
          </cell>
          <cell r="V30">
            <v>2.2380636622298944E-5</v>
          </cell>
          <cell r="W30">
            <v>2.68643837586513E-6</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A33" t="str">
            <v>HVAC</v>
          </cell>
          <cell r="B33" t="str">
            <v>ControllerLite-Retro</v>
          </cell>
          <cell r="C33" t="str">
            <v>Retro5Med</v>
          </cell>
          <cell r="D33">
            <v>4.2999999999999997E-2</v>
          </cell>
          <cell r="E33">
            <v>5.279714228027832E-2</v>
          </cell>
          <cell r="F33">
            <v>6.4608251467478173E-2</v>
          </cell>
          <cell r="G33">
            <v>7.4999999999999997E-2</v>
          </cell>
          <cell r="H33">
            <v>8.5546997470333563E-2</v>
          </cell>
          <cell r="I33">
            <v>0.10001472303820647</v>
          </cell>
          <cell r="J33">
            <v>0.10971770435235073</v>
          </cell>
          <cell r="K33">
            <v>0.11208438511970376</v>
          </cell>
          <cell r="L33">
            <v>0.10562608162722853</v>
          </cell>
          <cell r="M33">
            <v>9.0794563997872335E-2</v>
          </cell>
          <cell r="N33">
            <v>7.0260666991849297E-2</v>
          </cell>
          <cell r="O33">
            <v>4.8218360404944538E-2</v>
          </cell>
          <cell r="P33">
            <v>2.8854234614640095E-2</v>
          </cell>
          <cell r="Q33">
            <v>1.4773964924806759E-2</v>
          </cell>
          <cell r="R33">
            <v>6.3385343681182649E-3</v>
          </cell>
          <cell r="S33">
            <v>2.2268577196306039E-3</v>
          </cell>
          <cell r="T33">
            <v>6.2471001963848583E-4</v>
          </cell>
          <cell r="U33">
            <v>1.3615841889635938E-4</v>
          </cell>
          <cell r="V33">
            <v>2.2380636622298944E-5</v>
          </cell>
          <cell r="W33">
            <v>2.68643837586513E-6</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row>
        <row r="41">
          <cell r="A41" t="str">
            <v>HVAC</v>
          </cell>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A44" t="str">
            <v>HVAC</v>
          </cell>
          <cell r="B44" t="str">
            <v>Economizer-Retro</v>
          </cell>
          <cell r="C44" t="str">
            <v>Retro12Med</v>
          </cell>
          <cell r="D44">
            <v>0.10937459468255628</v>
          </cell>
          <cell r="E44">
            <v>0.10937459468255628</v>
          </cell>
          <cell r="F44">
            <v>0.10937459468255628</v>
          </cell>
          <cell r="G44">
            <v>0.10937459468255628</v>
          </cell>
          <cell r="H44">
            <v>0.10937459468255628</v>
          </cell>
          <cell r="I44">
            <v>9.8437135214300656E-2</v>
          </cell>
          <cell r="J44">
            <v>7.874970817144053E-2</v>
          </cell>
          <cell r="K44">
            <v>6.2999766537152418E-2</v>
          </cell>
          <cell r="L44">
            <v>5.0399813229721938E-2</v>
          </cell>
          <cell r="M44">
            <v>4.0319850583777551E-2</v>
          </cell>
          <cell r="N44">
            <v>3.225588046702204E-2</v>
          </cell>
          <cell r="O44">
            <v>2.5804704373617631E-2</v>
          </cell>
          <cell r="P44">
            <v>2.0643763498894106E-2</v>
          </cell>
          <cell r="Q44">
            <v>1.6515010799115284E-2</v>
          </cell>
          <cell r="R44">
            <v>1.3212008639292228E-2</v>
          </cell>
          <cell r="S44">
            <v>1.0569606911433781E-2</v>
          </cell>
          <cell r="T44">
            <v>7.2092823794611682E-5</v>
          </cell>
          <cell r="U44">
            <v>2.5747437069512102E-5</v>
          </cell>
          <cell r="V44">
            <v>8.7775353646568632E-6</v>
          </cell>
          <cell r="W44">
            <v>2.8622397928446119E-6</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A47" t="str">
            <v>HVAC</v>
          </cell>
          <cell r="B47" t="str">
            <v>Demand Control Ventilation-Retro</v>
          </cell>
          <cell r="C47" t="str">
            <v>Retro12Med</v>
          </cell>
          <cell r="D47">
            <v>0.10937459468255628</v>
          </cell>
          <cell r="E47">
            <v>0.10937459468255628</v>
          </cell>
          <cell r="F47">
            <v>0.10937459468255628</v>
          </cell>
          <cell r="G47">
            <v>0.10937459468255628</v>
          </cell>
          <cell r="H47">
            <v>0.10937459468255628</v>
          </cell>
          <cell r="I47">
            <v>9.8437135214300656E-2</v>
          </cell>
          <cell r="J47">
            <v>7.874970817144053E-2</v>
          </cell>
          <cell r="K47">
            <v>6.2999766537152418E-2</v>
          </cell>
          <cell r="L47">
            <v>5.0399813229721938E-2</v>
          </cell>
          <cell r="M47">
            <v>4.0319850583777551E-2</v>
          </cell>
          <cell r="N47">
            <v>3.225588046702204E-2</v>
          </cell>
          <cell r="O47">
            <v>2.5804704373617631E-2</v>
          </cell>
          <cell r="P47">
            <v>2.0643763498894106E-2</v>
          </cell>
          <cell r="Q47">
            <v>1.6515010799115284E-2</v>
          </cell>
          <cell r="R47">
            <v>1.3212008639292228E-2</v>
          </cell>
          <cell r="S47">
            <v>1.0569606911433781E-2</v>
          </cell>
          <cell r="T47">
            <v>7.2092823794611682E-5</v>
          </cell>
          <cell r="U47">
            <v>2.5747437069512102E-5</v>
          </cell>
          <cell r="V47">
            <v>8.7775353646568632E-6</v>
          </cell>
          <cell r="W47">
            <v>2.8622397928446119E-6</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Lighting</v>
          </cell>
          <cell r="B80" t="str">
            <v>Low Power LF Lamps-NR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Lighting</v>
          </cell>
          <cell r="B81" t="str">
            <v>LEC Exit Sign-New</v>
          </cell>
          <cell r="C81" t="str">
            <v>LO20Fast</v>
          </cell>
          <cell r="D81">
            <v>0.22119921692859512</v>
          </cell>
          <cell r="E81">
            <v>0.37624232795148943</v>
          </cell>
          <cell r="F81">
            <v>0.48357361352878442</v>
          </cell>
          <cell r="G81">
            <v>0.56716330278444227</v>
          </cell>
          <cell r="H81">
            <v>0.64040048266456928</v>
          </cell>
          <cell r="I81">
            <v>0.70377511937632964</v>
          </cell>
          <cell r="J81">
            <v>0.7580669577441127</v>
          </cell>
          <cell r="K81">
            <v>0.80419335000071168</v>
          </cell>
          <cell r="L81">
            <v>0.84311022627788457</v>
          </cell>
          <cell r="M81">
            <v>0.87575014259103623</v>
          </cell>
          <cell r="N81">
            <v>0.90298584871682319</v>
          </cell>
          <cell r="O81">
            <v>0.92419703797508856</v>
          </cell>
          <cell r="P81">
            <v>0.94071632877930145</v>
          </cell>
          <cell r="Q81">
            <v>0.95358156539340677</v>
          </cell>
          <cell r="R81">
            <v>0.96360102174287088</v>
          </cell>
          <cell r="S81">
            <v>0.97140418219378311</v>
          </cell>
          <cell r="T81">
            <v>0.97748128966338554</v>
          </cell>
          <cell r="U81">
            <v>0.98221414571952104</v>
          </cell>
          <cell r="V81">
            <v>0.98590009772220355</v>
          </cell>
          <cell r="W81">
            <v>0.98877072002825628</v>
          </cell>
        </row>
        <row r="82">
          <cell r="A82" t="str">
            <v>Lighting</v>
          </cell>
          <cell r="B82" t="str">
            <v>LEC Exit Sign-NR</v>
          </cell>
          <cell r="C82" t="str">
            <v>LO20Fast</v>
          </cell>
          <cell r="D82">
            <v>0.22119921692859512</v>
          </cell>
          <cell r="E82">
            <v>0.37624232795148943</v>
          </cell>
          <cell r="F82">
            <v>0.48357361352878442</v>
          </cell>
          <cell r="G82">
            <v>0.56716330278444227</v>
          </cell>
          <cell r="H82">
            <v>0.64040048266456928</v>
          </cell>
          <cell r="I82">
            <v>0.70377511937632964</v>
          </cell>
          <cell r="J82">
            <v>0.7580669577441127</v>
          </cell>
          <cell r="K82">
            <v>0.80419335000071168</v>
          </cell>
          <cell r="L82">
            <v>0.84311022627788457</v>
          </cell>
          <cell r="M82">
            <v>0.87575014259103623</v>
          </cell>
          <cell r="N82">
            <v>0.90298584871682319</v>
          </cell>
          <cell r="O82">
            <v>0.92419703797508856</v>
          </cell>
          <cell r="P82">
            <v>0.94071632877930145</v>
          </cell>
          <cell r="Q82">
            <v>0.95358156539340677</v>
          </cell>
          <cell r="R82">
            <v>0.96360102174287088</v>
          </cell>
          <cell r="S82">
            <v>0.97140418219378311</v>
          </cell>
          <cell r="T82">
            <v>0.97748128966338554</v>
          </cell>
          <cell r="U82">
            <v>0.98221414571952104</v>
          </cell>
          <cell r="V82">
            <v>0.98590009772220355</v>
          </cell>
          <cell r="W82">
            <v>0.98877072002825628</v>
          </cell>
        </row>
        <row r="83">
          <cell r="A83" t="str">
            <v>Motors/Drives</v>
          </cell>
          <cell r="B83" t="str">
            <v>ECM-VAV-New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row>
        <row r="84">
          <cell r="A84" t="str">
            <v>Motors/Drives</v>
          </cell>
          <cell r="B84" t="str">
            <v>ECM-VAV-NR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Motors/Drives</v>
          </cell>
          <cell r="B85" t="str">
            <v>Pool pumps-Retro</v>
          </cell>
          <cell r="C85" t="str">
            <v>Retro20Fast</v>
          </cell>
          <cell r="D85">
            <v>0.22119921692859512</v>
          </cell>
          <cell r="E85">
            <v>0.15504311102289431</v>
          </cell>
          <cell r="F85">
            <v>0.10733128557729499</v>
          </cell>
          <cell r="G85">
            <v>8.3589689255657879E-2</v>
          </cell>
          <cell r="H85">
            <v>7.3237179880126971E-2</v>
          </cell>
          <cell r="I85">
            <v>6.3374636711760357E-2</v>
          </cell>
          <cell r="J85">
            <v>5.4291838367783084E-2</v>
          </cell>
          <cell r="K85">
            <v>4.612639225659896E-2</v>
          </cell>
          <cell r="L85">
            <v>3.8916876277172864E-2</v>
          </cell>
          <cell r="M85">
            <v>3.2639916313151704E-2</v>
          </cell>
          <cell r="N85">
            <v>2.7235706125786907E-2</v>
          </cell>
          <cell r="O85">
            <v>2.1211189258265428E-2</v>
          </cell>
          <cell r="P85">
            <v>1.6519290804212883E-2</v>
          </cell>
          <cell r="Q85">
            <v>1.2865236614105324E-2</v>
          </cell>
          <cell r="R85">
            <v>1.0019456349464106E-2</v>
          </cell>
          <cell r="S85">
            <v>7.8031604509122832E-3</v>
          </cell>
          <cell r="T85">
            <v>6.077107469602494E-3</v>
          </cell>
          <cell r="U85">
            <v>4.7328560561354371E-3</v>
          </cell>
          <cell r="V85">
            <v>3.6859520026825132E-3</v>
          </cell>
          <cell r="W85">
            <v>2.8706223060526725E-3</v>
          </cell>
        </row>
        <row r="86">
          <cell r="A86" t="str">
            <v>Motors/Drives</v>
          </cell>
          <cell r="B86" t="str">
            <v>MotorsRewind-New</v>
          </cell>
          <cell r="C86" t="str">
            <v>LO12Med</v>
          </cell>
          <cell r="D86">
            <v>0.10937459468255628</v>
          </cell>
          <cell r="E86">
            <v>0.21874918936511256</v>
          </cell>
          <cell r="F86">
            <v>0.32812378404766884</v>
          </cell>
          <cell r="G86">
            <v>0.43749837873022512</v>
          </cell>
          <cell r="H86">
            <v>0.5468729734127814</v>
          </cell>
          <cell r="I86">
            <v>0.64531010862708205</v>
          </cell>
          <cell r="J86">
            <v>0.7240598167985226</v>
          </cell>
          <cell r="K86">
            <v>0.78705958333567505</v>
          </cell>
          <cell r="L86">
            <v>0.83745939656539703</v>
          </cell>
          <cell r="M86">
            <v>0.87777924714917455</v>
          </cell>
          <cell r="N86">
            <v>0.91003512761619654</v>
          </cell>
          <cell r="O86">
            <v>0.93583983198981413</v>
          </cell>
          <cell r="P86">
            <v>0.9564835954887082</v>
          </cell>
          <cell r="Q86">
            <v>0.97299860628782353</v>
          </cell>
          <cell r="R86">
            <v>0.9862106149271157</v>
          </cell>
          <cell r="S86">
            <v>0.99678022183854953</v>
          </cell>
          <cell r="T86">
            <v>0.99685231466234414</v>
          </cell>
          <cell r="U86">
            <v>0.99687806209941365</v>
          </cell>
          <cell r="V86">
            <v>0.99688683963477831</v>
          </cell>
          <cell r="W86">
            <v>0.99688970187457115</v>
          </cell>
        </row>
        <row r="87">
          <cell r="A87" t="str">
            <v>Motors/Drives</v>
          </cell>
          <cell r="B87" t="str">
            <v>MotorsRewind-NR</v>
          </cell>
          <cell r="C87" t="str">
            <v>LO12Med</v>
          </cell>
          <cell r="D87">
            <v>0.10937459468255628</v>
          </cell>
          <cell r="E87">
            <v>0.21874918936511256</v>
          </cell>
          <cell r="F87">
            <v>0.32812378404766884</v>
          </cell>
          <cell r="G87">
            <v>0.43749837873022512</v>
          </cell>
          <cell r="H87">
            <v>0.5468729734127814</v>
          </cell>
          <cell r="I87">
            <v>0.64531010862708205</v>
          </cell>
          <cell r="J87">
            <v>0.7240598167985226</v>
          </cell>
          <cell r="K87">
            <v>0.78705958333567505</v>
          </cell>
          <cell r="L87">
            <v>0.83745939656539703</v>
          </cell>
          <cell r="M87">
            <v>0.87777924714917455</v>
          </cell>
          <cell r="N87">
            <v>0.91003512761619654</v>
          </cell>
          <cell r="O87">
            <v>0.93583983198981413</v>
          </cell>
          <cell r="P87">
            <v>0.9564835954887082</v>
          </cell>
          <cell r="Q87">
            <v>0.97299860628782353</v>
          </cell>
          <cell r="R87">
            <v>0.9862106149271157</v>
          </cell>
          <cell r="S87">
            <v>0.99678022183854953</v>
          </cell>
          <cell r="T87">
            <v>0.99685231466234414</v>
          </cell>
          <cell r="U87">
            <v>0.99687806209941365</v>
          </cell>
          <cell r="V87">
            <v>0.99688683963477831</v>
          </cell>
          <cell r="W87">
            <v>0.99688970187457115</v>
          </cell>
        </row>
        <row r="88">
          <cell r="A88" t="str">
            <v>Process Loads</v>
          </cell>
          <cell r="B88" t="str">
            <v>Municipal Sewage Treatment-Retro</v>
          </cell>
          <cell r="C88" t="str">
            <v>Retro5Med</v>
          </cell>
          <cell r="D88">
            <v>4.2999999999999997E-2</v>
          </cell>
          <cell r="E88">
            <v>5.279714228027832E-2</v>
          </cell>
          <cell r="F88">
            <v>6.4608251467478173E-2</v>
          </cell>
          <cell r="G88">
            <v>7.4999999999999997E-2</v>
          </cell>
          <cell r="H88">
            <v>8.5546997470333563E-2</v>
          </cell>
          <cell r="I88">
            <v>0.10001472303820647</v>
          </cell>
          <cell r="J88">
            <v>0.10971770435235073</v>
          </cell>
          <cell r="K88">
            <v>0.11208438511970376</v>
          </cell>
          <cell r="L88">
            <v>0.10562608162722853</v>
          </cell>
          <cell r="M88">
            <v>9.0794563997872335E-2</v>
          </cell>
          <cell r="N88">
            <v>7.0260666991849297E-2</v>
          </cell>
          <cell r="O88">
            <v>4.8218360404944538E-2</v>
          </cell>
          <cell r="P88">
            <v>2.8854234614640095E-2</v>
          </cell>
          <cell r="Q88">
            <v>1.4773964924806759E-2</v>
          </cell>
          <cell r="R88">
            <v>6.3385343681182649E-3</v>
          </cell>
          <cell r="S88">
            <v>2.2268577196306039E-3</v>
          </cell>
          <cell r="T88">
            <v>6.2471001963848583E-4</v>
          </cell>
          <cell r="U88">
            <v>1.3615841889635938E-4</v>
          </cell>
          <cell r="V88">
            <v>2.2380636622298944E-5</v>
          </cell>
          <cell r="W88">
            <v>2.68643837586513E-6</v>
          </cell>
        </row>
        <row r="89">
          <cell r="A89" t="str">
            <v>Process Loads</v>
          </cell>
          <cell r="B89" t="str">
            <v>Municipal Water Supply-Retro</v>
          </cell>
          <cell r="C89" t="str">
            <v>Retro5Med</v>
          </cell>
          <cell r="D89">
            <v>4.2999999999999997E-2</v>
          </cell>
          <cell r="E89">
            <v>5.279714228027832E-2</v>
          </cell>
          <cell r="F89">
            <v>6.4608251467478173E-2</v>
          </cell>
          <cell r="G89">
            <v>7.4999999999999997E-2</v>
          </cell>
          <cell r="H89">
            <v>8.5546997470333563E-2</v>
          </cell>
          <cell r="I89">
            <v>0.10001472303820647</v>
          </cell>
          <cell r="J89">
            <v>0.10971770435235073</v>
          </cell>
          <cell r="K89">
            <v>0.11208438511970376</v>
          </cell>
          <cell r="L89">
            <v>0.10562608162722853</v>
          </cell>
          <cell r="M89">
            <v>9.0794563997872335E-2</v>
          </cell>
          <cell r="N89">
            <v>7.0260666991849297E-2</v>
          </cell>
          <cell r="O89">
            <v>4.8218360404944538E-2</v>
          </cell>
          <cell r="P89">
            <v>2.8854234614640095E-2</v>
          </cell>
          <cell r="Q89">
            <v>1.4773964924806759E-2</v>
          </cell>
          <cell r="R89">
            <v>6.3385343681182649E-3</v>
          </cell>
          <cell r="S89">
            <v>2.2268577196306039E-3</v>
          </cell>
          <cell r="T89">
            <v>6.2471001963848583E-4</v>
          </cell>
          <cell r="U89">
            <v>1.3615841889635938E-4</v>
          </cell>
          <cell r="V89">
            <v>2.2380636622298944E-5</v>
          </cell>
          <cell r="W89">
            <v>2.68643837586513E-6</v>
          </cell>
        </row>
        <row r="90">
          <cell r="A90" t="str">
            <v>Process Loads</v>
          </cell>
          <cell r="B90" t="str">
            <v>Engine Generator Block Heaters-Retro</v>
          </cell>
          <cell r="C90" t="str">
            <v>Retro20Fast</v>
          </cell>
          <cell r="D90">
            <v>0.22119921692859512</v>
          </cell>
          <cell r="E90">
            <v>0.15504311102289431</v>
          </cell>
          <cell r="F90">
            <v>0.10733128557729499</v>
          </cell>
          <cell r="G90">
            <v>8.3589689255657879E-2</v>
          </cell>
          <cell r="H90">
            <v>7.3237179880126971E-2</v>
          </cell>
          <cell r="I90">
            <v>6.3374636711760357E-2</v>
          </cell>
          <cell r="J90">
            <v>5.4291838367783084E-2</v>
          </cell>
          <cell r="K90">
            <v>4.612639225659896E-2</v>
          </cell>
          <cell r="L90">
            <v>3.8916876277172864E-2</v>
          </cell>
          <cell r="M90">
            <v>3.2639916313151704E-2</v>
          </cell>
          <cell r="N90">
            <v>2.7235706125786907E-2</v>
          </cell>
          <cell r="O90">
            <v>2.1211189258265428E-2</v>
          </cell>
          <cell r="P90">
            <v>1.6519290804212883E-2</v>
          </cell>
          <cell r="Q90">
            <v>1.2865236614105324E-2</v>
          </cell>
          <cell r="R90">
            <v>1.0019456349464106E-2</v>
          </cell>
          <cell r="S90">
            <v>7.8031604509122832E-3</v>
          </cell>
          <cell r="T90">
            <v>6.077107469602494E-3</v>
          </cell>
          <cell r="U90">
            <v>4.7328560561354371E-3</v>
          </cell>
          <cell r="V90">
            <v>3.6859520026825132E-3</v>
          </cell>
          <cell r="W90">
            <v>2.8706223060526725E-3</v>
          </cell>
        </row>
        <row r="91">
          <cell r="A91" t="str">
            <v>Refrigeration</v>
          </cell>
          <cell r="B91" t="str">
            <v>Grocery Refrigeration Bundle-Retro</v>
          </cell>
          <cell r="C91" t="str">
            <v>Retro12Med</v>
          </cell>
          <cell r="D91">
            <v>0.10937459468255628</v>
          </cell>
          <cell r="E91">
            <v>0.10937459468255628</v>
          </cell>
          <cell r="F91">
            <v>0.10937459468255628</v>
          </cell>
          <cell r="G91">
            <v>0.10937459468255628</v>
          </cell>
          <cell r="H91">
            <v>0.10937459468255628</v>
          </cell>
          <cell r="I91">
            <v>9.8437135214300656E-2</v>
          </cell>
          <cell r="J91">
            <v>7.874970817144053E-2</v>
          </cell>
          <cell r="K91">
            <v>6.2999766537152418E-2</v>
          </cell>
          <cell r="L91">
            <v>5.0399813229721938E-2</v>
          </cell>
          <cell r="M91">
            <v>4.0319850583777551E-2</v>
          </cell>
          <cell r="N91">
            <v>3.225588046702204E-2</v>
          </cell>
          <cell r="O91">
            <v>2.5804704373617631E-2</v>
          </cell>
          <cell r="P91">
            <v>2.0643763498894106E-2</v>
          </cell>
          <cell r="Q91">
            <v>1.6515010799115284E-2</v>
          </cell>
          <cell r="R91">
            <v>1.3212008639292228E-2</v>
          </cell>
          <cell r="S91">
            <v>1.0569606911433781E-2</v>
          </cell>
          <cell r="T91">
            <v>7.2092823794611682E-5</v>
          </cell>
          <cell r="U91">
            <v>2.5747437069512102E-5</v>
          </cell>
          <cell r="V91">
            <v>8.7775353646568632E-6</v>
          </cell>
          <cell r="W91">
            <v>2.8622397928446119E-6</v>
          </cell>
        </row>
        <row r="92">
          <cell r="A92" t="str">
            <v>Refrigeration</v>
          </cell>
          <cell r="B92" t="str">
            <v>Packaged Refrigeration Equipment-New</v>
          </cell>
          <cell r="C92" t="str">
            <v>LOEven20</v>
          </cell>
          <cell r="D92">
            <v>0.05</v>
          </cell>
          <cell r="E92">
            <v>0.1</v>
          </cell>
          <cell r="F92">
            <v>0.15000000000000002</v>
          </cell>
          <cell r="G92">
            <v>0.2</v>
          </cell>
          <cell r="H92">
            <v>0.25</v>
          </cell>
          <cell r="I92">
            <v>0.3</v>
          </cell>
          <cell r="J92">
            <v>0.35</v>
          </cell>
          <cell r="K92">
            <v>0.39999999999999997</v>
          </cell>
          <cell r="L92">
            <v>0.44999999999999996</v>
          </cell>
          <cell r="M92">
            <v>0.49999999999999994</v>
          </cell>
          <cell r="N92">
            <v>0.54999999999999993</v>
          </cell>
          <cell r="O92">
            <v>0.6</v>
          </cell>
          <cell r="P92">
            <v>0.65</v>
          </cell>
          <cell r="Q92">
            <v>0.70000000000000007</v>
          </cell>
          <cell r="R92">
            <v>0.75000000000000011</v>
          </cell>
          <cell r="S92">
            <v>0.80000000000000016</v>
          </cell>
          <cell r="T92">
            <v>0.8500000000000002</v>
          </cell>
          <cell r="U92">
            <v>0.90000000000000024</v>
          </cell>
          <cell r="V92">
            <v>0.95000000000000029</v>
          </cell>
          <cell r="W92">
            <v>1.0000000000000002</v>
          </cell>
        </row>
        <row r="93">
          <cell r="A93" t="str">
            <v>Refrigeration</v>
          </cell>
          <cell r="B93" t="str">
            <v>Appliances - Freezers-NR</v>
          </cell>
          <cell r="C93" t="str">
            <v>LO5Med</v>
          </cell>
          <cell r="D93">
            <v>4.2999999999999997E-2</v>
          </cell>
          <cell r="E93">
            <v>9.5797142280278316E-2</v>
          </cell>
          <cell r="F93">
            <v>0.16040539374775648</v>
          </cell>
          <cell r="G93">
            <v>0.23540539374775649</v>
          </cell>
          <cell r="H93">
            <v>0.32095239121809005</v>
          </cell>
          <cell r="I93">
            <v>0.42096711425629652</v>
          </cell>
          <cell r="J93">
            <v>0.53068481860864725</v>
          </cell>
          <cell r="K93">
            <v>0.642769203728351</v>
          </cell>
          <cell r="L93">
            <v>0.74839528535557953</v>
          </cell>
          <cell r="M93">
            <v>0.83918984935345187</v>
          </cell>
          <cell r="N93">
            <v>0.90945051634530116</v>
          </cell>
          <cell r="O93">
            <v>0.9576688767502457</v>
          </cell>
          <cell r="P93">
            <v>0.9865231113648858</v>
          </cell>
          <cell r="Q93">
            <v>1.0012970762896924</v>
          </cell>
          <cell r="R93">
            <v>1.0076356106578106</v>
          </cell>
          <cell r="S93">
            <v>1.0098624683774413</v>
          </cell>
          <cell r="T93">
            <v>1.0104871783970797</v>
          </cell>
          <cell r="U93">
            <v>1.010623336815976</v>
          </cell>
          <cell r="V93">
            <v>1.0106457174525985</v>
          </cell>
          <cell r="W93">
            <v>1.0106484038909742</v>
          </cell>
        </row>
        <row r="94">
          <cell r="A94" t="str">
            <v>Refrigeration</v>
          </cell>
          <cell r="B94" t="str">
            <v>Appliances - Refrigerators-NR</v>
          </cell>
          <cell r="C94" t="str">
            <v>LO5Med</v>
          </cell>
          <cell r="D94">
            <v>4.2999999999999997E-2</v>
          </cell>
          <cell r="E94">
            <v>9.5797142280278316E-2</v>
          </cell>
          <cell r="F94">
            <v>0.16040539374775648</v>
          </cell>
          <cell r="G94">
            <v>0.23540539374775649</v>
          </cell>
          <cell r="H94">
            <v>0.32095239121809005</v>
          </cell>
          <cell r="I94">
            <v>0.42096711425629652</v>
          </cell>
          <cell r="J94">
            <v>0.53068481860864725</v>
          </cell>
          <cell r="K94">
            <v>0.642769203728351</v>
          </cell>
          <cell r="L94">
            <v>0.74839528535557953</v>
          </cell>
          <cell r="M94">
            <v>0.83918984935345187</v>
          </cell>
          <cell r="N94">
            <v>0.90945051634530116</v>
          </cell>
          <cell r="O94">
            <v>0.9576688767502457</v>
          </cell>
          <cell r="P94">
            <v>0.9865231113648858</v>
          </cell>
          <cell r="Q94">
            <v>1.0012970762896924</v>
          </cell>
          <cell r="R94">
            <v>1.0076356106578106</v>
          </cell>
          <cell r="S94">
            <v>1.0098624683774413</v>
          </cell>
          <cell r="T94">
            <v>1.0104871783970797</v>
          </cell>
          <cell r="U94">
            <v>1.010623336815976</v>
          </cell>
          <cell r="V94">
            <v>1.0106457174525985</v>
          </cell>
          <cell r="W94">
            <v>1.0106484038909742</v>
          </cell>
        </row>
        <row r="95">
          <cell r="A95" t="str">
            <v>Refrigeration</v>
          </cell>
          <cell r="B95" t="str">
            <v>Water Cooler Controls-NR</v>
          </cell>
          <cell r="C95" t="str">
            <v>LO5Med</v>
          </cell>
          <cell r="D95">
            <v>4.2999999999999997E-2</v>
          </cell>
          <cell r="E95">
            <v>9.5797142280278316E-2</v>
          </cell>
          <cell r="F95">
            <v>0.16040539374775648</v>
          </cell>
          <cell r="G95">
            <v>0.23540539374775649</v>
          </cell>
          <cell r="H95">
            <v>0.32095239121809005</v>
          </cell>
          <cell r="I95">
            <v>0.42096711425629652</v>
          </cell>
          <cell r="J95">
            <v>0.53068481860864725</v>
          </cell>
          <cell r="K95">
            <v>0.642769203728351</v>
          </cell>
          <cell r="L95">
            <v>0.74839528535557953</v>
          </cell>
          <cell r="M95">
            <v>0.83918984935345187</v>
          </cell>
          <cell r="N95">
            <v>0.90945051634530116</v>
          </cell>
          <cell r="O95">
            <v>0.9576688767502457</v>
          </cell>
          <cell r="P95">
            <v>0.9865231113648858</v>
          </cell>
          <cell r="Q95">
            <v>1.0012970762896924</v>
          </cell>
          <cell r="R95">
            <v>1.0076356106578106</v>
          </cell>
          <cell r="S95">
            <v>1.0098624683774413</v>
          </cell>
          <cell r="T95">
            <v>1.0104871783970797</v>
          </cell>
          <cell r="U95">
            <v>1.010623336815976</v>
          </cell>
          <cell r="V95">
            <v>1.0106457174525985</v>
          </cell>
          <cell r="W95">
            <v>1.0106484038909742</v>
          </cell>
        </row>
        <row r="96">
          <cell r="A96" t="str">
            <v>Water Heating</v>
          </cell>
          <cell r="B96" t="str">
            <v>WHTanks-New</v>
          </cell>
          <cell r="C96" t="str">
            <v>LO12Med</v>
          </cell>
          <cell r="D96">
            <v>0.10937459468255628</v>
          </cell>
          <cell r="E96">
            <v>0.21874918936511256</v>
          </cell>
          <cell r="F96">
            <v>0.32812378404766884</v>
          </cell>
          <cell r="G96">
            <v>0.43749837873022512</v>
          </cell>
          <cell r="H96">
            <v>0.5468729734127814</v>
          </cell>
          <cell r="I96">
            <v>0.64531010862708205</v>
          </cell>
          <cell r="J96">
            <v>0.7240598167985226</v>
          </cell>
          <cell r="K96">
            <v>0.78705958333567505</v>
          </cell>
          <cell r="L96">
            <v>0.83745939656539703</v>
          </cell>
          <cell r="M96">
            <v>0.87777924714917455</v>
          </cell>
          <cell r="N96">
            <v>0.91003512761619654</v>
          </cell>
          <cell r="O96">
            <v>0.93583983198981413</v>
          </cell>
          <cell r="P96">
            <v>0.9564835954887082</v>
          </cell>
          <cell r="Q96">
            <v>0.97299860628782353</v>
          </cell>
          <cell r="R96">
            <v>0.9862106149271157</v>
          </cell>
          <cell r="S96">
            <v>0.99678022183854953</v>
          </cell>
          <cell r="T96">
            <v>0.99685231466234414</v>
          </cell>
          <cell r="U96">
            <v>0.99687806209941365</v>
          </cell>
          <cell r="V96">
            <v>0.99688683963477831</v>
          </cell>
          <cell r="W96">
            <v>0.99688970187457115</v>
          </cell>
        </row>
        <row r="97">
          <cell r="A97" t="str">
            <v>Water Heating</v>
          </cell>
          <cell r="B97" t="str">
            <v>WHTanks-NR</v>
          </cell>
          <cell r="C97" t="str">
            <v>LO12Med</v>
          </cell>
          <cell r="D97">
            <v>0.10937459468255628</v>
          </cell>
          <cell r="E97">
            <v>0.21874918936511256</v>
          </cell>
          <cell r="F97">
            <v>0.32812378404766884</v>
          </cell>
          <cell r="G97">
            <v>0.43749837873022512</v>
          </cell>
          <cell r="H97">
            <v>0.5468729734127814</v>
          </cell>
          <cell r="I97">
            <v>0.64531010862708205</v>
          </cell>
          <cell r="J97">
            <v>0.7240598167985226</v>
          </cell>
          <cell r="K97">
            <v>0.78705958333567505</v>
          </cell>
          <cell r="L97">
            <v>0.83745939656539703</v>
          </cell>
          <cell r="M97">
            <v>0.87777924714917455</v>
          </cell>
          <cell r="N97">
            <v>0.91003512761619654</v>
          </cell>
          <cell r="O97">
            <v>0.93583983198981413</v>
          </cell>
          <cell r="P97">
            <v>0.9564835954887082</v>
          </cell>
          <cell r="Q97">
            <v>0.97299860628782353</v>
          </cell>
          <cell r="R97">
            <v>0.9862106149271157</v>
          </cell>
          <cell r="S97">
            <v>0.99678022183854953</v>
          </cell>
          <cell r="T97">
            <v>0.99685231466234414</v>
          </cell>
          <cell r="U97">
            <v>0.99687806209941365</v>
          </cell>
          <cell r="V97">
            <v>0.99688683963477831</v>
          </cell>
          <cell r="W97">
            <v>0.99688970187457115</v>
          </cell>
        </row>
        <row r="98">
          <cell r="A98" t="str">
            <v>Water Heating</v>
          </cell>
          <cell r="B98" t="str">
            <v>Appliances - Clothes Washers-NR</v>
          </cell>
          <cell r="C98" t="str">
            <v>Retro20Fast</v>
          </cell>
          <cell r="D98">
            <v>0.22119921692859512</v>
          </cell>
          <cell r="E98">
            <v>0.15504311102289431</v>
          </cell>
          <cell r="F98">
            <v>0.10733128557729499</v>
          </cell>
          <cell r="G98">
            <v>8.3589689255657879E-2</v>
          </cell>
          <cell r="H98">
            <v>7.3237179880126971E-2</v>
          </cell>
          <cell r="I98">
            <v>6.3374636711760357E-2</v>
          </cell>
          <cell r="J98">
            <v>5.4291838367783084E-2</v>
          </cell>
          <cell r="K98">
            <v>4.612639225659896E-2</v>
          </cell>
          <cell r="L98">
            <v>3.8916876277172864E-2</v>
          </cell>
          <cell r="M98">
            <v>3.2639916313151704E-2</v>
          </cell>
          <cell r="N98">
            <v>2.7235706125786907E-2</v>
          </cell>
          <cell r="O98">
            <v>2.1211189258265428E-2</v>
          </cell>
          <cell r="P98">
            <v>1.6519290804212883E-2</v>
          </cell>
          <cell r="Q98">
            <v>1.2865236614105324E-2</v>
          </cell>
          <cell r="R98">
            <v>1.0019456349464106E-2</v>
          </cell>
          <cell r="S98">
            <v>7.8031604509122832E-3</v>
          </cell>
          <cell r="T98">
            <v>6.077107469602494E-3</v>
          </cell>
          <cell r="U98">
            <v>4.7328560561354371E-3</v>
          </cell>
          <cell r="V98">
            <v>3.6859520026825132E-3</v>
          </cell>
          <cell r="W98">
            <v>2.8706223060526725E-3</v>
          </cell>
        </row>
        <row r="99">
          <cell r="A99" t="str">
            <v>Water Heating</v>
          </cell>
          <cell r="B99" t="str">
            <v>Showerheads-Retro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row>
        <row r="100">
          <cell r="A100" t="str">
            <v>Water Heating</v>
          </cell>
          <cell r="B100" t="str">
            <v>Water Heating - GFHX-New</v>
          </cell>
          <cell r="C100" t="str">
            <v>Retro20Fast</v>
          </cell>
          <cell r="D100">
            <v>0.22119921692859512</v>
          </cell>
          <cell r="E100">
            <v>0.15504311102289431</v>
          </cell>
          <cell r="F100">
            <v>0.10733128557729499</v>
          </cell>
          <cell r="G100">
            <v>8.3589689255657879E-2</v>
          </cell>
          <cell r="H100">
            <v>7.3237179880126971E-2</v>
          </cell>
          <cell r="I100">
            <v>6.3374636711760357E-2</v>
          </cell>
          <cell r="J100">
            <v>5.4291838367783084E-2</v>
          </cell>
          <cell r="K100">
            <v>4.612639225659896E-2</v>
          </cell>
          <cell r="L100">
            <v>3.8916876277172864E-2</v>
          </cell>
          <cell r="M100">
            <v>3.2639916313151704E-2</v>
          </cell>
          <cell r="N100">
            <v>2.7235706125786907E-2</v>
          </cell>
          <cell r="O100">
            <v>2.1211189258265428E-2</v>
          </cell>
          <cell r="P100">
            <v>1.6519290804212883E-2</v>
          </cell>
          <cell r="Q100">
            <v>1.2865236614105324E-2</v>
          </cell>
          <cell r="R100">
            <v>1.0019456349464106E-2</v>
          </cell>
          <cell r="S100">
            <v>7.8031604509122832E-3</v>
          </cell>
          <cell r="T100">
            <v>6.077107469602494E-3</v>
          </cell>
          <cell r="U100">
            <v>4.7328560561354371E-3</v>
          </cell>
          <cell r="V100">
            <v>3.6859520026825132E-3</v>
          </cell>
          <cell r="W100">
            <v>2.8706223060526725E-3</v>
          </cell>
        </row>
        <row r="101">
          <cell r="A101" t="str">
            <v>Water Heating</v>
          </cell>
          <cell r="B101" t="str">
            <v>Demand Control Circulating system DHW-Retro</v>
          </cell>
          <cell r="C101" t="str">
            <v>RetroEven20</v>
          </cell>
          <cell r="D101">
            <v>0.05</v>
          </cell>
          <cell r="E101">
            <v>0.05</v>
          </cell>
          <cell r="F101">
            <v>0.05</v>
          </cell>
          <cell r="G101">
            <v>0.05</v>
          </cell>
          <cell r="H101">
            <v>0.05</v>
          </cell>
          <cell r="I101">
            <v>0.05</v>
          </cell>
          <cell r="J101">
            <v>0.05</v>
          </cell>
          <cell r="K101">
            <v>0.05</v>
          </cell>
          <cell r="L101">
            <v>0.05</v>
          </cell>
          <cell r="M101">
            <v>0.05</v>
          </cell>
          <cell r="N101">
            <v>0.05</v>
          </cell>
          <cell r="O101">
            <v>0.05</v>
          </cell>
          <cell r="P101">
            <v>0.05</v>
          </cell>
          <cell r="Q101">
            <v>0.05</v>
          </cell>
          <cell r="R101">
            <v>0.05</v>
          </cell>
          <cell r="S101">
            <v>0.05</v>
          </cell>
          <cell r="T101">
            <v>0.05</v>
          </cell>
          <cell r="U101">
            <v>0.05</v>
          </cell>
          <cell r="V101">
            <v>0.05</v>
          </cell>
          <cell r="W101">
            <v>0.05</v>
          </cell>
        </row>
        <row r="102">
          <cell r="A102" t="str">
            <v>Water Heating</v>
          </cell>
          <cell r="B102" t="str">
            <v>Central HPWH MF-Retro</v>
          </cell>
          <cell r="C102" t="str">
            <v>Retro20Fast</v>
          </cell>
          <cell r="D102">
            <v>0.22119921692859512</v>
          </cell>
          <cell r="E102">
            <v>0.15504311102289431</v>
          </cell>
          <cell r="F102">
            <v>0.10733128557729499</v>
          </cell>
          <cell r="G102">
            <v>8.3589689255657879E-2</v>
          </cell>
          <cell r="H102">
            <v>7.3237179880126971E-2</v>
          </cell>
          <cell r="I102">
            <v>6.3374636711760357E-2</v>
          </cell>
          <cell r="J102">
            <v>5.4291838367783084E-2</v>
          </cell>
          <cell r="K102">
            <v>4.612639225659896E-2</v>
          </cell>
          <cell r="L102">
            <v>3.8916876277172864E-2</v>
          </cell>
          <cell r="M102">
            <v>3.2639916313151704E-2</v>
          </cell>
          <cell r="N102">
            <v>2.7235706125786907E-2</v>
          </cell>
          <cell r="O102">
            <v>2.1211189258265428E-2</v>
          </cell>
          <cell r="P102">
            <v>1.6519290804212883E-2</v>
          </cell>
          <cell r="Q102">
            <v>1.2865236614105324E-2</v>
          </cell>
          <cell r="R102">
            <v>1.0019456349464106E-2</v>
          </cell>
          <cell r="S102">
            <v>7.8031604509122832E-3</v>
          </cell>
          <cell r="T102">
            <v>6.077107469602494E-3</v>
          </cell>
          <cell r="U102">
            <v>4.7328560561354371E-3</v>
          </cell>
          <cell r="V102">
            <v>3.6859520026825132E-3</v>
          </cell>
          <cell r="W102">
            <v>2.8706223060526725E-3</v>
          </cell>
        </row>
        <row r="103">
          <cell r="A103" t="str">
            <v>Whole Bldg/Meter Level</v>
          </cell>
          <cell r="B103" t="str">
            <v>Ultra Low Energy Building-New</v>
          </cell>
          <cell r="C103" t="str">
            <v>LO1Slow</v>
          </cell>
          <cell r="D103">
            <v>2.5643970768378654E-3</v>
          </cell>
          <cell r="E103">
            <v>7.6904586297764643E-3</v>
          </cell>
          <cell r="F103">
            <v>1.6792013047419844E-2</v>
          </cell>
          <cell r="G103">
            <v>3.15969387774655E-2</v>
          </cell>
          <cell r="H103">
            <v>5.406874819795171E-2</v>
          </cell>
          <cell r="I103">
            <v>8.6253181011834101E-2</v>
          </cell>
          <cell r="J103">
            <v>0.1300328481838382</v>
          </cell>
          <cell r="K103">
            <v>0.18678710893858319</v>
          </cell>
          <cell r="L103">
            <v>0.2569823480072907</v>
          </cell>
          <cell r="M103">
            <v>0.33975920985004748</v>
          </cell>
          <cell r="N103">
            <v>0.43262946935754232</v>
          </cell>
          <cell r="O103">
            <v>0.53142594003645804</v>
          </cell>
          <cell r="P103">
            <v>0.63063487292644704</v>
          </cell>
          <cell r="Q103">
            <v>0.7241560234206913</v>
          </cell>
          <cell r="R103">
            <v>0.80638203131755359</v>
          </cell>
          <cell r="S103">
            <v>0.87331559734491926</v>
          </cell>
          <cell r="T103">
            <v>0.92334516248836807</v>
          </cell>
          <cell r="U103">
            <v>0.95737002770730018</v>
          </cell>
          <cell r="V103">
            <v>0.97821608704807483</v>
          </cell>
          <cell r="W103">
            <v>0.98821608704807484</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row r="117">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t="str">
            <v/>
          </cell>
          <cell r="U117" t="str">
            <v/>
          </cell>
          <cell r="V117" t="str">
            <v/>
          </cell>
          <cell r="W117" t="str">
            <v/>
          </cell>
        </row>
        <row r="118">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t="str">
            <v/>
          </cell>
          <cell r="U118" t="str">
            <v/>
          </cell>
          <cell r="V118" t="str">
            <v/>
          </cell>
          <cell r="W118" t="str">
            <v/>
          </cell>
        </row>
        <row r="119">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t="str">
            <v/>
          </cell>
          <cell r="U119" t="str">
            <v/>
          </cell>
          <cell r="V119" t="str">
            <v/>
          </cell>
          <cell r="W119" t="str">
            <v/>
          </cell>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row>
        <row r="16">
          <cell r="B16" t="str">
            <v>Smart Plug Power Strips-Retro</v>
          </cell>
        </row>
        <row r="17">
          <cell r="B17" t="str">
            <v>Data Centers-NR</v>
          </cell>
        </row>
        <row r="18">
          <cell r="B18" t="str">
            <v>Monitor-NR</v>
          </cell>
        </row>
        <row r="19">
          <cell r="B19" t="str">
            <v>Desktop-NR</v>
          </cell>
        </row>
        <row r="20">
          <cell r="B20" t="str">
            <v>Pre-Rinse Spray Valve-Retro</v>
          </cell>
        </row>
        <row r="21">
          <cell r="B21" t="str">
            <v>Cooking Equipment-NR</v>
          </cell>
        </row>
        <row r="22">
          <cell r="B22" t="str">
            <v>DHP-New</v>
          </cell>
        </row>
        <row r="23">
          <cell r="B23" t="str">
            <v>DHP-Retro</v>
          </cell>
        </row>
        <row r="24">
          <cell r="B24" t="str">
            <v>Glass-New</v>
          </cell>
        </row>
        <row r="25">
          <cell r="B25" t="str">
            <v>Glass-NR</v>
          </cell>
        </row>
        <row r="26">
          <cell r="B26" t="str">
            <v>ControllerLite-Retro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4.9500000000000004E-3</v>
          </cell>
          <cell r="D55">
            <v>6.93E-2</v>
          </cell>
          <cell r="E55">
            <v>6.93E-2</v>
          </cell>
          <cell r="F55">
            <v>2.4750000000000001E-2</v>
          </cell>
          <cell r="G55">
            <v>2.4750000000000001E-2</v>
          </cell>
          <cell r="H55">
            <v>2.4750000000000001E-2</v>
          </cell>
          <cell r="I55">
            <v>2.4750000000000001E-2</v>
          </cell>
          <cell r="J55">
            <v>6.93E-2</v>
          </cell>
          <cell r="K55">
            <v>6.93E-2</v>
          </cell>
          <cell r="L55">
            <v>9.8999999999999999E-4</v>
          </cell>
          <cell r="M55">
            <v>4.9500000000000004E-3</v>
          </cell>
          <cell r="N55">
            <v>4.9500000000000004E-3</v>
          </cell>
          <cell r="O55">
            <v>2.4750000000000001E-2</v>
          </cell>
          <cell r="P55">
            <v>6.93E-2</v>
          </cell>
          <cell r="Q55">
            <v>4.9500000000000004E-3</v>
          </cell>
          <cell r="R55">
            <v>6.93E-2</v>
          </cell>
          <cell r="S55">
            <v>2.4750000000000001E-2</v>
          </cell>
          <cell r="T55">
            <v>6.93E-2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Low Power LF Lamps-NR</v>
          </cell>
        </row>
        <row r="73">
          <cell r="B73" t="str">
            <v>LEC Exit Sign-New</v>
          </cell>
        </row>
        <row r="74">
          <cell r="B74" t="str">
            <v>LEC Exit Sign-NR</v>
          </cell>
        </row>
        <row r="75">
          <cell r="B75" t="str">
            <v>Bi-Level Stairwell Lighting-NR</v>
          </cell>
        </row>
        <row r="76">
          <cell r="B76" t="str">
            <v>ECM-VAV-New</v>
          </cell>
        </row>
        <row r="77">
          <cell r="B77" t="str">
            <v>ECM-VAV-NR</v>
          </cell>
        </row>
        <row r="78">
          <cell r="B78" t="str">
            <v>Pool pumps-Retro</v>
          </cell>
        </row>
        <row r="79">
          <cell r="B79" t="str">
            <v>MotorsRewind-New</v>
          </cell>
        </row>
        <row r="80">
          <cell r="B80" t="str">
            <v>MotorsRewind-NR</v>
          </cell>
        </row>
        <row r="81">
          <cell r="B81" t="str">
            <v>Municipal Sewage Treatment-Retro</v>
          </cell>
        </row>
        <row r="82">
          <cell r="B82" t="str">
            <v>Municipal Water Supply-Retro</v>
          </cell>
        </row>
        <row r="83">
          <cell r="B83" t="str">
            <v>Engine Generator Block Heaters-Retro</v>
          </cell>
        </row>
        <row r="84">
          <cell r="B84" t="str">
            <v>Grocery Refrigeration Bundle-Retro</v>
          </cell>
        </row>
        <row r="85">
          <cell r="B85" t="str">
            <v>Packaged Refrigeration Equipment-New</v>
          </cell>
        </row>
        <row r="86">
          <cell r="B86" t="str">
            <v>Appliances - Freezers-NR</v>
          </cell>
        </row>
        <row r="87">
          <cell r="B87" t="str">
            <v>Appliances - Refrigerators-NR</v>
          </cell>
        </row>
        <row r="88">
          <cell r="B88" t="str">
            <v>Water Cooler Controls-NR</v>
          </cell>
        </row>
        <row r="89">
          <cell r="B89" t="str">
            <v>WHTanks-New</v>
          </cell>
        </row>
        <row r="90">
          <cell r="B90" t="str">
            <v>WHTanks-NR</v>
          </cell>
        </row>
        <row r="91">
          <cell r="B91" t="str">
            <v>Appliances - Clothes Washers-NR</v>
          </cell>
        </row>
        <row r="92">
          <cell r="B92" t="str">
            <v>Showerheads-Retro</v>
          </cell>
        </row>
        <row r="93">
          <cell r="B93" t="str">
            <v>Water Heating - GFHX-New</v>
          </cell>
        </row>
        <row r="94">
          <cell r="B94" t="str">
            <v>Demand Control Circulating system DHW-Retro</v>
          </cell>
        </row>
        <row r="95">
          <cell r="B95" t="str">
            <v>Central HPWH MF-Retro</v>
          </cell>
        </row>
        <row r="96">
          <cell r="B96" t="str">
            <v>Ultra Low Energy Building-New</v>
          </cell>
          <cell r="C96">
            <v>0.95</v>
          </cell>
          <cell r="D96">
            <v>0.19999999999999996</v>
          </cell>
          <cell r="E96">
            <v>0.19999999999999996</v>
          </cell>
          <cell r="F96">
            <v>0.75</v>
          </cell>
          <cell r="G96">
            <v>0.75</v>
          </cell>
          <cell r="H96">
            <v>0.75</v>
          </cell>
          <cell r="I96">
            <v>0.75</v>
          </cell>
          <cell r="J96">
            <v>0.19999999999999996</v>
          </cell>
          <cell r="K96">
            <v>0.19999999999999996</v>
          </cell>
          <cell r="L96">
            <v>0.99</v>
          </cell>
          <cell r="M96">
            <v>0.95</v>
          </cell>
          <cell r="N96">
            <v>0.95</v>
          </cell>
          <cell r="O96">
            <v>0.75</v>
          </cell>
          <cell r="P96">
            <v>0.30000000000000004</v>
          </cell>
          <cell r="Q96">
            <v>0.95</v>
          </cell>
          <cell r="R96">
            <v>0.19999999999999996</v>
          </cell>
          <cell r="S96">
            <v>0.75</v>
          </cell>
          <cell r="T96">
            <v>0.19999999999999996</v>
          </cell>
        </row>
      </sheetData>
      <sheetData sheetId="9">
        <row r="11">
          <cell r="B11" t="str">
            <v>LO12Med</v>
          </cell>
          <cell r="C11">
            <v>0.10937459468255628</v>
          </cell>
          <cell r="D11">
            <v>0.21874918936511256</v>
          </cell>
          <cell r="E11">
            <v>0.32812378404766884</v>
          </cell>
          <cell r="F11">
            <v>0.43749837873022512</v>
          </cell>
          <cell r="G11">
            <v>0.5468729734127814</v>
          </cell>
          <cell r="H11">
            <v>0.64531010862708205</v>
          </cell>
          <cell r="I11">
            <v>0.7240598167985226</v>
          </cell>
          <cell r="J11">
            <v>0.78705958333567505</v>
          </cell>
          <cell r="K11">
            <v>0.83745939656539703</v>
          </cell>
          <cell r="L11">
            <v>0.87777924714917455</v>
          </cell>
          <cell r="M11">
            <v>0.91003512761619654</v>
          </cell>
          <cell r="N11">
            <v>0.93583983198981413</v>
          </cell>
          <cell r="O11">
            <v>0.9564835954887082</v>
          </cell>
          <cell r="P11">
            <v>0.97299860628782353</v>
          </cell>
          <cell r="Q11">
            <v>0.9862106149271157</v>
          </cell>
          <cell r="R11">
            <v>0.99678022183854953</v>
          </cell>
          <cell r="S11">
            <v>0.99685231466234414</v>
          </cell>
          <cell r="T11">
            <v>0.99687806209941365</v>
          </cell>
          <cell r="U11">
            <v>0.99688683963477831</v>
          </cell>
        </row>
        <row r="12">
          <cell r="B12" t="str">
            <v>LO5Med</v>
          </cell>
          <cell r="C12">
            <v>4.2999999999999997E-2</v>
          </cell>
          <cell r="D12">
            <v>9.5797142280278316E-2</v>
          </cell>
          <cell r="E12">
            <v>0.16040539374775648</v>
          </cell>
          <cell r="F12">
            <v>0.23540539374775649</v>
          </cell>
          <cell r="G12">
            <v>0.32095239121809005</v>
          </cell>
          <cell r="H12">
            <v>0.42096711425629652</v>
          </cell>
          <cell r="I12">
            <v>0.53068481860864725</v>
          </cell>
          <cell r="J12">
            <v>0.642769203728351</v>
          </cell>
          <cell r="K12">
            <v>0.74839528535557953</v>
          </cell>
          <cell r="L12">
            <v>0.83918984935345187</v>
          </cell>
          <cell r="M12">
            <v>0.90945051634530116</v>
          </cell>
          <cell r="N12">
            <v>0.9576688767502457</v>
          </cell>
          <cell r="O12">
            <v>0.9865231113648858</v>
          </cell>
          <cell r="P12">
            <v>1.0012970762896924</v>
          </cell>
          <cell r="Q12">
            <v>1.0076356106578106</v>
          </cell>
          <cell r="R12">
            <v>1.0098624683774413</v>
          </cell>
          <cell r="S12">
            <v>1.0104871783970797</v>
          </cell>
          <cell r="T12">
            <v>1.010623336815976</v>
          </cell>
          <cell r="U12">
            <v>1.0106457174525985</v>
          </cell>
          <cell r="V12">
            <v>1.0106484038909742</v>
          </cell>
        </row>
        <row r="13">
          <cell r="B13" t="str">
            <v>LO1Slow</v>
          </cell>
          <cell r="C13">
            <v>2.5643970768378654E-3</v>
          </cell>
          <cell r="D13">
            <v>7.6904586297764643E-3</v>
          </cell>
          <cell r="E13">
            <v>1.6792013047419844E-2</v>
          </cell>
          <cell r="F13">
            <v>3.15969387774655E-2</v>
          </cell>
          <cell r="G13">
            <v>5.406874819795171E-2</v>
          </cell>
          <cell r="H13">
            <v>8.6253181011834101E-2</v>
          </cell>
          <cell r="I13">
            <v>0.1300328481838382</v>
          </cell>
          <cell r="J13">
            <v>0.18678710893858319</v>
          </cell>
          <cell r="K13">
            <v>0.2569823480072907</v>
          </cell>
          <cell r="L13">
            <v>0.33975920985004748</v>
          </cell>
          <cell r="M13">
            <v>0.43262946935754232</v>
          </cell>
          <cell r="N13">
            <v>0.53142594003645804</v>
          </cell>
          <cell r="O13">
            <v>0.63063487292644704</v>
          </cell>
          <cell r="P13">
            <v>0.7241560234206913</v>
          </cell>
          <cell r="Q13">
            <v>0.80638203131755359</v>
          </cell>
          <cell r="R13">
            <v>0.87331559734491926</v>
          </cell>
          <cell r="S13">
            <v>0.92334516248836807</v>
          </cell>
          <cell r="T13">
            <v>0.95737002770730018</v>
          </cell>
          <cell r="U13">
            <v>0.97821608704807483</v>
          </cell>
          <cell r="V13">
            <v>0.98821608704807484</v>
          </cell>
        </row>
        <row r="14">
          <cell r="B14" t="str">
            <v>LO50Fast</v>
          </cell>
          <cell r="C14">
            <v>0.45</v>
          </cell>
          <cell r="D14">
            <v>0.66</v>
          </cell>
          <cell r="E14">
            <v>0.8</v>
          </cell>
          <cell r="F14">
            <v>0.89</v>
          </cell>
          <cell r="G14">
            <v>0.94954036260972652</v>
          </cell>
          <cell r="H14">
            <v>0.97931054391458994</v>
          </cell>
          <cell r="I14">
            <v>0.99254173560564019</v>
          </cell>
          <cell r="J14">
            <v>0.99783421228206048</v>
          </cell>
          <cell r="K14">
            <v>0.99975874925530417</v>
          </cell>
          <cell r="L14">
            <v>1.0004002615797187</v>
          </cell>
          <cell r="M14">
            <v>1.0005976499872309</v>
          </cell>
          <cell r="N14">
            <v>1.0006540466750915</v>
          </cell>
          <cell r="O14">
            <v>1.0006690857918545</v>
          </cell>
          <cell r="P14">
            <v>1.000672845571045</v>
          </cell>
          <cell r="Q14">
            <v>1.0006737302249724</v>
          </cell>
          <cell r="R14">
            <v>1.0006739268147338</v>
          </cell>
          <cell r="S14">
            <v>1.0006739682020522</v>
          </cell>
          <cell r="T14">
            <v>1.0006739764795158</v>
          </cell>
          <cell r="U14">
            <v>1.0006739780561755</v>
          </cell>
          <cell r="V14">
            <v>1.0006739783428409</v>
          </cell>
        </row>
        <row r="15">
          <cell r="B15" t="str">
            <v>LO20Fast</v>
          </cell>
          <cell r="C15">
            <v>0.22119921692859512</v>
          </cell>
          <cell r="D15">
            <v>0.37624232795148943</v>
          </cell>
          <cell r="E15">
            <v>0.48357361352878442</v>
          </cell>
          <cell r="F15">
            <v>0.56716330278444227</v>
          </cell>
          <cell r="G15">
            <v>0.64040048266456928</v>
          </cell>
          <cell r="H15">
            <v>0.70377511937632964</v>
          </cell>
          <cell r="I15">
            <v>0.7580669577441127</v>
          </cell>
          <cell r="J15">
            <v>0.80419335000071168</v>
          </cell>
          <cell r="K15">
            <v>0.84311022627788457</v>
          </cell>
          <cell r="L15">
            <v>0.87575014259103623</v>
          </cell>
          <cell r="M15">
            <v>0.90298584871682319</v>
          </cell>
          <cell r="N15">
            <v>0.92419703797508856</v>
          </cell>
          <cell r="O15">
            <v>0.94071632877930145</v>
          </cell>
          <cell r="P15">
            <v>0.95358156539340677</v>
          </cell>
          <cell r="Q15">
            <v>0.96360102174287088</v>
          </cell>
          <cell r="R15">
            <v>0.97140418219378311</v>
          </cell>
          <cell r="S15">
            <v>0.97748128966338554</v>
          </cell>
          <cell r="T15">
            <v>0.98221414571952104</v>
          </cell>
          <cell r="U15">
            <v>0.98590009772220355</v>
          </cell>
          <cell r="V15">
            <v>0.98877072002825628</v>
          </cell>
        </row>
        <row r="16">
          <cell r="B16" t="str">
            <v>LOEven20</v>
          </cell>
          <cell r="C16">
            <v>0.05</v>
          </cell>
          <cell r="D16">
            <v>0.1</v>
          </cell>
          <cell r="E16">
            <v>0.15000000000000002</v>
          </cell>
          <cell r="F16">
            <v>0.2</v>
          </cell>
          <cell r="G16">
            <v>0.25</v>
          </cell>
          <cell r="H16">
            <v>0.3</v>
          </cell>
          <cell r="I16">
            <v>0.35</v>
          </cell>
          <cell r="J16">
            <v>0.39999999999999997</v>
          </cell>
          <cell r="K16">
            <v>0.44999999999999996</v>
          </cell>
          <cell r="L16">
            <v>0.49999999999999994</v>
          </cell>
          <cell r="M16">
            <v>0.54999999999999993</v>
          </cell>
          <cell r="N16">
            <v>0.6</v>
          </cell>
          <cell r="O16">
            <v>0.65</v>
          </cell>
          <cell r="P16">
            <v>0.70000000000000007</v>
          </cell>
          <cell r="Q16">
            <v>0.75000000000000011</v>
          </cell>
          <cell r="R16">
            <v>0.80000000000000016</v>
          </cell>
          <cell r="S16">
            <v>0.8500000000000002</v>
          </cell>
          <cell r="T16">
            <v>0.90000000000000024</v>
          </cell>
          <cell r="U16">
            <v>0.95000000000000029</v>
          </cell>
          <cell r="V16">
            <v>1.0000000000000002</v>
          </cell>
        </row>
        <row r="17">
          <cell r="B17" t="str">
            <v>LOMax60</v>
          </cell>
          <cell r="C17">
            <v>0.01</v>
          </cell>
          <cell r="D17">
            <v>2.98E-2</v>
          </cell>
          <cell r="E17">
            <v>5.8906E-2</v>
          </cell>
          <cell r="F17">
            <v>9.6549759999999998E-2</v>
          </cell>
          <cell r="G17">
            <v>0.14172227199999998</v>
          </cell>
          <cell r="H17">
            <v>0.19035800991999999</v>
          </cell>
          <cell r="I17">
            <v>0.2362377226912</v>
          </cell>
          <cell r="J17">
            <v>0.279517585072032</v>
          </cell>
          <cell r="K17">
            <v>0.32034492191795017</v>
          </cell>
          <cell r="L17">
            <v>0.35885870967593297</v>
          </cell>
          <cell r="M17">
            <v>0.39519004946096342</v>
          </cell>
          <cell r="N17">
            <v>0.42946261332484215</v>
          </cell>
          <cell r="O17">
            <v>0.46179306523643443</v>
          </cell>
          <cell r="P17">
            <v>0.49229145820636983</v>
          </cell>
          <cell r="Q17">
            <v>0.5210616089080089</v>
          </cell>
          <cell r="R17">
            <v>0.54820145106988838</v>
          </cell>
          <cell r="S17">
            <v>0.57380336884259475</v>
          </cell>
          <cell r="T17">
            <v>0.59795451127484767</v>
          </cell>
          <cell r="U17">
            <v>0.62073708896927293</v>
          </cell>
          <cell r="V17">
            <v>0.6422286539276808</v>
          </cell>
        </row>
        <row r="18">
          <cell r="B18" t="str">
            <v>LO3Slow</v>
          </cell>
          <cell r="C18">
            <v>5.5320496977002724E-3</v>
          </cell>
          <cell r="D18">
            <v>1.4227918344261844E-2</v>
          </cell>
          <cell r="E18">
            <v>3.1619655637384989E-2</v>
          </cell>
          <cell r="F18">
            <v>6.2055195900350503E-2</v>
          </cell>
          <cell r="G18">
            <v>0.10939936964274129</v>
          </cell>
          <cell r="H18">
            <v>0.17568121288208835</v>
          </cell>
          <cell r="I18">
            <v>0.26003992245943919</v>
          </cell>
          <cell r="J18">
            <v>0.3584584169663485</v>
          </cell>
          <cell r="K18">
            <v>0.46444756489686617</v>
          </cell>
          <cell r="L18">
            <v>0.57043671282738384</v>
          </cell>
          <cell r="M18">
            <v>0.66935991756253377</v>
          </cell>
          <cell r="N18">
            <v>0.75591772170578986</v>
          </cell>
          <cell r="O18">
            <v>0.82720061923553012</v>
          </cell>
          <cell r="P18">
            <v>0.88264287286977261</v>
          </cell>
          <cell r="Q18">
            <v>0.92349505975816193</v>
          </cell>
          <cell r="R18">
            <v>0.95209159058003434</v>
          </cell>
          <cell r="S18">
            <v>0.97115594446128262</v>
          </cell>
          <cell r="T18">
            <v>0.98328780602207699</v>
          </cell>
          <cell r="U18">
            <v>0.99067241740690848</v>
          </cell>
          <cell r="V18">
            <v>0.99498010738139331</v>
          </cell>
        </row>
      </sheetData>
      <sheetData sheetId="10">
        <row r="11">
          <cell r="B11" t="str">
            <v>Compressed Air-NR</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cell r="V12">
            <v>0.24</v>
          </cell>
          <cell r="W12">
            <v>0.24</v>
          </cell>
          <cell r="X12">
            <v>0.21</v>
          </cell>
        </row>
        <row r="13">
          <cell r="B13" t="str">
            <v>Laptop-NR</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cell r="V13">
            <v>0.5</v>
          </cell>
          <cell r="W13">
            <v>0.5</v>
          </cell>
          <cell r="X13">
            <v>0.2</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cell r="V14">
            <v>0.12</v>
          </cell>
          <cell r="W14">
            <v>0.12</v>
          </cell>
          <cell r="X14">
            <v>0.16800000000000001</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cell r="V16">
            <v>0.59</v>
          </cell>
          <cell r="W16">
            <v>0.6</v>
          </cell>
          <cell r="X16">
            <v>0.67</v>
          </cell>
        </row>
        <row r="17">
          <cell r="B17" t="str">
            <v>Data Centers-NR</v>
          </cell>
          <cell r="C17" t="str">
            <v>Only fraction beyond switching in code baseline OR</v>
          </cell>
          <cell r="F17" t="str">
            <v>Fraction with ElecHt</v>
          </cell>
          <cell r="G17">
            <v>9.379008321141083E-2</v>
          </cell>
          <cell r="H17">
            <v>5.7141018201974592E-2</v>
          </cell>
          <cell r="I17">
            <v>6.3540893141458221E-2</v>
          </cell>
          <cell r="J17">
            <v>0.52114684573848291</v>
          </cell>
          <cell r="K17">
            <v>0.64094486042254439</v>
          </cell>
          <cell r="L17">
            <v>0.56159710090996928</v>
          </cell>
          <cell r="M17">
            <v>0.19952525247533903</v>
          </cell>
          <cell r="N17">
            <v>0.22286467137317267</v>
          </cell>
          <cell r="O17">
            <v>0.15885643507420852</v>
          </cell>
          <cell r="P17">
            <v>0.52114684573848291</v>
          </cell>
          <cell r="Q17">
            <v>1.5377816133020691E-2</v>
          </cell>
          <cell r="R17">
            <v>0</v>
          </cell>
          <cell r="S17">
            <v>5.5212362541074519E-2</v>
          </cell>
          <cell r="T17">
            <v>0.34342063041492848</v>
          </cell>
          <cell r="U17">
            <v>0.10311447532768504</v>
          </cell>
          <cell r="V17">
            <v>5.6083613809662864E-3</v>
          </cell>
          <cell r="W17">
            <v>5.6083613809662864E-3</v>
          </cell>
          <cell r="X17">
            <v>0.24031041917780901</v>
          </cell>
        </row>
        <row r="18">
          <cell r="B18" t="str">
            <v>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cell r="V18">
            <v>0.5</v>
          </cell>
          <cell r="W18">
            <v>0.5</v>
          </cell>
          <cell r="X18">
            <v>0.9</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DHP-New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DHP-Retro</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ControllerLite-Retro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Economizer-Retro</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3">
          <cell r="B53" t="str">
            <v>ElecHTDHP%TYP</v>
          </cell>
          <cell r="C53">
            <v>0</v>
          </cell>
          <cell r="D53">
            <v>9.3666492863930473E-2</v>
          </cell>
          <cell r="E53">
            <v>0.18093220414775901</v>
          </cell>
          <cell r="F53">
            <v>0</v>
          </cell>
          <cell r="G53">
            <v>0</v>
          </cell>
          <cell r="H53">
            <v>0.1845720316176401</v>
          </cell>
          <cell r="I53">
            <v>0.23278079179476083</v>
          </cell>
          <cell r="J53">
            <v>3.7519732135274744E-4</v>
          </cell>
          <cell r="K53">
            <v>0</v>
          </cell>
          <cell r="L53">
            <v>4.0847109948506629E-3</v>
          </cell>
          <cell r="M53">
            <v>0</v>
          </cell>
          <cell r="N53">
            <v>5.4746597404996745E-2</v>
          </cell>
          <cell r="O53">
            <v>2.9347519170761286E-2</v>
          </cell>
          <cell r="P53">
            <v>4.3510047797893039E-2</v>
          </cell>
          <cell r="Q53">
            <v>0</v>
          </cell>
          <cell r="R53">
            <v>6.9159304953855333E-2</v>
          </cell>
          <cell r="S53">
            <v>6.6382185345618808E-2</v>
          </cell>
          <cell r="T53">
            <v>3.7441828223745317E-2</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cell r="U74" t="str">
            <v>See com-EM workbook</v>
          </cell>
          <cell r="Y74" t="str">
            <v>Grand Total</v>
          </cell>
        </row>
        <row r="75">
          <cell r="B75" t="str">
            <v>BuiltUp%ACT</v>
          </cell>
          <cell r="C75">
            <v>0.32107129566956238</v>
          </cell>
          <cell r="F75">
            <v>5.0679867043271966E-2</v>
          </cell>
          <cell r="J75">
            <v>0.45710103517657202</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0.62956237771067991</v>
          </cell>
          <cell r="D89">
            <v>0.31768861920643965</v>
          </cell>
          <cell r="E89">
            <v>7.4025179596472243E-2</v>
          </cell>
          <cell r="F89">
            <v>0.58848968508223554</v>
          </cell>
          <cell r="G89">
            <v>0.26543424358205331</v>
          </cell>
          <cell r="H89">
            <v>0.20684893583537547</v>
          </cell>
          <cell r="I89">
            <v>1.359721457325402E-2</v>
          </cell>
          <cell r="J89">
            <v>0.46813873620144136</v>
          </cell>
          <cell r="K89">
            <v>0.46813873620144136</v>
          </cell>
          <cell r="L89">
            <v>0.14833205060637186</v>
          </cell>
          <cell r="M89">
            <v>0.52268307357406485</v>
          </cell>
          <cell r="N89">
            <v>0.20352640884178452</v>
          </cell>
          <cell r="O89">
            <v>0.32869617366969917</v>
          </cell>
          <cell r="P89">
            <v>0.10423431348186975</v>
          </cell>
          <cell r="Q89">
            <v>0.56873556010588189</v>
          </cell>
          <cell r="R89">
            <v>7.8731272985480064E-2</v>
          </cell>
          <cell r="S89">
            <v>0.39859901805810533</v>
          </cell>
          <cell r="T89">
            <v>0.41988093429192064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B101" t="str">
            <v>ElecHTDHP%TYP</v>
          </cell>
          <cell r="C101">
            <v>0</v>
          </cell>
          <cell r="D101">
            <v>9.3666492863930473E-2</v>
          </cell>
          <cell r="E101">
            <v>0.18093220414775901</v>
          </cell>
          <cell r="F101">
            <v>0</v>
          </cell>
          <cell r="G101">
            <v>0</v>
          </cell>
          <cell r="H101">
            <v>0.1845720316176401</v>
          </cell>
          <cell r="I101">
            <v>0.23278079179476083</v>
          </cell>
          <cell r="J101">
            <v>3.7519732135274744E-4</v>
          </cell>
          <cell r="K101">
            <v>0</v>
          </cell>
          <cell r="L101">
            <v>4.0847109948506629E-3</v>
          </cell>
          <cell r="M101">
            <v>0</v>
          </cell>
          <cell r="N101">
            <v>5.4746597404996745E-2</v>
          </cell>
          <cell r="O101">
            <v>2.9347519170761286E-2</v>
          </cell>
          <cell r="P101">
            <v>4.3510047797893039E-2</v>
          </cell>
          <cell r="Q101">
            <v>0</v>
          </cell>
          <cell r="R101">
            <v>6.9159304953855333E-2</v>
          </cell>
          <cell r="S101">
            <v>6.6382185345618808E-2</v>
          </cell>
          <cell r="T101">
            <v>3.7441828223745317E-2</v>
          </cell>
          <cell r="U101" t="str">
            <v>Applicability for DHP, from CBSA</v>
          </cell>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row r="120">
          <cell r="Y120" t="str">
            <v>&lt;5,001</v>
          </cell>
        </row>
        <row r="121">
          <cell r="Y121" t="str">
            <v>5,001-20,000</v>
          </cell>
        </row>
        <row r="122">
          <cell r="Y122" t="str">
            <v>20,001-50,000</v>
          </cell>
        </row>
      </sheetData>
      <sheetData sheetId="12">
        <row r="11">
          <cell r="B11" t="str">
            <v>Large Ret</v>
          </cell>
          <cell r="M11">
            <v>31.55076</v>
          </cell>
          <cell r="N11">
            <v>9.4201798094731004E-3</v>
          </cell>
        </row>
        <row r="12">
          <cell r="B12" t="str">
            <v>Medium Ret</v>
          </cell>
          <cell r="M12">
            <v>346.19952999999998</v>
          </cell>
          <cell r="N12">
            <v>0.10336555514209726</v>
          </cell>
          <cell r="V12" t="str">
            <v>Medium Ret</v>
          </cell>
          <cell r="W12">
            <v>346199530</v>
          </cell>
          <cell r="X12">
            <v>0.10336555514209725</v>
          </cell>
        </row>
        <row r="13">
          <cell r="B13" t="str">
            <v>Small Ret</v>
          </cell>
          <cell r="M13">
            <v>59.225870599999993</v>
          </cell>
          <cell r="N13">
            <v>1.7683198453051097E-2</v>
          </cell>
          <cell r="V13" t="str">
            <v>Small Ret</v>
          </cell>
          <cell r="W13">
            <v>59225870.599999994</v>
          </cell>
          <cell r="X13">
            <v>1.768319845305109E-2</v>
          </cell>
        </row>
        <row r="14">
          <cell r="B14" t="str">
            <v>School K-12</v>
          </cell>
          <cell r="M14">
            <v>245.35316429999997</v>
          </cell>
          <cell r="N14">
            <v>7.3255633922263544E-2</v>
          </cell>
          <cell r="V14" t="str">
            <v>School K-12</v>
          </cell>
          <cell r="W14">
            <v>245353164.29999998</v>
          </cell>
          <cell r="X14">
            <v>7.325563392226353E-2</v>
          </cell>
        </row>
        <row r="15">
          <cell r="B15" t="str">
            <v>University</v>
          </cell>
          <cell r="M15">
            <v>123.989124</v>
          </cell>
          <cell r="N15">
            <v>3.701970546823774E-2</v>
          </cell>
          <cell r="V15" t="str">
            <v>University</v>
          </cell>
          <cell r="W15">
            <v>123989124</v>
          </cell>
          <cell r="X15">
            <v>3.7019705468237733E-2</v>
          </cell>
        </row>
        <row r="16">
          <cell r="B16" t="str">
            <v>Warehouse</v>
          </cell>
          <cell r="M16">
            <v>442.22405430000003</v>
          </cell>
          <cell r="N16">
            <v>0.13203580856943528</v>
          </cell>
          <cell r="V16" t="str">
            <v>Warehouse</v>
          </cell>
          <cell r="W16">
            <v>442224054.30000001</v>
          </cell>
          <cell r="X16">
            <v>0.13203580856943525</v>
          </cell>
        </row>
        <row r="17">
          <cell r="B17" t="str">
            <v>Supermarket</v>
          </cell>
          <cell r="M17">
            <v>65.429751400000001</v>
          </cell>
          <cell r="N17">
            <v>1.9535504789016944E-2</v>
          </cell>
          <cell r="V17" t="str">
            <v>Supermarket</v>
          </cell>
          <cell r="W17">
            <v>65429751.399999999</v>
          </cell>
          <cell r="X17">
            <v>1.9535504789016941E-2</v>
          </cell>
        </row>
        <row r="18">
          <cell r="B18" t="str">
            <v>MiniMart</v>
          </cell>
          <cell r="M18">
            <v>11.691088099999998</v>
          </cell>
          <cell r="N18">
            <v>3.4906338887047794E-3</v>
          </cell>
          <cell r="V18" t="str">
            <v>MiniMart</v>
          </cell>
          <cell r="W18">
            <v>11691088.099999998</v>
          </cell>
          <cell r="X18">
            <v>3.4906338887047785E-3</v>
          </cell>
        </row>
        <row r="19">
          <cell r="B19" t="str">
            <v>Restaurant</v>
          </cell>
          <cell r="M19">
            <v>53.036741800000001</v>
          </cell>
          <cell r="N19">
            <v>1.5835296654172451E-2</v>
          </cell>
          <cell r="V19" t="str">
            <v>Restaurant</v>
          </cell>
          <cell r="W19">
            <v>53036741.800000004</v>
          </cell>
          <cell r="X19">
            <v>1.5835296654172448E-2</v>
          </cell>
        </row>
        <row r="20">
          <cell r="B20" t="str">
            <v>Lodging</v>
          </cell>
          <cell r="M20">
            <v>171.0409248</v>
          </cell>
          <cell r="N20">
            <v>5.1068065124091046E-2</v>
          </cell>
          <cell r="V20" t="str">
            <v>Lodging</v>
          </cell>
          <cell r="W20">
            <v>171040924.80000001</v>
          </cell>
          <cell r="X20">
            <v>5.1068065124091039E-2</v>
          </cell>
        </row>
        <row r="21">
          <cell r="B21" t="str">
            <v>Hospital</v>
          </cell>
          <cell r="M21">
            <v>103.75403529999998</v>
          </cell>
          <cell r="N21">
            <v>3.0978070527759683E-2</v>
          </cell>
          <cell r="V21" t="str">
            <v>Hospital</v>
          </cell>
          <cell r="W21">
            <v>103754035.29999998</v>
          </cell>
          <cell r="X21">
            <v>3.0978070527759676E-2</v>
          </cell>
        </row>
        <row r="22">
          <cell r="B22" t="str">
            <v>Residential Care</v>
          </cell>
          <cell r="M22">
            <v>125.16063630000001</v>
          </cell>
          <cell r="N22">
            <v>3.7369486472404026E-2</v>
          </cell>
          <cell r="V22" t="str">
            <v>Residential Care</v>
          </cell>
          <cell r="W22">
            <v>125160636.30000001</v>
          </cell>
          <cell r="X22">
            <v>3.7369486472404019E-2</v>
          </cell>
        </row>
        <row r="23">
          <cell r="B23" t="str">
            <v>Assembly</v>
          </cell>
          <cell r="M23">
            <v>368.87205360000002</v>
          </cell>
          <cell r="N23">
            <v>0.11013494038183547</v>
          </cell>
          <cell r="V23" t="str">
            <v>Assembly</v>
          </cell>
          <cell r="W23">
            <v>368872053.60000002</v>
          </cell>
          <cell r="X23">
            <v>0.11013494038183544</v>
          </cell>
        </row>
        <row r="24">
          <cell r="B24" t="str">
            <v>Other</v>
          </cell>
          <cell r="M24">
            <v>333.43446839999996</v>
          </cell>
          <cell r="N24">
            <v>9.9554262623279946E-2</v>
          </cell>
          <cell r="V24" t="str">
            <v>Other</v>
          </cell>
          <cell r="W24">
            <v>333434468.39999998</v>
          </cell>
          <cell r="X24">
            <v>9.9554262623279918E-2</v>
          </cell>
        </row>
        <row r="25">
          <cell r="W25">
            <v>3349273648.5000005</v>
          </cell>
          <cell r="X25">
            <v>0.99999999999999989</v>
          </cell>
        </row>
        <row r="26">
          <cell r="M26">
            <v>3349.2736484999996</v>
          </cell>
          <cell r="N26">
            <v>1</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O13" t="e">
            <v>#REF!</v>
          </cell>
          <cell r="P13" t="e">
            <v>#REF!</v>
          </cell>
          <cell r="Q13" t="e">
            <v>#REF!</v>
          </cell>
          <cell r="R13" t="e">
            <v>#REF!</v>
          </cell>
          <cell r="S13" t="e">
            <v>#REF!</v>
          </cell>
          <cell r="T13" t="e">
            <v>#REF!</v>
          </cell>
          <cell r="U13" t="e">
            <v>#REF!</v>
          </cell>
        </row>
        <row r="14">
          <cell r="B14" t="e">
            <v>#REF!</v>
          </cell>
          <cell r="C14" t="e">
            <v>#REF!</v>
          </cell>
          <cell r="F14" t="e">
            <v>#REF!</v>
          </cell>
          <cell r="J14" t="e">
            <v>#REF!</v>
          </cell>
          <cell r="L14" t="e">
            <v>#REF!</v>
          </cell>
          <cell r="M14" t="e">
            <v>#REF!</v>
          </cell>
          <cell r="O14" t="e">
            <v>#REF!</v>
          </cell>
          <cell r="P14" t="e">
            <v>#REF!</v>
          </cell>
          <cell r="Q14" t="e">
            <v>#REF!</v>
          </cell>
          <cell r="S14" t="e">
            <v>#REF!</v>
          </cell>
          <cell r="T14" t="e">
            <v>#REF!</v>
          </cell>
          <cell r="U14"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Q15" t="e">
            <v>#REF!</v>
          </cell>
          <cell r="R15" t="e">
            <v>#REF!</v>
          </cell>
          <cell r="S15" t="e">
            <v>#REF!</v>
          </cell>
          <cell r="T15" t="e">
            <v>#REF!</v>
          </cell>
          <cell r="U15" t="e">
            <v>#REF!</v>
          </cell>
        </row>
        <row r="16">
          <cell r="B16" t="e">
            <v>#REF!</v>
          </cell>
          <cell r="C16" t="e">
            <v>#REF!</v>
          </cell>
          <cell r="F16" t="e">
            <v>#REF!</v>
          </cell>
          <cell r="J16" t="e">
            <v>#REF!</v>
          </cell>
          <cell r="L16" t="e">
            <v>#REF!</v>
          </cell>
          <cell r="M16" t="e">
            <v>#REF!</v>
          </cell>
          <cell r="O16" t="e">
            <v>#REF!</v>
          </cell>
          <cell r="P16" t="e">
            <v>#REF!</v>
          </cell>
          <cell r="Q16" t="e">
            <v>#REF!</v>
          </cell>
          <cell r="S16" t="e">
            <v>#REF!</v>
          </cell>
          <cell r="T16" t="e">
            <v>#REF!</v>
          </cell>
          <cell r="U16" t="e">
            <v>#REF!</v>
          </cell>
        </row>
        <row r="18">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row r="120">
          <cell r="B120" t="str">
            <v xml:space="preserve">  Inpatient ..................</v>
          </cell>
          <cell r="C120">
            <v>204</v>
          </cell>
          <cell r="D120">
            <v>103</v>
          </cell>
          <cell r="E120">
            <v>71</v>
          </cell>
          <cell r="F120">
            <v>9</v>
          </cell>
          <cell r="G120">
            <v>21</v>
          </cell>
          <cell r="H120">
            <v>113.2</v>
          </cell>
          <cell r="I120">
            <v>56.8</v>
          </cell>
          <cell r="J120">
            <v>39.4</v>
          </cell>
          <cell r="K120">
            <v>5.2</v>
          </cell>
          <cell r="L120">
            <v>11.9</v>
          </cell>
          <cell r="N120" t="str">
            <v>Hosp</v>
          </cell>
          <cell r="O120">
            <v>11.652989449003517</v>
          </cell>
          <cell r="P120">
            <v>5.8264947245017584</v>
          </cell>
          <cell r="R120">
            <v>39.299999999999997</v>
          </cell>
          <cell r="S120">
            <v>8.0627198124267281</v>
          </cell>
          <cell r="T120">
            <v>4.031359906213364</v>
          </cell>
          <cell r="U120">
            <v>35</v>
          </cell>
          <cell r="V120">
            <v>7.1805392731535758</v>
          </cell>
        </row>
        <row r="121">
          <cell r="B121" t="str">
            <v xml:space="preserve">  Outpatient .................</v>
          </cell>
          <cell r="C121">
            <v>38</v>
          </cell>
          <cell r="D121">
            <v>34</v>
          </cell>
          <cell r="E121">
            <v>3</v>
          </cell>
          <cell r="F121" t="str">
            <v>Q</v>
          </cell>
          <cell r="G121" t="str">
            <v>Q</v>
          </cell>
          <cell r="H121">
            <v>51.8</v>
          </cell>
          <cell r="I121">
            <v>45.6</v>
          </cell>
          <cell r="J121">
            <v>3.5</v>
          </cell>
          <cell r="K121" t="str">
            <v>Q</v>
          </cell>
          <cell r="L121" t="str">
            <v>Q</v>
          </cell>
          <cell r="N121" t="str">
            <v>Oth Heal</v>
          </cell>
          <cell r="O121">
            <v>9.3552168815943713</v>
          </cell>
          <cell r="P121">
            <v>4.6776084407971856</v>
          </cell>
          <cell r="R121">
            <v>16.399999999999999</v>
          </cell>
          <cell r="S121">
            <v>3.3645955451348177</v>
          </cell>
          <cell r="T121">
            <v>1.6822977725674089</v>
          </cell>
        </row>
        <row r="122">
          <cell r="B122" t="str">
            <v>Lodging ......................</v>
          </cell>
          <cell r="C122">
            <v>215</v>
          </cell>
          <cell r="D122">
            <v>64</v>
          </cell>
          <cell r="E122">
            <v>124</v>
          </cell>
          <cell r="F122">
            <v>14</v>
          </cell>
          <cell r="G122" t="str">
            <v>Q</v>
          </cell>
          <cell r="H122">
            <v>50.4</v>
          </cell>
          <cell r="I122">
            <v>15</v>
          </cell>
          <cell r="J122">
            <v>29.2</v>
          </cell>
          <cell r="K122">
            <v>3.3</v>
          </cell>
          <cell r="L122" t="str">
            <v>Q</v>
          </cell>
          <cell r="N122" t="str">
            <v>Lodg</v>
          </cell>
          <cell r="O122">
            <v>3.0773739742086752</v>
          </cell>
          <cell r="P122">
            <v>1.5386869871043376</v>
          </cell>
          <cell r="R122">
            <v>21</v>
          </cell>
          <cell r="S122">
            <v>4.3083235638921451</v>
          </cell>
          <cell r="T122">
            <v>2.1541617819460726</v>
          </cell>
          <cell r="U122">
            <v>10.8</v>
          </cell>
          <cell r="V122">
            <v>2.2157092614302463</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e">
            <v>#N/A</v>
          </cell>
          <cell r="C13" t="str">
            <v>Premium HVAC Equipment</v>
          </cell>
          <cell r="D13" t="e">
            <v>#N/A</v>
          </cell>
          <cell r="E13" t="e">
            <v>#N/A</v>
          </cell>
          <cell r="F13" t="e">
            <v>#N/A</v>
          </cell>
          <cell r="H13" t="e">
            <v>#N/A</v>
          </cell>
          <cell r="I13" t="e">
            <v>#N/A</v>
          </cell>
        </row>
        <row r="14">
          <cell r="B14" t="e">
            <v>#N/A</v>
          </cell>
          <cell r="C14" t="str">
            <v>Premium HVAC Equipment</v>
          </cell>
          <cell r="D14" t="e">
            <v>#N/A</v>
          </cell>
          <cell r="E14" t="e">
            <v>#N/A</v>
          </cell>
          <cell r="F14" t="e">
            <v>#N/A</v>
          </cell>
          <cell r="H14" t="e">
            <v>#N/A</v>
          </cell>
          <cell r="I14" t="e">
            <v>#N/A</v>
          </cell>
        </row>
        <row r="15">
          <cell r="B15" t="str">
            <v>Envelope</v>
          </cell>
          <cell r="C15" t="str">
            <v>Glass</v>
          </cell>
          <cell r="D15" t="str">
            <v>Windows</v>
          </cell>
          <cell r="E15" t="str">
            <v>CBSA 2014</v>
          </cell>
          <cell r="F15" t="str">
            <v>All</v>
          </cell>
          <cell r="H15" t="str">
            <v>New</v>
          </cell>
          <cell r="I15">
            <v>0</v>
          </cell>
        </row>
        <row r="16">
          <cell r="B16" t="str">
            <v>Envelope</v>
          </cell>
          <cell r="C16" t="str">
            <v>Glass</v>
          </cell>
          <cell r="D16" t="str">
            <v>Windows</v>
          </cell>
          <cell r="E16" t="str">
            <v>CBSA 2014</v>
          </cell>
          <cell r="F16" t="str">
            <v>All</v>
          </cell>
          <cell r="H16" t="str">
            <v>New</v>
          </cell>
          <cell r="I16">
            <v>0</v>
          </cell>
        </row>
        <row r="17">
          <cell r="B17" t="str">
            <v>Envelope</v>
          </cell>
          <cell r="C17" t="str">
            <v>Glass</v>
          </cell>
          <cell r="D17" t="str">
            <v>Windows</v>
          </cell>
          <cell r="E17" t="str">
            <v>CBSA 2014</v>
          </cell>
          <cell r="F17" t="str">
            <v>All</v>
          </cell>
          <cell r="H17" t="str">
            <v>New</v>
          </cell>
          <cell r="I17">
            <v>0</v>
          </cell>
        </row>
        <row r="18">
          <cell r="B18" t="str">
            <v>HVAC System Improvements</v>
          </cell>
          <cell r="C18" t="str">
            <v>Advanced Rooftop Controller</v>
          </cell>
          <cell r="D18" t="str">
            <v>Advanced Rooftop Controller</v>
          </cell>
          <cell r="E18" t="str">
            <v>CBSA 2014</v>
          </cell>
          <cell r="F18" t="str">
            <v>Most</v>
          </cell>
          <cell r="H18" t="str">
            <v>New</v>
          </cell>
          <cell r="I18">
            <v>0</v>
          </cell>
        </row>
        <row r="19">
          <cell r="B19" t="str">
            <v>HVAC System Improvements</v>
          </cell>
          <cell r="C19" t="str">
            <v>Advanced Rooftop Controller</v>
          </cell>
          <cell r="D19" t="str">
            <v>Advanced Rooftop Controller</v>
          </cell>
          <cell r="E19" t="str">
            <v>CBSA 2014</v>
          </cell>
          <cell r="F19" t="str">
            <v>Most</v>
          </cell>
          <cell r="H19" t="str">
            <v>New</v>
          </cell>
          <cell r="I19">
            <v>0</v>
          </cell>
        </row>
        <row r="20">
          <cell r="B20" t="str">
            <v>HVAC System Improvements</v>
          </cell>
          <cell r="C20" t="str">
            <v>Advanced Rooftop Controller</v>
          </cell>
          <cell r="D20" t="str">
            <v>Advanced Rooftop Controller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e">
            <v>#N/A</v>
          </cell>
          <cell r="C28" t="str">
            <v>Low Pressure Distribution Complex HVAC</v>
          </cell>
          <cell r="D28" t="e">
            <v>#N/A</v>
          </cell>
          <cell r="E28" t="e">
            <v>#N/A</v>
          </cell>
          <cell r="F28" t="e">
            <v>#N/A</v>
          </cell>
          <cell r="H28" t="e">
            <v>#N/A</v>
          </cell>
          <cell r="I28" t="e">
            <v>#N/A</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str">
            <v>Computer Technologies</v>
          </cell>
          <cell r="C36" t="str">
            <v>Energy Recovery Ventilator</v>
          </cell>
          <cell r="D36" t="str">
            <v>Heat Recovery Ventilation</v>
          </cell>
          <cell r="E36" t="str">
            <v>CBSA 20154</v>
          </cell>
          <cell r="F36" t="str">
            <v>All</v>
          </cell>
          <cell r="H36" t="str">
            <v>NR</v>
          </cell>
          <cell r="I36">
            <v>0</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Lighting Controls</v>
          </cell>
          <cell r="C52" t="str">
            <v>Top Daylighting</v>
          </cell>
          <cell r="D52" t="str">
            <v>Daylighting with Skylights</v>
          </cell>
          <cell r="E52" t="str">
            <v>CBSA 2014</v>
          </cell>
          <cell r="F52" t="str">
            <v>All</v>
          </cell>
          <cell r="H52" t="str">
            <v>New</v>
          </cell>
          <cell r="I52">
            <v>0</v>
          </cell>
        </row>
        <row r="53">
          <cell r="B53" t="str">
            <v>Lighting Controls</v>
          </cell>
          <cell r="C53" t="str">
            <v>Perimeter Daylighting Controls Advanced</v>
          </cell>
          <cell r="D53" t="str">
            <v>Daylighting with Windows</v>
          </cell>
          <cell r="E53" t="str">
            <v>CBSA 2014</v>
          </cell>
          <cell r="F53" t="str">
            <v>All</v>
          </cell>
          <cell r="H53" t="str">
            <v>New</v>
          </cell>
          <cell r="I53">
            <v>0</v>
          </cell>
        </row>
        <row r="54">
          <cell r="B54" t="str">
            <v>Lighting Controls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e">
            <v>#N/A</v>
          </cell>
          <cell r="C63" t="str">
            <v>Bi-Level Stiarwell Lighting</v>
          </cell>
          <cell r="D63" t="e">
            <v>#N/A</v>
          </cell>
          <cell r="E63" t="e">
            <v>#N/A</v>
          </cell>
          <cell r="F63" t="e">
            <v>#N/A</v>
          </cell>
          <cell r="H63" t="e">
            <v>#N/A</v>
          </cell>
          <cell r="I63" t="e">
            <v>#N/A</v>
          </cell>
        </row>
        <row r="64">
          <cell r="B64" t="str">
            <v>Motors</v>
          </cell>
          <cell r="C64" t="str">
            <v>ECM-VAV</v>
          </cell>
          <cell r="D64" t="str">
            <v>ECM Motors on Variable Air Volume Boxes</v>
          </cell>
          <cell r="E64" t="str">
            <v>CBSA 2014</v>
          </cell>
          <cell r="F64" t="str">
            <v>All</v>
          </cell>
          <cell r="H64" t="str">
            <v>New</v>
          </cell>
          <cell r="I64">
            <v>0</v>
          </cell>
        </row>
        <row r="65">
          <cell r="B65" t="str">
            <v>Motors</v>
          </cell>
          <cell r="C65" t="str">
            <v>ECM-VAV</v>
          </cell>
          <cell r="D65" t="str">
            <v>ECM Motors on Variable Air Volume Boxes</v>
          </cell>
          <cell r="E65" t="str">
            <v>CBSA 2014</v>
          </cell>
          <cell r="F65" t="str">
            <v>All</v>
          </cell>
          <cell r="H65" t="str">
            <v>New</v>
          </cell>
          <cell r="I65">
            <v>0</v>
          </cell>
        </row>
        <row r="66">
          <cell r="B66" t="str">
            <v>Pool System Improvements</v>
          </cell>
          <cell r="C66" t="str">
            <v>Pool pumps</v>
          </cell>
          <cell r="D66" t="str">
            <v>Pool pumps</v>
          </cell>
          <cell r="E66" t="str">
            <v>CBSA 2014</v>
          </cell>
          <cell r="F66" t="str">
            <v>Some</v>
          </cell>
          <cell r="H66" t="str">
            <v>Retro</v>
          </cell>
          <cell r="I66" t="str">
            <v>x</v>
          </cell>
        </row>
        <row r="67">
          <cell r="B67" t="str">
            <v>Motors</v>
          </cell>
          <cell r="C67" t="str">
            <v>MotorsRewind</v>
          </cell>
          <cell r="D67" t="str">
            <v>Motors - Rewind</v>
          </cell>
          <cell r="E67" t="str">
            <v>CBSA 2014</v>
          </cell>
          <cell r="F67" t="str">
            <v>All</v>
          </cell>
          <cell r="H67" t="str">
            <v>New</v>
          </cell>
          <cell r="I67" t="str">
            <v>x</v>
          </cell>
        </row>
        <row r="68">
          <cell r="B68" t="str">
            <v>Motors</v>
          </cell>
          <cell r="C68" t="str">
            <v>MotorsRewind</v>
          </cell>
          <cell r="D68" t="str">
            <v>Motors - Rewind</v>
          </cell>
          <cell r="E68" t="str">
            <v>CBSA 2014</v>
          </cell>
          <cell r="F68" t="str">
            <v>All</v>
          </cell>
          <cell r="H68" t="str">
            <v>New</v>
          </cell>
          <cell r="I68" t="str">
            <v>x</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NR</v>
          </cell>
          <cell r="I76" t="str">
            <v>x</v>
          </cell>
        </row>
        <row r="77">
          <cell r="B77" t="str">
            <v>Water Using Devices</v>
          </cell>
          <cell r="C77" t="str">
            <v>WHTanks</v>
          </cell>
          <cell r="D77" t="str">
            <v>DHW - Efficient Tanks</v>
          </cell>
          <cell r="E77" t="str">
            <v>CBSA 2014</v>
          </cell>
          <cell r="F77" t="str">
            <v>Some</v>
          </cell>
          <cell r="H77" t="str">
            <v>New</v>
          </cell>
          <cell r="I77">
            <v>0</v>
          </cell>
        </row>
        <row r="78">
          <cell r="B78" t="str">
            <v>Water Using Devices</v>
          </cell>
          <cell r="C78" t="str">
            <v>WHTanks</v>
          </cell>
          <cell r="D78" t="str">
            <v>DHW - Efficient Tanks</v>
          </cell>
          <cell r="E78" t="str">
            <v>CBSA 2014</v>
          </cell>
          <cell r="F78" t="str">
            <v>Some</v>
          </cell>
          <cell r="H78" t="str">
            <v>New</v>
          </cell>
          <cell r="I78">
            <v>0</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str">
            <v>Water Using Devices</v>
          </cell>
          <cell r="C80" t="str">
            <v>Showerheads</v>
          </cell>
          <cell r="D80" t="str">
            <v>DHW - Showerheads</v>
          </cell>
          <cell r="E80" t="str">
            <v>2.5 GPM</v>
          </cell>
          <cell r="F80" t="str">
            <v>Some</v>
          </cell>
          <cell r="H80" t="str">
            <v>Retro</v>
          </cell>
          <cell r="I80" t="str">
            <v>x</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e">
            <v>#N/A</v>
          </cell>
          <cell r="C85" t="str">
            <v>HPLowPowerGSFL</v>
          </cell>
          <cell r="D85" t="e">
            <v>#N/A</v>
          </cell>
          <cell r="E85" t="e">
            <v>#N/A</v>
          </cell>
          <cell r="F85" t="e">
            <v>#N/A</v>
          </cell>
          <cell r="H85" t="e">
            <v>#N/A</v>
          </cell>
          <cell r="I85" t="e">
            <v>#N/A</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2">
          <cell r="B12" t="str">
            <v>Grocery</v>
          </cell>
          <cell r="C12">
            <v>0.19141181754336017</v>
          </cell>
          <cell r="D12">
            <v>0.80858818245663977</v>
          </cell>
          <cell r="E12">
            <v>1</v>
          </cell>
          <cell r="G12" t="str">
            <v>Grocery</v>
          </cell>
          <cell r="H12">
            <v>0.38592097461312147</v>
          </cell>
          <cell r="I12">
            <v>0.61407902538687853</v>
          </cell>
          <cell r="J12">
            <v>1</v>
          </cell>
          <cell r="L12">
            <v>7.3869835178802537E-2</v>
          </cell>
          <cell r="M12">
            <v>0.80858818245663977</v>
          </cell>
          <cell r="N12">
            <v>0.11754198236455764</v>
          </cell>
          <cell r="O12">
            <v>0.99999999999999989</v>
          </cell>
        </row>
        <row r="13">
          <cell r="B13" t="str">
            <v>Lodging</v>
          </cell>
          <cell r="C13">
            <v>0.75058251470213166</v>
          </cell>
          <cell r="D13">
            <v>0.24941748529786834</v>
          </cell>
          <cell r="E13">
            <v>1</v>
          </cell>
          <cell r="G13" t="str">
            <v>Lodging</v>
          </cell>
          <cell r="H13">
            <v>0.59526013213262075</v>
          </cell>
          <cell r="I13">
            <v>0.40473986786737931</v>
          </cell>
          <cell r="J13">
            <v>1</v>
          </cell>
          <cell r="L13">
            <v>0.44679184687802564</v>
          </cell>
          <cell r="M13">
            <v>0.24941748529786834</v>
          </cell>
          <cell r="N13">
            <v>0.30379066782410608</v>
          </cell>
          <cell r="O13">
            <v>1</v>
          </cell>
        </row>
        <row r="14">
          <cell r="B14" t="str">
            <v>Office</v>
          </cell>
          <cell r="C14">
            <v>0.51635908187299928</v>
          </cell>
          <cell r="D14">
            <v>0.48364091812700072</v>
          </cell>
          <cell r="E14">
            <v>1</v>
          </cell>
          <cell r="G14" t="str">
            <v>Office</v>
          </cell>
          <cell r="H14">
            <v>0.45565580415878149</v>
          </cell>
          <cell r="I14">
            <v>0.54434419584121851</v>
          </cell>
          <cell r="J14">
            <v>1</v>
          </cell>
          <cell r="L14">
            <v>0.23528201268553159</v>
          </cell>
          <cell r="M14">
            <v>0.48364091812700072</v>
          </cell>
          <cell r="N14">
            <v>0.28107706918746772</v>
          </cell>
          <cell r="O14">
            <v>1</v>
          </cell>
        </row>
        <row r="15">
          <cell r="B15" t="str">
            <v>Other</v>
          </cell>
          <cell r="C15">
            <v>0.27428395672737665</v>
          </cell>
          <cell r="D15">
            <v>0.7257160432726234</v>
          </cell>
          <cell r="E15">
            <v>1</v>
          </cell>
          <cell r="G15" t="str">
            <v>Other</v>
          </cell>
          <cell r="H15">
            <v>0.6175903960921354</v>
          </cell>
          <cell r="I15">
            <v>0.38240960390786466</v>
          </cell>
          <cell r="J15">
            <v>1</v>
          </cell>
          <cell r="L15">
            <v>0.16939513747697868</v>
          </cell>
          <cell r="M15">
            <v>0.7257160432726234</v>
          </cell>
          <cell r="N15">
            <v>0.104888819250398</v>
          </cell>
          <cell r="O15">
            <v>1</v>
          </cell>
        </row>
        <row r="16">
          <cell r="B16" t="str">
            <v>Residential Care</v>
          </cell>
          <cell r="C16">
            <v>0.59443378738060659</v>
          </cell>
          <cell r="D16">
            <v>0.40556621261939335</v>
          </cell>
          <cell r="E16">
            <v>1</v>
          </cell>
          <cell r="G16" t="str">
            <v>Residential Care</v>
          </cell>
          <cell r="H16">
            <v>0.57173215680136025</v>
          </cell>
          <cell r="I16">
            <v>0.42826784319863981</v>
          </cell>
          <cell r="J16">
            <v>1</v>
          </cell>
          <cell r="L16">
            <v>0.33985691133471541</v>
          </cell>
          <cell r="M16">
            <v>0.40556621261939335</v>
          </cell>
          <cell r="N16">
            <v>0.25457687604589124</v>
          </cell>
          <cell r="O16">
            <v>1</v>
          </cell>
        </row>
        <row r="17">
          <cell r="B17" t="str">
            <v>Restaurant</v>
          </cell>
          <cell r="C17">
            <v>0.20634715054031719</v>
          </cell>
          <cell r="D17">
            <v>0.79365284945968273</v>
          </cell>
          <cell r="E17">
            <v>1</v>
          </cell>
          <cell r="G17" t="str">
            <v>Restaurant</v>
          </cell>
          <cell r="H17">
            <v>0.1456310681449533</v>
          </cell>
          <cell r="I17">
            <v>0.8543689318550467</v>
          </cell>
          <cell r="J17">
            <v>1</v>
          </cell>
          <cell r="L17">
            <v>3.0050555941853869E-2</v>
          </cell>
          <cell r="M17">
            <v>0.79365284945968273</v>
          </cell>
          <cell r="N17">
            <v>0.17629659459846331</v>
          </cell>
          <cell r="O17">
            <v>1</v>
          </cell>
        </row>
        <row r="18">
          <cell r="B18" t="str">
            <v>Retail/Service</v>
          </cell>
          <cell r="C18">
            <v>0.17516537112508487</v>
          </cell>
          <cell r="D18">
            <v>0.8248346288749151</v>
          </cell>
          <cell r="E18">
            <v>1</v>
          </cell>
          <cell r="G18" t="str">
            <v>Retail/Service</v>
          </cell>
          <cell r="H18">
            <v>0.63140923348225164</v>
          </cell>
          <cell r="I18">
            <v>0.3685907665177483</v>
          </cell>
          <cell r="J18">
            <v>1</v>
          </cell>
          <cell r="L18">
            <v>0.11060103271472398</v>
          </cell>
          <cell r="M18">
            <v>0.8248346288749151</v>
          </cell>
          <cell r="N18">
            <v>6.4564338410360883E-2</v>
          </cell>
          <cell r="O18">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row r="120">
          <cell r="B120" t="str">
            <v>Residential Care</v>
          </cell>
          <cell r="C120">
            <v>0</v>
          </cell>
          <cell r="D120">
            <v>0.42826784319863981</v>
          </cell>
          <cell r="E120">
            <v>0</v>
          </cell>
          <cell r="F120">
            <v>0.57173215680136014</v>
          </cell>
          <cell r="G120">
            <v>0</v>
          </cell>
          <cell r="H120">
            <v>0</v>
          </cell>
          <cell r="I120">
            <v>0</v>
          </cell>
          <cell r="J120">
            <v>1</v>
          </cell>
          <cell r="K120">
            <v>0.57173215680136025</v>
          </cell>
          <cell r="L120">
            <v>0.42826784319863981</v>
          </cell>
        </row>
        <row r="121">
          <cell r="B121" t="str">
            <v>Restaurant</v>
          </cell>
          <cell r="C121">
            <v>0</v>
          </cell>
          <cell r="D121">
            <v>0.8543689318550467</v>
          </cell>
          <cell r="E121">
            <v>0</v>
          </cell>
          <cell r="F121">
            <v>0.14563106814495325</v>
          </cell>
          <cell r="G121">
            <v>0</v>
          </cell>
          <cell r="H121">
            <v>0</v>
          </cell>
          <cell r="I121">
            <v>0</v>
          </cell>
          <cell r="J121">
            <v>1</v>
          </cell>
          <cell r="K121">
            <v>0.1456310681449533</v>
          </cell>
          <cell r="L121">
            <v>0.8543689318550467</v>
          </cell>
        </row>
        <row r="122">
          <cell r="B122" t="str">
            <v>Retail/Service</v>
          </cell>
          <cell r="C122">
            <v>0</v>
          </cell>
          <cell r="D122">
            <v>0.3685907665177483</v>
          </cell>
          <cell r="E122">
            <v>0</v>
          </cell>
          <cell r="F122">
            <v>0.63140923348225175</v>
          </cell>
          <cell r="G122">
            <v>0</v>
          </cell>
          <cell r="H122">
            <v>0</v>
          </cell>
          <cell r="I122">
            <v>0</v>
          </cell>
          <cell r="J122">
            <v>1</v>
          </cell>
          <cell r="K122">
            <v>0.63140923348225164</v>
          </cell>
          <cell r="L122">
            <v>0.3685907665177483</v>
          </cell>
        </row>
      </sheetData>
      <sheetData sheetId="19">
        <row r="11">
          <cell r="B11">
            <v>2.0434554153352484E-2</v>
          </cell>
        </row>
        <row r="12">
          <cell r="B12">
            <v>3.1863582040406999E-2</v>
          </cell>
        </row>
        <row r="13">
          <cell r="B13">
            <v>5.5794347273117245E-2</v>
          </cell>
        </row>
        <row r="14">
          <cell r="B14">
            <v>0.23374291413554329</v>
          </cell>
        </row>
        <row r="15">
          <cell r="B15">
            <v>0.12270755891365608</v>
          </cell>
        </row>
        <row r="16">
          <cell r="B16">
            <v>4.2121761451219118E-2</v>
          </cell>
        </row>
        <row r="17">
          <cell r="B17">
            <v>1.255060122823257E-2</v>
          </cell>
        </row>
        <row r="18">
          <cell r="B18">
            <v>0.16379453573805774</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row r="120">
          <cell r="C120">
            <v>0.10145234319280301</v>
          </cell>
          <cell r="D120">
            <v>0.89854765680719695</v>
          </cell>
          <cell r="E120">
            <v>1</v>
          </cell>
          <cell r="F120">
            <v>124562026.1368593</v>
          </cell>
          <cell r="I120" t="str">
            <v>Warehouse</v>
          </cell>
          <cell r="J120">
            <v>0.32163560456191009</v>
          </cell>
          <cell r="K120">
            <v>0.6783643954380898</v>
          </cell>
          <cell r="L120">
            <v>0.25284882715292539</v>
          </cell>
          <cell r="M120">
            <v>0.74715117284707455</v>
          </cell>
          <cell r="O120" t="str">
            <v>Other</v>
          </cell>
          <cell r="P120">
            <v>0.6783643954380898</v>
          </cell>
          <cell r="Q120">
            <v>0.24031041917780901</v>
          </cell>
          <cell r="R120">
            <v>8.1325185384101065E-2</v>
          </cell>
        </row>
        <row r="121">
          <cell r="C121">
            <v>1.4242837102056283E-2</v>
          </cell>
          <cell r="D121">
            <v>0.98575716289794368</v>
          </cell>
          <cell r="E121">
            <v>1</v>
          </cell>
          <cell r="F121">
            <v>226752622.27380022</v>
          </cell>
          <cell r="J121">
            <v>12.041101839402526</v>
          </cell>
        </row>
        <row r="122">
          <cell r="C122">
            <v>0.32163560456191009</v>
          </cell>
          <cell r="D122">
            <v>0.6783643954380898</v>
          </cell>
          <cell r="E122">
            <v>1</v>
          </cell>
          <cell r="F122">
            <v>197062347.57176718</v>
          </cell>
        </row>
      </sheetData>
      <sheetData sheetId="20">
        <row r="11">
          <cell r="B11" t="str">
            <v>Compressed Air</v>
          </cell>
          <cell r="C11" t="str">
            <v>Compressed Air System Improvements</v>
          </cell>
          <cell r="D11" t="str">
            <v>Compressors</v>
          </cell>
        </row>
        <row r="12">
          <cell r="B12" t="str">
            <v>Compressed Air</v>
          </cell>
          <cell r="C12" t="str">
            <v>Compressed Air System Improvements</v>
          </cell>
          <cell r="D12" t="str">
            <v>Interactive Compressed Air System Supply/Demand Improvements</v>
          </cell>
        </row>
        <row r="13">
          <cell r="B13" t="str">
            <v>Compressed Air</v>
          </cell>
          <cell r="C13" t="str">
            <v>Heat Recovery</v>
          </cell>
          <cell r="D13" t="str">
            <v>Heat Recovery Improvements</v>
          </cell>
        </row>
        <row r="14">
          <cell r="B14" t="str">
            <v>HVAC</v>
          </cell>
          <cell r="C14" t="str">
            <v>HVAC System Improvements</v>
          </cell>
          <cell r="D14" t="str">
            <v>Interactive HVAC System Improvements</v>
          </cell>
        </row>
        <row r="15">
          <cell r="B15" t="str">
            <v>Irrigation</v>
          </cell>
          <cell r="C15" t="str">
            <v>Center Pivot System and Equipment</v>
          </cell>
          <cell r="D15" t="str">
            <v>Center Pivot Conversions</v>
          </cell>
        </row>
        <row r="16">
          <cell r="B16" t="str">
            <v>Irrigation</v>
          </cell>
          <cell r="C16" t="str">
            <v>Center Pivot System and Equipment</v>
          </cell>
          <cell r="D16" t="str">
            <v>Reduce System Friction Head</v>
          </cell>
        </row>
        <row r="17">
          <cell r="B17" t="str">
            <v>Irrigation</v>
          </cell>
          <cell r="C17" t="str">
            <v>Center Pivot System and Equipment</v>
          </cell>
          <cell r="D17" t="str">
            <v xml:space="preserve">Reduce System Friction Head </v>
          </cell>
        </row>
        <row r="18">
          <cell r="B18" t="str">
            <v>Irrigation</v>
          </cell>
          <cell r="C18" t="str">
            <v>Center Pivot System and Equipment</v>
          </cell>
          <cell r="D18" t="str">
            <v>Reduce System Leakage</v>
          </cell>
        </row>
        <row r="19">
          <cell r="B19" t="str">
            <v>Irrigation</v>
          </cell>
          <cell r="C19" t="str">
            <v>Center Pivot System and Equipment</v>
          </cell>
          <cell r="D19" t="str">
            <v>Reduce System Lift</v>
          </cell>
        </row>
        <row r="20">
          <cell r="B20" t="str">
            <v>Irrigation</v>
          </cell>
          <cell r="C20" t="str">
            <v>Center Pivot System and Equipment</v>
          </cell>
          <cell r="D20" t="str">
            <v>System Water Delivery Improvements</v>
          </cell>
        </row>
        <row r="21">
          <cell r="B21" t="str">
            <v>Irrigation</v>
          </cell>
          <cell r="C21" t="str">
            <v>Discharge Fitting Equipment</v>
          </cell>
          <cell r="D21" t="str">
            <v>Drop Installation for Spray Heads and Pressure Regulators</v>
          </cell>
        </row>
        <row r="22">
          <cell r="B22" t="str">
            <v>Irrigation</v>
          </cell>
          <cell r="C22" t="str">
            <v>Discharge Fitting Equipment</v>
          </cell>
          <cell r="D22" t="str">
            <v>Flow Control Nozzles and Diffuser</v>
          </cell>
        </row>
        <row r="23">
          <cell r="B23" t="str">
            <v>Irrigation</v>
          </cell>
          <cell r="C23" t="str">
            <v>Discharge Fitting Equipment</v>
          </cell>
          <cell r="D23" t="str">
            <v>Impact Sprinkler Heads</v>
          </cell>
        </row>
        <row r="24">
          <cell r="B24" t="str">
            <v>Irrigation</v>
          </cell>
          <cell r="C24" t="str">
            <v>Discharge Fitting Equipment</v>
          </cell>
          <cell r="D24" t="str">
            <v>Low Angle Heads</v>
          </cell>
        </row>
        <row r="25">
          <cell r="B25" t="str">
            <v>Irrigation</v>
          </cell>
          <cell r="C25" t="str">
            <v>Discharge Fitting Equipment</v>
          </cell>
          <cell r="D25" t="str">
            <v>Low Pressure End guns/Big guns</v>
          </cell>
        </row>
        <row r="26">
          <cell r="B26" t="str">
            <v>Irrigation</v>
          </cell>
          <cell r="C26" t="str">
            <v>Discharge Fitting Equipment</v>
          </cell>
          <cell r="D26" t="str">
            <v>Nozzle Replacement</v>
          </cell>
        </row>
        <row r="27">
          <cell r="B27" t="str">
            <v>Irrigation</v>
          </cell>
          <cell r="C27" t="str">
            <v>Discharge Fitting Equipment</v>
          </cell>
          <cell r="D27" t="str">
            <v>Spray Heads</v>
          </cell>
        </row>
        <row r="28">
          <cell r="B28" t="str">
            <v>Irrigation</v>
          </cell>
          <cell r="C28" t="str">
            <v>Handmove and Sideroll System and Equipment</v>
          </cell>
          <cell r="D28" t="str">
            <v>Reduce System Friction Head</v>
          </cell>
        </row>
        <row r="29">
          <cell r="B29" t="str">
            <v>Irrigation</v>
          </cell>
          <cell r="C29" t="str">
            <v>Handmove and Sideroll System and Equipment</v>
          </cell>
          <cell r="D29" t="str">
            <v>Reduce System Leakage</v>
          </cell>
        </row>
        <row r="30">
          <cell r="B30" t="str">
            <v>Irrigation</v>
          </cell>
          <cell r="C30" t="str">
            <v>Handmove and Sideroll System and Equipment</v>
          </cell>
          <cell r="D30" t="str">
            <v>Reduce System Lift</v>
          </cell>
        </row>
        <row r="31">
          <cell r="B31" t="str">
            <v>Irrigation</v>
          </cell>
          <cell r="C31" t="str">
            <v>Handmove and Sideroll System and Equipment</v>
          </cell>
          <cell r="D31" t="str">
            <v>System Water Delivery Improvements</v>
          </cell>
        </row>
        <row r="32">
          <cell r="B32" t="str">
            <v>Irrigation</v>
          </cell>
          <cell r="C32" t="str">
            <v>Hardware</v>
          </cell>
          <cell r="D32" t="str">
            <v>Drain Replacement</v>
          </cell>
        </row>
        <row r="33">
          <cell r="B33" t="str">
            <v>Irrigation</v>
          </cell>
          <cell r="C33" t="str">
            <v>Hardware</v>
          </cell>
          <cell r="D33" t="str">
            <v>Drop Tube/Hose Extension</v>
          </cell>
        </row>
        <row r="34">
          <cell r="B34" t="str">
            <v>Irrigation</v>
          </cell>
          <cell r="C34" t="str">
            <v>Hardware</v>
          </cell>
          <cell r="D34" t="str">
            <v>Gasket Replacement</v>
          </cell>
        </row>
        <row r="35">
          <cell r="B35" t="str">
            <v>Irrigation</v>
          </cell>
          <cell r="C35" t="str">
            <v>Hardware</v>
          </cell>
          <cell r="D35" t="str">
            <v>Goose Necks</v>
          </cell>
        </row>
        <row r="36">
          <cell r="B36" t="str">
            <v>Irrigation</v>
          </cell>
          <cell r="C36" t="str">
            <v>Hardware</v>
          </cell>
          <cell r="D36" t="str">
            <v>Hub Replacement</v>
          </cell>
        </row>
        <row r="37">
          <cell r="B37" t="str">
            <v>Irrigation</v>
          </cell>
          <cell r="C37" t="str">
            <v>Hardware</v>
          </cell>
          <cell r="D37" t="str">
            <v>Leveler Rebuild</v>
          </cell>
        </row>
        <row r="38">
          <cell r="B38" t="str">
            <v>Irrigation</v>
          </cell>
          <cell r="C38" t="str">
            <v>Hardware</v>
          </cell>
          <cell r="D38" t="str">
            <v>Line Repairs</v>
          </cell>
        </row>
        <row r="39">
          <cell r="B39" t="str">
            <v>Irrigation</v>
          </cell>
          <cell r="C39" t="str">
            <v>Hardware</v>
          </cell>
          <cell r="D39" t="str">
            <v>Multi-Trajectory Sprays</v>
          </cell>
        </row>
        <row r="40">
          <cell r="B40" t="str">
            <v>Irrigation</v>
          </cell>
          <cell r="C40" t="str">
            <v>Hardware</v>
          </cell>
          <cell r="D40" t="str">
            <v>Nozzle Replacement</v>
          </cell>
        </row>
        <row r="41">
          <cell r="B41" t="str">
            <v>Irrigation</v>
          </cell>
          <cell r="C41" t="str">
            <v>Hardware</v>
          </cell>
          <cell r="D41" t="str">
            <v>Pipe Repair</v>
          </cell>
        </row>
        <row r="42">
          <cell r="B42" t="str">
            <v>Irrigation</v>
          </cell>
          <cell r="C42" t="str">
            <v>Hardware</v>
          </cell>
          <cell r="D42" t="str">
            <v>Regulator Replacement</v>
          </cell>
        </row>
        <row r="43">
          <cell r="B43" t="str">
            <v>Irrigation</v>
          </cell>
          <cell r="C43" t="str">
            <v>Hardware</v>
          </cell>
          <cell r="D43" t="str">
            <v>Sprinkler Replacements</v>
          </cell>
        </row>
        <row r="44">
          <cell r="B44" t="str">
            <v>Irrigation</v>
          </cell>
          <cell r="C44" t="str">
            <v>Irrigation System Improvements</v>
          </cell>
          <cell r="D44" t="str">
            <v>Change in Water Source</v>
          </cell>
        </row>
        <row r="45">
          <cell r="B45" t="str">
            <v>Irrigation</v>
          </cell>
          <cell r="C45" t="str">
            <v>Irrigation System Improvements</v>
          </cell>
          <cell r="D45" t="str">
            <v>Irrigation System Improvements</v>
          </cell>
        </row>
        <row r="46">
          <cell r="B46" t="str">
            <v>Irrigation</v>
          </cell>
          <cell r="C46" t="str">
            <v>Irrigation System Improvements</v>
          </cell>
          <cell r="D46" t="str">
            <v>Reduce Delivery System Leakage</v>
          </cell>
        </row>
        <row r="47">
          <cell r="B47" t="str">
            <v>Irrigation</v>
          </cell>
          <cell r="C47" t="str">
            <v>Mainline System and Equipment</v>
          </cell>
          <cell r="D47" t="str">
            <v>Interactive Mainline System and Equipment Improvements</v>
          </cell>
        </row>
        <row r="48">
          <cell r="B48" t="str">
            <v>Irrigation</v>
          </cell>
          <cell r="C48" t="str">
            <v>Mainline System and Equipment</v>
          </cell>
          <cell r="D48" t="str">
            <v>Mainline System Pump Improvements</v>
          </cell>
        </row>
        <row r="49">
          <cell r="B49" t="str">
            <v>Irrigation</v>
          </cell>
          <cell r="C49" t="str">
            <v>Mainline System and Equipment</v>
          </cell>
          <cell r="D49" t="str">
            <v>Reduce Friction Loss</v>
          </cell>
        </row>
        <row r="50">
          <cell r="B50" t="str">
            <v>Irrigation</v>
          </cell>
          <cell r="C50" t="str">
            <v>Mainline System and Equipment</v>
          </cell>
          <cell r="D50" t="str">
            <v xml:space="preserve">Reduce System Friction Head </v>
          </cell>
        </row>
        <row r="51">
          <cell r="B51" t="str">
            <v>Irrigation</v>
          </cell>
          <cell r="C51" t="str">
            <v>Mainline System and Equipment</v>
          </cell>
          <cell r="D51" t="str">
            <v>Reduce System Leakage</v>
          </cell>
        </row>
        <row r="52">
          <cell r="B52" t="str">
            <v>Irrigation</v>
          </cell>
          <cell r="C52" t="str">
            <v>Mainline System and Equipment</v>
          </cell>
          <cell r="D52" t="str">
            <v>Reduce System Lift</v>
          </cell>
        </row>
        <row r="53">
          <cell r="B53" t="str">
            <v>Irrigation</v>
          </cell>
          <cell r="C53" t="str">
            <v>Mainline System and Equipment</v>
          </cell>
          <cell r="D53" t="str">
            <v>System Water Delivery Improvements</v>
          </cell>
        </row>
        <row r="54">
          <cell r="B54" t="str">
            <v>Irrigation</v>
          </cell>
          <cell r="C54" t="str">
            <v>Pumps and Fans</v>
          </cell>
          <cell r="D54" t="str">
            <v>Centrifugal Pump System Improvements</v>
          </cell>
        </row>
        <row r="55">
          <cell r="B55" t="str">
            <v>Irrigation</v>
          </cell>
          <cell r="C55" t="str">
            <v>Pumps and Fans</v>
          </cell>
          <cell r="D55" t="str">
            <v>Pump Testing Service</v>
          </cell>
        </row>
        <row r="56">
          <cell r="B56" t="str">
            <v>Irrigation</v>
          </cell>
          <cell r="C56" t="str">
            <v>Pumps and Fans</v>
          </cell>
          <cell r="D56" t="str">
            <v>Turbine Pump System Improvements</v>
          </cell>
        </row>
        <row r="57">
          <cell r="B57" t="str">
            <v>Irrigation</v>
          </cell>
          <cell r="C57" t="str">
            <v>Pumps and Fans</v>
          </cell>
          <cell r="D57" t="str">
            <v>Vacuum Pump System Improvements</v>
          </cell>
        </row>
        <row r="58">
          <cell r="B58" t="str">
            <v>Irrigation</v>
          </cell>
          <cell r="C58" t="str">
            <v>Suction Fittings Equipment</v>
          </cell>
          <cell r="D58" t="str">
            <v>Reduce Cavitation</v>
          </cell>
        </row>
        <row r="59">
          <cell r="B59" t="str">
            <v>Irrigation</v>
          </cell>
          <cell r="C59" t="str">
            <v>Suction Fittings Equipment</v>
          </cell>
          <cell r="D59" t="str">
            <v xml:space="preserve">Reduce System Friction Head </v>
          </cell>
        </row>
        <row r="60">
          <cell r="B60" t="str">
            <v>Irrigation</v>
          </cell>
          <cell r="C60" t="str">
            <v>Suction Fittings Equipment</v>
          </cell>
          <cell r="D60" t="str">
            <v>Reduce System Leakage</v>
          </cell>
        </row>
        <row r="61">
          <cell r="B61" t="str">
            <v>Irrigation</v>
          </cell>
          <cell r="C61" t="str">
            <v>Suction Fittings Equipment</v>
          </cell>
          <cell r="D61" t="str">
            <v>Reduce System Lift</v>
          </cell>
        </row>
        <row r="62">
          <cell r="B62" t="str">
            <v>Irrigation</v>
          </cell>
          <cell r="C62" t="str">
            <v>Water Management</v>
          </cell>
          <cell r="D62" t="str">
            <v>Scientific Irrigation Scheduling</v>
          </cell>
        </row>
        <row r="63">
          <cell r="B63" t="str">
            <v>Lighting</v>
          </cell>
          <cell r="C63" t="str">
            <v>Delamping</v>
          </cell>
          <cell r="D63" t="str">
            <v>Delamping</v>
          </cell>
        </row>
        <row r="64">
          <cell r="B64" t="str">
            <v>Lighting</v>
          </cell>
          <cell r="C64" t="str">
            <v>Lamps/Ballasts/Fixtures</v>
          </cell>
          <cell r="D64" t="str">
            <v>Lamps/Ballasts</v>
          </cell>
        </row>
        <row r="65">
          <cell r="B65" t="str">
            <v>Lighting</v>
          </cell>
          <cell r="C65" t="str">
            <v>Lamps/Ballasts/Fixtures</v>
          </cell>
          <cell r="D65" t="str">
            <v>Lamps/Ballasts w/Controls</v>
          </cell>
        </row>
        <row r="66">
          <cell r="B66" t="str">
            <v>Lighting</v>
          </cell>
          <cell r="C66" t="str">
            <v>Lamps/Ballasts/Fixtures</v>
          </cell>
          <cell r="D66" t="str">
            <v>Lamps/Ballasts w/Delamping</v>
          </cell>
        </row>
        <row r="67">
          <cell r="B67" t="str">
            <v>Lighting</v>
          </cell>
          <cell r="C67" t="str">
            <v>Lamps/Ballasts/Fixtures</v>
          </cell>
          <cell r="D67" t="str">
            <v>Lamps/Ballasts w/Delamping and Controls</v>
          </cell>
        </row>
        <row r="68">
          <cell r="B68" t="str">
            <v>Lighting</v>
          </cell>
          <cell r="C68" t="str">
            <v>Lamps/Ballasts/Fixtures</v>
          </cell>
          <cell r="D68" t="str">
            <v>Lamps/Ballasts/Fixtures</v>
          </cell>
        </row>
        <row r="69">
          <cell r="B69" t="str">
            <v>Lighting</v>
          </cell>
          <cell r="C69" t="str">
            <v>Lamps/Ballasts/Fixtures</v>
          </cell>
          <cell r="D69" t="str">
            <v>Lamps/Ballasts/Fixtures w/Controls</v>
          </cell>
        </row>
        <row r="70">
          <cell r="B70" t="str">
            <v>Lighting</v>
          </cell>
          <cell r="C70" t="str">
            <v>Lamps/Ballasts/Fixtures</v>
          </cell>
          <cell r="D70" t="str">
            <v>Lamps/Ballasts/Fixtures w/Delamping</v>
          </cell>
        </row>
        <row r="71">
          <cell r="B71" t="str">
            <v>Lighting</v>
          </cell>
          <cell r="C71" t="str">
            <v>Lamps/Ballasts/Fixtures</v>
          </cell>
          <cell r="D71" t="str">
            <v>Lamps/Ballasts/Fixtures w/Delamping and Controls</v>
          </cell>
        </row>
        <row r="72">
          <cell r="B72" t="str">
            <v>Lighting</v>
          </cell>
          <cell r="C72" t="str">
            <v>Lamps/Ballasts/Fixtures</v>
          </cell>
          <cell r="D72" t="str">
            <v>Stall Lighting</v>
          </cell>
        </row>
        <row r="73">
          <cell r="B73" t="str">
            <v>Lighting</v>
          </cell>
          <cell r="C73" t="str">
            <v>Lighting Controls</v>
          </cell>
          <cell r="D73" t="str">
            <v>Control Panels</v>
          </cell>
        </row>
        <row r="74">
          <cell r="B74" t="str">
            <v>Lighting</v>
          </cell>
          <cell r="C74" t="str">
            <v>Lighting Controls</v>
          </cell>
          <cell r="D74" t="str">
            <v>Daylighting</v>
          </cell>
        </row>
        <row r="75">
          <cell r="B75" t="str">
            <v>Lighting</v>
          </cell>
          <cell r="C75" t="str">
            <v>Lighting Controls</v>
          </cell>
          <cell r="D75" t="str">
            <v>Occupancy Sensors</v>
          </cell>
        </row>
        <row r="76">
          <cell r="B76" t="str">
            <v>Lighting</v>
          </cell>
          <cell r="C76" t="str">
            <v>Lighting Controls</v>
          </cell>
          <cell r="D76" t="str">
            <v>Photocells</v>
          </cell>
        </row>
        <row r="77">
          <cell r="B77" t="str">
            <v>Lighting</v>
          </cell>
          <cell r="C77" t="str">
            <v>Lighting Controls</v>
          </cell>
          <cell r="D77" t="str">
            <v>Timers</v>
          </cell>
        </row>
        <row r="78">
          <cell r="B78" t="str">
            <v>Lighting</v>
          </cell>
          <cell r="C78" t="str">
            <v>Signs and Signals</v>
          </cell>
          <cell r="D78" t="str">
            <v>LED Exit Signs</v>
          </cell>
        </row>
        <row r="79">
          <cell r="B79" t="str">
            <v>Motors/Drives</v>
          </cell>
          <cell r="C79" t="str">
            <v>Compressed Air System Improvements</v>
          </cell>
          <cell r="D79" t="str">
            <v>Motors/Drives Installation on Compressed Air System</v>
          </cell>
        </row>
        <row r="80">
          <cell r="B80" t="str">
            <v>Motors/Drives</v>
          </cell>
          <cell r="C80" t="str">
            <v>Motors</v>
          </cell>
          <cell r="D80" t="str">
            <v>Motor Rewind</v>
          </cell>
        </row>
        <row r="81">
          <cell r="B81" t="str">
            <v>Motors/Drives</v>
          </cell>
          <cell r="C81" t="str">
            <v>Motors</v>
          </cell>
          <cell r="D81" t="str">
            <v>Motors</v>
          </cell>
        </row>
        <row r="82">
          <cell r="B82" t="str">
            <v>Motors/Drives</v>
          </cell>
          <cell r="C82" t="str">
            <v>Motors/Drives Controls</v>
          </cell>
          <cell r="D82" t="str">
            <v>Dairy Milking Machine Control Improvements (VFD)</v>
          </cell>
        </row>
        <row r="83">
          <cell r="B83" t="str">
            <v>Motors/Drives</v>
          </cell>
          <cell r="C83" t="str">
            <v>Motors/Drives Controls</v>
          </cell>
          <cell r="D83" t="str">
            <v>Electronically Commutated Motor (ECM)</v>
          </cell>
        </row>
        <row r="84">
          <cell r="B84" t="str">
            <v>Motors/Drives</v>
          </cell>
          <cell r="C84" t="str">
            <v>Motors/Drives Controls</v>
          </cell>
          <cell r="D84" t="str">
            <v>Energy Management Systems/System Controls</v>
          </cell>
        </row>
        <row r="85">
          <cell r="B85" t="str">
            <v>Motors/Drives</v>
          </cell>
          <cell r="C85" t="str">
            <v>Motors/Drives Controls</v>
          </cell>
          <cell r="D85" t="str">
            <v>Motors/Drives Control Improvements (non-VFD)</v>
          </cell>
        </row>
        <row r="86">
          <cell r="B86" t="str">
            <v>Motors/Drives</v>
          </cell>
          <cell r="C86" t="str">
            <v>Motors/Drives Controls</v>
          </cell>
          <cell r="D86" t="str">
            <v>Motors/Drives Control Improvements (VFD)</v>
          </cell>
        </row>
        <row r="87">
          <cell r="B87" t="str">
            <v>Motors/Drives</v>
          </cell>
          <cell r="C87" t="str">
            <v>Pumps and Fans</v>
          </cell>
          <cell r="D87" t="str">
            <v>Motors/Drives Installation on Fan System</v>
          </cell>
        </row>
        <row r="88">
          <cell r="B88" t="str">
            <v>Motors/Drives</v>
          </cell>
          <cell r="C88" t="str">
            <v>Pumps and Fans</v>
          </cell>
          <cell r="D88" t="str">
            <v>Motors/Drives Installation on Pump System</v>
          </cell>
        </row>
        <row r="89">
          <cell r="B89" t="str">
            <v>Motors/Drives</v>
          </cell>
          <cell r="C89" t="str">
            <v>Pumps and Fans</v>
          </cell>
          <cell r="D89" t="str">
            <v>Motors/Drives Installation on Vacuum Pumps</v>
          </cell>
        </row>
        <row r="90">
          <cell r="B90" t="str">
            <v>Process Loads</v>
          </cell>
          <cell r="C90" t="str">
            <v>Livestock Tanks</v>
          </cell>
          <cell r="D90" t="str">
            <v>Freeze Resistant Stock Tanks</v>
          </cell>
        </row>
        <row r="91">
          <cell r="B91" t="str">
            <v>Process Loads</v>
          </cell>
          <cell r="C91" t="str">
            <v>Process Loads System Improvements</v>
          </cell>
          <cell r="D91" t="str">
            <v>Interactive Process Loads System Improvements</v>
          </cell>
        </row>
        <row r="92">
          <cell r="B92" t="str">
            <v>Process Loads</v>
          </cell>
          <cell r="C92" t="str">
            <v>Pumps and Fans</v>
          </cell>
          <cell r="D92" t="str">
            <v>Centrifugal Pump System Improvements</v>
          </cell>
        </row>
        <row r="93">
          <cell r="B93" t="str">
            <v>Process Loads</v>
          </cell>
          <cell r="C93" t="str">
            <v>Pumps and Fans</v>
          </cell>
          <cell r="D93" t="str">
            <v>Fan System Improvements</v>
          </cell>
        </row>
        <row r="94">
          <cell r="B94" t="str">
            <v>Process Loads</v>
          </cell>
          <cell r="C94" t="str">
            <v>Pumps and Fans</v>
          </cell>
          <cell r="D94" t="str">
            <v>Pump System Improvements</v>
          </cell>
        </row>
        <row r="95">
          <cell r="B95" t="str">
            <v>Process Loads</v>
          </cell>
          <cell r="C95" t="str">
            <v>Pumps and Fans</v>
          </cell>
          <cell r="D95" t="str">
            <v>Turbine Pump System Improvements</v>
          </cell>
        </row>
        <row r="96">
          <cell r="B96" t="str">
            <v>Process Loads</v>
          </cell>
          <cell r="C96" t="str">
            <v>Pumps and Fans</v>
          </cell>
          <cell r="D96" t="str">
            <v>Vacuum Pump System Improvements</v>
          </cell>
        </row>
        <row r="97">
          <cell r="B97" t="str">
            <v>Refrigeration</v>
          </cell>
          <cell r="C97" t="str">
            <v>Dairy System Improvements</v>
          </cell>
          <cell r="D97" t="str">
            <v>Heat Recovery Improvements</v>
          </cell>
        </row>
        <row r="98">
          <cell r="B98" t="str">
            <v>Refrigeration</v>
          </cell>
          <cell r="C98" t="str">
            <v>Dairy System Improvements</v>
          </cell>
          <cell r="D98" t="str">
            <v>Plate Milk Pre-cooler</v>
          </cell>
        </row>
        <row r="99">
          <cell r="B99" t="str">
            <v>Refrigeration</v>
          </cell>
          <cell r="C99" t="str">
            <v>Heat Recovery</v>
          </cell>
          <cell r="D99" t="str">
            <v>Heat Recovery Improvements</v>
          </cell>
        </row>
        <row r="100">
          <cell r="B100" t="str">
            <v>Refrigeration</v>
          </cell>
          <cell r="C100" t="str">
            <v>Packaged Refrigeration</v>
          </cell>
          <cell r="D100" t="str">
            <v>Packaged Refrigeration System Improvements</v>
          </cell>
        </row>
        <row r="101">
          <cell r="B101" t="str">
            <v>Refrigeration</v>
          </cell>
          <cell r="C101" t="str">
            <v>Pumps and Fans</v>
          </cell>
          <cell r="D101" t="str">
            <v>Condensor Fan System Improvements</v>
          </cell>
        </row>
        <row r="102">
          <cell r="B102" t="str">
            <v>Refrigeration</v>
          </cell>
          <cell r="C102" t="str">
            <v>Pumps and Fans</v>
          </cell>
          <cell r="D102" t="str">
            <v>Evaporator Coil Fan System Improvements</v>
          </cell>
        </row>
        <row r="103">
          <cell r="B103" t="str">
            <v>Refrigeration</v>
          </cell>
          <cell r="C103" t="str">
            <v>Pumps and Fans</v>
          </cell>
          <cell r="D103" t="str">
            <v>Evaporator Fan System Improvements</v>
          </cell>
        </row>
        <row r="104">
          <cell r="B104" t="str">
            <v>Refrigeration</v>
          </cell>
          <cell r="C104" t="str">
            <v>Refrigeration System Controls</v>
          </cell>
          <cell r="D104" t="str">
            <v>Defrost Control Improvements</v>
          </cell>
        </row>
        <row r="105">
          <cell r="B105" t="str">
            <v>Refrigeration</v>
          </cell>
          <cell r="C105" t="str">
            <v>Refrigeration System Controls</v>
          </cell>
          <cell r="D105" t="str">
            <v>Refrigeration Control Improvements (non-VFD)</v>
          </cell>
        </row>
        <row r="106">
          <cell r="B106" t="str">
            <v>Refrigeration</v>
          </cell>
          <cell r="C106" t="str">
            <v>Refrigeration System Controls</v>
          </cell>
          <cell r="D106" t="str">
            <v>Refrigeration Control Improvements (VFD)</v>
          </cell>
        </row>
        <row r="107">
          <cell r="B107" t="str">
            <v>Refrigeration</v>
          </cell>
          <cell r="C107" t="str">
            <v>Refrigeration System Improvements</v>
          </cell>
          <cell r="D107" t="str">
            <v>Chiller Improvements</v>
          </cell>
        </row>
        <row r="108">
          <cell r="B108" t="str">
            <v>Refrigeration</v>
          </cell>
          <cell r="C108" t="str">
            <v>Refrigeration System Improvements</v>
          </cell>
          <cell r="D108" t="str">
            <v>Insulation</v>
          </cell>
        </row>
        <row r="109">
          <cell r="B109" t="str">
            <v>Refrigeration</v>
          </cell>
          <cell r="C109" t="str">
            <v>Refrigeration System Improvements</v>
          </cell>
          <cell r="D109" t="str">
            <v>Interactive Refrigeration System Improvements</v>
          </cell>
        </row>
        <row r="110">
          <cell r="B110" t="str">
            <v xml:space="preserve">Utility Distribution System </v>
          </cell>
          <cell r="C110" t="str">
            <v>Transformers</v>
          </cell>
          <cell r="D110" t="str">
            <v>De-Energization</v>
          </cell>
        </row>
        <row r="111">
          <cell r="B111" t="str">
            <v>Water Heating</v>
          </cell>
          <cell r="C111" t="str">
            <v>Heat Recovery</v>
          </cell>
          <cell r="D111" t="str">
            <v>Heat Recovery Improvements</v>
          </cell>
        </row>
        <row r="112">
          <cell r="B112" t="str">
            <v>Water Heating</v>
          </cell>
          <cell r="C112" t="str">
            <v>System Efficiency Improvements</v>
          </cell>
          <cell r="D112" t="str">
            <v>Insulation</v>
          </cell>
        </row>
        <row r="113">
          <cell r="B113" t="str">
            <v>Water Heating</v>
          </cell>
          <cell r="C113" t="str">
            <v>Water Heaters</v>
          </cell>
          <cell r="D113" t="str">
            <v>Water Heaters</v>
          </cell>
        </row>
        <row r="114">
          <cell r="B114" t="str">
            <v>Whole Bldg/Meter Level</v>
          </cell>
          <cell r="C114" t="str">
            <v>Whole Bldg/Meter Level System Improvements</v>
          </cell>
          <cell r="D114" t="str">
            <v>Interactive Whole Bldg/Meter Level System Improvements</v>
          </cell>
        </row>
        <row r="115">
          <cell r="B115" t="str">
            <v>Compressed Air</v>
          </cell>
          <cell r="C115" t="str">
            <v>Compressed Air System Controls</v>
          </cell>
          <cell r="D115" t="str">
            <v>Compressed Air Control Improvements (non-VFD)</v>
          </cell>
        </row>
        <row r="116">
          <cell r="B116" t="str">
            <v>Compressed Air</v>
          </cell>
          <cell r="C116" t="str">
            <v>Compressed Air System Controls</v>
          </cell>
          <cell r="D116" t="str">
            <v>Compressed Air Control Improvements (VFD)</v>
          </cell>
        </row>
        <row r="117">
          <cell r="B117" t="str">
            <v>Compressed Air</v>
          </cell>
          <cell r="C117" t="str">
            <v>Compressed Air System Improvements</v>
          </cell>
          <cell r="D117" t="str">
            <v>Compressed Air System Compressor Improvements (non-VFD)</v>
          </cell>
        </row>
        <row r="118">
          <cell r="B118" t="str">
            <v>Compressed Air</v>
          </cell>
          <cell r="C118" t="str">
            <v>Compressed Air System Improvements</v>
          </cell>
          <cell r="D118" t="str">
            <v>Compressed Air System Compressor Improvements (VFD)</v>
          </cell>
        </row>
        <row r="119">
          <cell r="B119" t="str">
            <v>Compressed Air</v>
          </cell>
          <cell r="C119" t="str">
            <v>Compressed Air System Improvements</v>
          </cell>
          <cell r="D119" t="str">
            <v>Compressed Air System Demand Side Improvements</v>
          </cell>
        </row>
        <row r="120">
          <cell r="B120" t="str">
            <v>Compressed Air</v>
          </cell>
          <cell r="C120" t="str">
            <v>Compressed Air System Improvements</v>
          </cell>
          <cell r="D120" t="str">
            <v>Compressed Air System Dryer Improvements</v>
          </cell>
        </row>
        <row r="121">
          <cell r="B121" t="str">
            <v>Compressed Air</v>
          </cell>
          <cell r="C121" t="str">
            <v>Compressed Air System Improvements</v>
          </cell>
          <cell r="D121" t="str">
            <v>Compressed Air System Regulation Improvements</v>
          </cell>
        </row>
        <row r="122">
          <cell r="B122" t="str">
            <v>Compressed Air</v>
          </cell>
          <cell r="C122" t="str">
            <v>Compressed Air System Improvements</v>
          </cell>
          <cell r="D122" t="str">
            <v>Compressed Air System Storage Improvements</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DEI Forecast (Base Case)"/>
      <sheetName val="DEI Forecast (High)"/>
      <sheetName val="DEI Forecast (Low)"/>
      <sheetName val="DataCenter Forecast (Base Case)"/>
      <sheetName val="DataCenter Forecast (High)"/>
      <sheetName val="DataCenter Forecast (Low)"/>
      <sheetName val="Region Load (Base Case)"/>
      <sheetName val="Region Load (High)"/>
      <sheetName val="Region Load (Low)"/>
      <sheetName val="7P Forecasts D2"/>
      <sheetName val="Pop Forecast (High Case)"/>
      <sheetName val="Pop Forecast (Low Case)"/>
      <sheetName val="ProCost 6th Plan Inputs"/>
    </sheetNames>
    <definedNames>
      <definedName name="rng_ForecastColumnLookup" refersTo="='Forecast Switchboard'!$H$21:$AE$21"/>
      <definedName name="rng_ForecastRowLookup" refersTo="='Forecast Switchboard'!$G$22:$G$502"/>
      <definedName name="switch_ForecastScenario" refersTo="='Forecast Switchboard'!$H$3"/>
      <definedName name="switch_ForecastState" refersTo="='Forecast Switchboard'!$H$4"/>
      <definedName name="tbl_Forecast" refersTo="='Forecast Switchboard'!$H$22:$AE$502"/>
    </definedNames>
    <sheetDataSet>
      <sheetData sheetId="0"/>
      <sheetData sheetId="1">
        <row r="3">
          <cell r="H3" t="str">
            <v>Base</v>
          </cell>
        </row>
        <row r="4">
          <cell r="H4" t="str">
            <v>Region</v>
          </cell>
        </row>
        <row r="21">
          <cell r="H21" t="str">
            <v>Sector</v>
          </cell>
          <cell r="I21" t="str">
            <v>Building/Industry Type</v>
          </cell>
          <cell r="J21" t="str">
            <v>Vintage / Subcategory</v>
          </cell>
          <cell r="K21" t="str">
            <v>Forecast Units</v>
          </cell>
          <cell r="L21">
            <v>2016</v>
          </cell>
          <cell r="M21">
            <v>2017</v>
          </cell>
          <cell r="N21">
            <v>2018</v>
          </cell>
          <cell r="O21">
            <v>2019</v>
          </cell>
          <cell r="P21">
            <v>2020</v>
          </cell>
          <cell r="Q21">
            <v>2021</v>
          </cell>
          <cell r="R21">
            <v>2022</v>
          </cell>
          <cell r="S21">
            <v>2023</v>
          </cell>
          <cell r="T21">
            <v>2024</v>
          </cell>
          <cell r="U21">
            <v>2025</v>
          </cell>
          <cell r="V21">
            <v>2026</v>
          </cell>
          <cell r="W21">
            <v>2027</v>
          </cell>
          <cell r="X21">
            <v>2028</v>
          </cell>
          <cell r="Y21">
            <v>2029</v>
          </cell>
          <cell r="Z21">
            <v>2030</v>
          </cell>
          <cell r="AA21">
            <v>2031</v>
          </cell>
          <cell r="AB21">
            <v>2032</v>
          </cell>
          <cell r="AC21">
            <v>2033</v>
          </cell>
          <cell r="AD21">
            <v>2034</v>
          </cell>
          <cell r="AE21">
            <v>2035</v>
          </cell>
        </row>
        <row r="22">
          <cell r="G22" t="str">
            <v>RegionSingle FamilyNew</v>
          </cell>
          <cell r="H22" t="str">
            <v>Res</v>
          </cell>
          <cell r="I22" t="str">
            <v>Single Family</v>
          </cell>
          <cell r="J22" t="str">
            <v>New</v>
          </cell>
          <cell r="K22" t="str">
            <v>Buildings</v>
          </cell>
          <cell r="L22">
            <v>62685.758999999998</v>
          </cell>
          <cell r="M22">
            <v>59961.781000000003</v>
          </cell>
          <cell r="N22">
            <v>56834.012000000002</v>
          </cell>
          <cell r="O22">
            <v>54985.192999999999</v>
          </cell>
          <cell r="P22">
            <v>53507.474000000002</v>
          </cell>
          <cell r="Q22">
            <v>50982.05</v>
          </cell>
          <cell r="R22">
            <v>49561.669000000002</v>
          </cell>
          <cell r="S22">
            <v>49324.517999999996</v>
          </cell>
          <cell r="T22">
            <v>48815.77</v>
          </cell>
          <cell r="U22">
            <v>49683.252</v>
          </cell>
          <cell r="V22">
            <v>50030.137000000002</v>
          </cell>
          <cell r="W22">
            <v>49387.762999999999</v>
          </cell>
          <cell r="X22">
            <v>48079.345999999998</v>
          </cell>
          <cell r="Y22">
            <v>48129.050999999999</v>
          </cell>
          <cell r="Z22">
            <v>48690.569000000003</v>
          </cell>
          <cell r="AA22">
            <v>48482.864000000001</v>
          </cell>
          <cell r="AB22">
            <v>46879.000999999997</v>
          </cell>
          <cell r="AC22">
            <v>46798.777999999998</v>
          </cell>
          <cell r="AD22">
            <v>46917.627</v>
          </cell>
          <cell r="AE22">
            <v>47236.144999999997</v>
          </cell>
        </row>
        <row r="23">
          <cell r="G23" t="str">
            <v>RegionMultifamily - Low RiseNew</v>
          </cell>
          <cell r="H23" t="str">
            <v>Res</v>
          </cell>
          <cell r="I23" t="str">
            <v>Multifamily - Low Rise</v>
          </cell>
          <cell r="J23" t="str">
            <v>New</v>
          </cell>
          <cell r="K23" t="str">
            <v>Buildings</v>
          </cell>
          <cell r="L23">
            <v>23280.347100904564</v>
          </cell>
          <cell r="M23">
            <v>23017.418106038647</v>
          </cell>
          <cell r="N23">
            <v>22811.60852767331</v>
          </cell>
          <cell r="O23">
            <v>22085.916378202593</v>
          </cell>
          <cell r="P23">
            <v>20817.853908138593</v>
          </cell>
          <cell r="Q23">
            <v>20070.279329962508</v>
          </cell>
          <cell r="R23">
            <v>19887.831284331631</v>
          </cell>
          <cell r="S23">
            <v>20257.583209811291</v>
          </cell>
          <cell r="T23">
            <v>20750.368029493613</v>
          </cell>
          <cell r="U23">
            <v>21314.334279744231</v>
          </cell>
          <cell r="V23">
            <v>21403.286239774712</v>
          </cell>
          <cell r="W23">
            <v>21409.137516518917</v>
          </cell>
          <cell r="X23">
            <v>21443.358292282628</v>
          </cell>
          <cell r="Y23">
            <v>21209.865626522758</v>
          </cell>
          <cell r="Z23">
            <v>20954.17798283829</v>
          </cell>
          <cell r="AA23">
            <v>20525.44023202754</v>
          </cell>
          <cell r="AB23">
            <v>20175.505597554071</v>
          </cell>
          <cell r="AC23">
            <v>19919.723927484571</v>
          </cell>
          <cell r="AD23">
            <v>19536.194066416414</v>
          </cell>
          <cell r="AE23">
            <v>19462.287131015248</v>
          </cell>
        </row>
        <row r="24">
          <cell r="G24" t="str">
            <v>RegionMultifamily - High RiseNew</v>
          </cell>
          <cell r="H24" t="str">
            <v>Res</v>
          </cell>
          <cell r="I24" t="str">
            <v>Multifamily - High Rise</v>
          </cell>
          <cell r="J24" t="str">
            <v>New</v>
          </cell>
          <cell r="K24" t="str">
            <v>Buildings</v>
          </cell>
          <cell r="L24">
            <v>5226.2387411561367</v>
          </cell>
          <cell r="M24">
            <v>5239.95312759432</v>
          </cell>
          <cell r="N24">
            <v>5271.2612760989568</v>
          </cell>
          <cell r="O24">
            <v>4985.883552972361</v>
          </cell>
          <cell r="P24">
            <v>4608.5912035798974</v>
          </cell>
          <cell r="Q24">
            <v>4509.6375960361838</v>
          </cell>
          <cell r="R24">
            <v>4481.760351096189</v>
          </cell>
          <cell r="S24">
            <v>4621.8312800578688</v>
          </cell>
          <cell r="T24">
            <v>4700.9782942419988</v>
          </cell>
          <cell r="U24">
            <v>4828.2391631488581</v>
          </cell>
          <cell r="V24">
            <v>4790.0249139778334</v>
          </cell>
          <cell r="W24">
            <v>4782.0649962402858</v>
          </cell>
          <cell r="X24">
            <v>4748.3908346265653</v>
          </cell>
          <cell r="Y24">
            <v>4733.4823682495089</v>
          </cell>
          <cell r="Z24">
            <v>4698.697177079107</v>
          </cell>
          <cell r="AA24">
            <v>4599.2987885998937</v>
          </cell>
          <cell r="AB24">
            <v>4526.3104216428001</v>
          </cell>
          <cell r="AC24">
            <v>4422.0600452822764</v>
          </cell>
          <cell r="AD24">
            <v>4405.182362066379</v>
          </cell>
          <cell r="AE24">
            <v>4385.1136986120664</v>
          </cell>
        </row>
        <row r="25">
          <cell r="G25" t="str">
            <v>RegionManufacturedNew</v>
          </cell>
          <cell r="H25" t="str">
            <v>Res</v>
          </cell>
          <cell r="I25" t="str">
            <v>Manufactured</v>
          </cell>
          <cell r="J25" t="str">
            <v>New</v>
          </cell>
          <cell r="K25" t="str">
            <v>Buildings</v>
          </cell>
          <cell r="L25">
            <v>1869.5754050925925</v>
          </cell>
          <cell r="M25">
            <v>1881.796305941358</v>
          </cell>
          <cell r="N25">
            <v>1949.1340235982509</v>
          </cell>
          <cell r="O25">
            <v>2021.1963608646258</v>
          </cell>
          <cell r="P25">
            <v>1959.5061710087307</v>
          </cell>
          <cell r="Q25">
            <v>1928.5764356212967</v>
          </cell>
          <cell r="R25">
            <v>1934.9641170211423</v>
          </cell>
          <cell r="S25">
            <v>1945.862235675901</v>
          </cell>
          <cell r="T25">
            <v>1956.539890631658</v>
          </cell>
          <cell r="U25">
            <v>1957.7742018038925</v>
          </cell>
          <cell r="V25">
            <v>1947.2038419604366</v>
          </cell>
          <cell r="W25">
            <v>1945.153453785721</v>
          </cell>
          <cell r="X25">
            <v>1947.9162901464586</v>
          </cell>
          <cell r="Y25">
            <v>1950.0749856673444</v>
          </cell>
          <cell r="Z25">
            <v>1950.7771106659191</v>
          </cell>
          <cell r="AA25">
            <v>1949.8166473382953</v>
          </cell>
          <cell r="AB25">
            <v>1948.4903882606959</v>
          </cell>
          <cell r="AC25">
            <v>1948.7048126440727</v>
          </cell>
          <cell r="AD25">
            <v>1949.296705787131</v>
          </cell>
          <cell r="AE25">
            <v>1949.5267750605763</v>
          </cell>
        </row>
        <row r="26">
          <cell r="G26" t="str">
            <v>RegionSingle FamilyExisting</v>
          </cell>
          <cell r="H26" t="str">
            <v>Res</v>
          </cell>
          <cell r="I26" t="str">
            <v>Single Family</v>
          </cell>
          <cell r="J26" t="str">
            <v>Existing</v>
          </cell>
          <cell r="K26" t="str">
            <v>Buildings</v>
          </cell>
          <cell r="L26">
            <v>4203528.2719999999</v>
          </cell>
          <cell r="M26">
            <v>4193982.9785983553</v>
          </cell>
          <cell r="N26">
            <v>4184459.3604704877</v>
          </cell>
          <cell r="O26">
            <v>4174957.36839659</v>
          </cell>
          <cell r="P26">
            <v>4165476.9532686244</v>
          </cell>
          <cell r="Q26">
            <v>4156018.0660900641</v>
          </cell>
          <cell r="R26">
            <v>4146580.6579756448</v>
          </cell>
          <cell r="S26">
            <v>4137164.6801511091</v>
          </cell>
          <cell r="T26">
            <v>4127770.0839529554</v>
          </cell>
          <cell r="U26">
            <v>4118396.8208281873</v>
          </cell>
          <cell r="V26">
            <v>4109044.8423340586</v>
          </cell>
          <cell r="W26">
            <v>4099714.1001378288</v>
          </cell>
          <cell r="X26">
            <v>4090404.5460165106</v>
          </cell>
          <cell r="Y26">
            <v>4081116.1318566194</v>
          </cell>
          <cell r="Z26">
            <v>4071848.8096539262</v>
          </cell>
          <cell r="AA26">
            <v>4062602.5315132081</v>
          </cell>
          <cell r="AB26">
            <v>4053377.2496480034</v>
          </cell>
          <cell r="AC26">
            <v>4044172.9163803621</v>
          </cell>
          <cell r="AD26">
            <v>4034989.4841406001</v>
          </cell>
          <cell r="AE26">
            <v>4025826.9054670548</v>
          </cell>
        </row>
        <row r="27">
          <cell r="G27" t="str">
            <v>RegionMultifamily - Low RiseExisting</v>
          </cell>
          <cell r="H27" t="str">
            <v>Res</v>
          </cell>
          <cell r="I27" t="str">
            <v>Multifamily - Low Rise</v>
          </cell>
          <cell r="J27" t="str">
            <v>Existing</v>
          </cell>
          <cell r="K27" t="str">
            <v>Buildings</v>
          </cell>
          <cell r="L27">
            <v>926243.25609262148</v>
          </cell>
          <cell r="M27">
            <v>924139.92640956037</v>
          </cell>
          <cell r="N27">
            <v>922041.3730050053</v>
          </cell>
          <cell r="O27">
            <v>919947.58503289847</v>
          </cell>
          <cell r="P27">
            <v>917858.55167181045</v>
          </cell>
          <cell r="Q27">
            <v>915774.26212488639</v>
          </cell>
          <cell r="R27">
            <v>913694.70561978838</v>
          </cell>
          <cell r="S27">
            <v>911619.87140864041</v>
          </cell>
          <cell r="T27">
            <v>909549.74876797362</v>
          </cell>
          <cell r="U27">
            <v>907484.32699866977</v>
          </cell>
          <cell r="V27">
            <v>905423.59542590659</v>
          </cell>
          <cell r="W27">
            <v>903367.54339910217</v>
          </cell>
          <cell r="X27">
            <v>901316.16029185988</v>
          </cell>
          <cell r="Y27">
            <v>899269.43550191447</v>
          </cell>
          <cell r="Z27">
            <v>897227.35845107585</v>
          </cell>
          <cell r="AA27">
            <v>895189.9185851753</v>
          </cell>
          <cell r="AB27">
            <v>893157.10537401051</v>
          </cell>
          <cell r="AC27">
            <v>891128.90831129183</v>
          </cell>
          <cell r="AD27">
            <v>889105.31691458682</v>
          </cell>
          <cell r="AE27">
            <v>887086.32072526717</v>
          </cell>
        </row>
        <row r="28">
          <cell r="G28" t="str">
            <v>RegionMultifamily - High RiseExisting</v>
          </cell>
          <cell r="H28" t="str">
            <v>Res</v>
          </cell>
          <cell r="I28" t="str">
            <v>Multifamily - High Rise</v>
          </cell>
          <cell r="J28" t="str">
            <v>Existing</v>
          </cell>
          <cell r="K28" t="str">
            <v>Buildings</v>
          </cell>
          <cell r="L28">
            <v>211180.07985625503</v>
          </cell>
          <cell r="M28">
            <v>210700.52836963299</v>
          </cell>
          <cell r="N28">
            <v>210222.06585706791</v>
          </cell>
          <cell r="O28">
            <v>209744.68984569819</v>
          </cell>
          <cell r="P28">
            <v>209268.39786827751</v>
          </cell>
          <cell r="Q28">
            <v>208793.18746316229</v>
          </cell>
          <cell r="R28">
            <v>208319.05617429892</v>
          </cell>
          <cell r="S28">
            <v>207846.00155121088</v>
          </cell>
          <cell r="T28">
            <v>207374.0211489865</v>
          </cell>
          <cell r="U28">
            <v>206903.11252826577</v>
          </cell>
          <cell r="V28">
            <v>206433.27325522827</v>
          </cell>
          <cell r="W28">
            <v>205964.50090158021</v>
          </cell>
          <cell r="X28">
            <v>205496.79304454199</v>
          </cell>
          <cell r="Y28">
            <v>205030.14726683579</v>
          </cell>
          <cell r="Z28">
            <v>204564.56115667295</v>
          </cell>
          <cell r="AA28">
            <v>204100.03230774152</v>
          </cell>
          <cell r="AB28">
            <v>203636.55831919383</v>
          </cell>
          <cell r="AC28">
            <v>203174.13679563423</v>
          </cell>
          <cell r="AD28">
            <v>202712.76534710638</v>
          </cell>
          <cell r="AE28">
            <v>202252.44158908122</v>
          </cell>
        </row>
        <row r="29">
          <cell r="G29" t="str">
            <v>RegionManufacturedExisting</v>
          </cell>
          <cell r="H29" t="str">
            <v>Res</v>
          </cell>
          <cell r="I29" t="str">
            <v>Manufactured</v>
          </cell>
          <cell r="J29" t="str">
            <v>Existing</v>
          </cell>
          <cell r="K29" t="str">
            <v>Buildings</v>
          </cell>
          <cell r="L29">
            <v>572006.3278356482</v>
          </cell>
          <cell r="M29">
            <v>565893.30394507048</v>
          </cell>
          <cell r="N29">
            <v>559845.60985814757</v>
          </cell>
          <cell r="O29">
            <v>553862.54739615123</v>
          </cell>
          <cell r="P29">
            <v>547943.42584177968</v>
          </cell>
          <cell r="Q29">
            <v>542087.56185941794</v>
          </cell>
          <cell r="R29">
            <v>536294.27941624937</v>
          </cell>
          <cell r="S29">
            <v>530562.90970421082</v>
          </cell>
          <cell r="T29">
            <v>524892.79106278194</v>
          </cell>
          <cell r="U29">
            <v>519283.26890259917</v>
          </cell>
          <cell r="V29">
            <v>513733.69562988722</v>
          </cell>
          <cell r="W29">
            <v>508243.4305716962</v>
          </cell>
          <cell r="X29">
            <v>502811.8399019395</v>
          </cell>
          <cell r="Y29">
            <v>497438.2965682213</v>
          </cell>
          <cell r="Z29">
            <v>492122.18021944637</v>
          </cell>
          <cell r="AA29">
            <v>486862.87713420321</v>
          </cell>
          <cell r="AB29">
            <v>481659.78014991269</v>
          </cell>
          <cell r="AC29">
            <v>476512.28859273402</v>
          </cell>
          <cell r="AD29">
            <v>471419.80820821953</v>
          </cell>
          <cell r="AE29">
            <v>466381.75109271082</v>
          </cell>
        </row>
        <row r="30">
          <cell r="G30" t="str">
            <v>RegionLarge OffNew</v>
          </cell>
          <cell r="H30" t="str">
            <v>Com</v>
          </cell>
          <cell r="I30" t="str">
            <v>Large Off</v>
          </cell>
          <cell r="J30" t="str">
            <v>New</v>
          </cell>
          <cell r="K30" t="str">
            <v>Millions SqFt</v>
          </cell>
          <cell r="L30">
            <v>7.8066550111953834</v>
          </cell>
          <cell r="M30">
            <v>5.9496992573140863</v>
          </cell>
          <cell r="N30">
            <v>5.890903545908837</v>
          </cell>
          <cell r="O30">
            <v>6.8915688291332424</v>
          </cell>
          <cell r="P30">
            <v>6.6410191533148355</v>
          </cell>
          <cell r="Q30">
            <v>5.4382226791221893</v>
          </cell>
          <cell r="R30">
            <v>6.9236851515846078</v>
          </cell>
          <cell r="S30">
            <v>6.040566884985755</v>
          </cell>
          <cell r="T30">
            <v>5.8620040343764588</v>
          </cell>
          <cell r="U30">
            <v>6.6048352977963205</v>
          </cell>
          <cell r="V30">
            <v>6.6081856774849808</v>
          </cell>
          <cell r="W30">
            <v>7.2276230030590352</v>
          </cell>
          <cell r="X30">
            <v>7.9321378463678132</v>
          </cell>
          <cell r="Y30">
            <v>7.2590370336019197</v>
          </cell>
          <cell r="Z30">
            <v>7.9122271387396417</v>
          </cell>
          <cell r="AA30">
            <v>7.7623340380974311</v>
          </cell>
          <cell r="AB30">
            <v>7.6402299023279152</v>
          </cell>
          <cell r="AC30">
            <v>7.1724831299946894</v>
          </cell>
          <cell r="AD30">
            <v>7.0810470955732994</v>
          </cell>
          <cell r="AE30">
            <v>7.4281005850341701</v>
          </cell>
        </row>
        <row r="31">
          <cell r="G31" t="str">
            <v>RegionMedium OffNew</v>
          </cell>
          <cell r="H31" t="str">
            <v>Com</v>
          </cell>
          <cell r="I31" t="str">
            <v>Medium Off</v>
          </cell>
          <cell r="J31" t="str">
            <v>New</v>
          </cell>
          <cell r="K31" t="str">
            <v>Millions SqFt</v>
          </cell>
          <cell r="L31">
            <v>6.3306892326899415</v>
          </cell>
          <cell r="M31">
            <v>4.6245517962703104</v>
          </cell>
          <cell r="N31">
            <v>4.6954401235311058</v>
          </cell>
          <cell r="O31">
            <v>5.5561738496820645</v>
          </cell>
          <cell r="P31">
            <v>5.2903315868283292</v>
          </cell>
          <cell r="Q31">
            <v>4.0954748538564614</v>
          </cell>
          <cell r="R31">
            <v>5.6166455086822502</v>
          </cell>
          <cell r="S31">
            <v>4.8928421056079552</v>
          </cell>
          <cell r="T31">
            <v>4.6489885594062974</v>
          </cell>
          <cell r="U31">
            <v>5.3600762751998365</v>
          </cell>
          <cell r="V31">
            <v>5.3451061612370649</v>
          </cell>
          <cell r="W31">
            <v>5.7169042762389006</v>
          </cell>
          <cell r="X31">
            <v>6.1644080859749115</v>
          </cell>
          <cell r="Y31">
            <v>5.8003829082546376</v>
          </cell>
          <cell r="Z31">
            <v>6.4331999103991837</v>
          </cell>
          <cell r="AA31">
            <v>6.1077443299386847</v>
          </cell>
          <cell r="AB31">
            <v>6.3133258324543373</v>
          </cell>
          <cell r="AC31">
            <v>5.5403053352108875</v>
          </cell>
          <cell r="AD31">
            <v>5.5266028757425794</v>
          </cell>
          <cell r="AE31">
            <v>5.9833355534459063</v>
          </cell>
        </row>
        <row r="32">
          <cell r="G32" t="str">
            <v>RegionSmall OffNew</v>
          </cell>
          <cell r="H32" t="str">
            <v>Com</v>
          </cell>
          <cell r="I32" t="str">
            <v>Small Off</v>
          </cell>
          <cell r="J32" t="str">
            <v>New</v>
          </cell>
          <cell r="K32" t="str">
            <v>Millions SqFt</v>
          </cell>
          <cell r="L32">
            <v>1.6621196768024407</v>
          </cell>
          <cell r="M32">
            <v>1.2170657423442173</v>
          </cell>
          <cell r="N32">
            <v>1.2444333527444498</v>
          </cell>
          <cell r="O32">
            <v>1.4586094503549032</v>
          </cell>
          <cell r="P32">
            <v>1.4004070058555529</v>
          </cell>
          <cell r="Q32">
            <v>1.0787722980410579</v>
          </cell>
          <cell r="R32">
            <v>1.4747976167420549</v>
          </cell>
          <cell r="S32">
            <v>1.2896357804774434</v>
          </cell>
          <cell r="T32">
            <v>1.2239291307589197</v>
          </cell>
          <cell r="U32">
            <v>1.4012443744673324</v>
          </cell>
          <cell r="V32">
            <v>1.3991315932028052</v>
          </cell>
          <cell r="W32">
            <v>1.4996248899933684</v>
          </cell>
          <cell r="X32">
            <v>1.6197763904689295</v>
          </cell>
          <cell r="Y32">
            <v>1.5187400891362097</v>
          </cell>
          <cell r="Z32">
            <v>1.6890757136254622</v>
          </cell>
          <cell r="AA32">
            <v>1.5972356158259797</v>
          </cell>
          <cell r="AB32">
            <v>1.640465747141107</v>
          </cell>
          <cell r="AC32">
            <v>1.4565955217811706</v>
          </cell>
          <cell r="AD32">
            <v>1.4531741906643101</v>
          </cell>
          <cell r="AE32">
            <v>1.5648660344158036</v>
          </cell>
        </row>
        <row r="33">
          <cell r="G33" t="str">
            <v>RegionXLarge RetNew</v>
          </cell>
          <cell r="H33" t="str">
            <v>Com</v>
          </cell>
          <cell r="I33" t="str">
            <v>XLarge Ret</v>
          </cell>
          <cell r="J33" t="str">
            <v>New</v>
          </cell>
          <cell r="K33" t="str">
            <v>Millions SqFt</v>
          </cell>
          <cell r="L33">
            <v>1.799418169017593</v>
          </cell>
          <cell r="M33">
            <v>1.485755176968429</v>
          </cell>
          <cell r="N33">
            <v>0.89794362681754358</v>
          </cell>
          <cell r="O33">
            <v>0.91201694404352718</v>
          </cell>
          <cell r="P33">
            <v>0.85125423267540556</v>
          </cell>
          <cell r="Q33">
            <v>0.73204497427617965</v>
          </cell>
          <cell r="R33">
            <v>0.73428349109996394</v>
          </cell>
          <cell r="S33">
            <v>0.71341173425108251</v>
          </cell>
          <cell r="T33">
            <v>0.89455902577447755</v>
          </cell>
          <cell r="U33">
            <v>1.032083805968905</v>
          </cell>
          <cell r="V33">
            <v>1.0963398187475875</v>
          </cell>
          <cell r="W33">
            <v>1.617287860192538</v>
          </cell>
          <cell r="X33">
            <v>1.8239074921539626</v>
          </cell>
          <cell r="Y33">
            <v>1.6267354909009817</v>
          </cell>
          <cell r="Z33">
            <v>1.5970323938843554</v>
          </cell>
          <cell r="AA33">
            <v>1.5393396581386409</v>
          </cell>
          <cell r="AB33">
            <v>1.2960530677092543</v>
          </cell>
          <cell r="AC33">
            <v>1.3176455108269955</v>
          </cell>
          <cell r="AD33">
            <v>1.2469979474733393</v>
          </cell>
          <cell r="AE33">
            <v>1.3540449607593745</v>
          </cell>
        </row>
        <row r="34">
          <cell r="G34" t="str">
            <v>RegionLarge RetNew</v>
          </cell>
          <cell r="H34" t="str">
            <v>Com</v>
          </cell>
          <cell r="I34" t="str">
            <v>Large Ret</v>
          </cell>
          <cell r="J34" t="str">
            <v>New</v>
          </cell>
          <cell r="K34" t="str">
            <v>Millions SqFt</v>
          </cell>
          <cell r="L34">
            <v>0.71960427219664069</v>
          </cell>
          <cell r="M34">
            <v>0.59647847099566831</v>
          </cell>
          <cell r="N34">
            <v>0.36611838042447359</v>
          </cell>
          <cell r="O34">
            <v>0.3731768350638246</v>
          </cell>
          <cell r="P34">
            <v>0.34504559304633386</v>
          </cell>
          <cell r="Q34">
            <v>0.2928623587115301</v>
          </cell>
          <cell r="R34">
            <v>0.29376294298921468</v>
          </cell>
          <cell r="S34">
            <v>0.28416308329236456</v>
          </cell>
          <cell r="T34">
            <v>0.36455471421578001</v>
          </cell>
          <cell r="U34">
            <v>0.42646627810709853</v>
          </cell>
          <cell r="V34">
            <v>0.44956380488737768</v>
          </cell>
          <cell r="W34">
            <v>0.65213839834683018</v>
          </cell>
          <cell r="X34">
            <v>0.73353807331773047</v>
          </cell>
          <cell r="Y34">
            <v>0.65560780242911365</v>
          </cell>
          <cell r="Z34">
            <v>0.64604928436358278</v>
          </cell>
          <cell r="AA34">
            <v>0.62178261445398098</v>
          </cell>
          <cell r="AB34">
            <v>0.52554853465709617</v>
          </cell>
          <cell r="AC34">
            <v>0.53266253778165396</v>
          </cell>
          <cell r="AD34">
            <v>0.50454130308386236</v>
          </cell>
          <cell r="AE34">
            <v>0.54553111610891503</v>
          </cell>
        </row>
        <row r="35">
          <cell r="G35" t="str">
            <v>RegionMedium RetNew</v>
          </cell>
          <cell r="H35" t="str">
            <v>Com</v>
          </cell>
          <cell r="I35" t="str">
            <v>Medium Ret</v>
          </cell>
          <cell r="J35" t="str">
            <v>New</v>
          </cell>
          <cell r="K35" t="str">
            <v>Millions SqFt</v>
          </cell>
          <cell r="L35">
            <v>2.7275899469990224</v>
          </cell>
          <cell r="M35">
            <v>2.2451802625726844</v>
          </cell>
          <cell r="N35">
            <v>1.3846551620328988</v>
          </cell>
          <cell r="O35">
            <v>1.414332931216091</v>
          </cell>
          <cell r="P35">
            <v>1.3048976182463843</v>
          </cell>
          <cell r="Q35">
            <v>1.1035456427042536</v>
          </cell>
          <cell r="R35">
            <v>1.0932193385059683</v>
          </cell>
          <cell r="S35">
            <v>1.0602010304011045</v>
          </cell>
          <cell r="T35">
            <v>1.3687417218066935</v>
          </cell>
          <cell r="U35">
            <v>1.6102119957699914</v>
          </cell>
          <cell r="V35">
            <v>1.7014476793012303</v>
          </cell>
          <cell r="W35">
            <v>2.4475448442766612</v>
          </cell>
          <cell r="X35">
            <v>2.7642584104961641</v>
          </cell>
          <cell r="Y35">
            <v>2.4645092385842489</v>
          </cell>
          <cell r="Z35">
            <v>2.435211674558635</v>
          </cell>
          <cell r="AA35">
            <v>2.3436666024455817</v>
          </cell>
          <cell r="AB35">
            <v>1.9970991421399598</v>
          </cell>
          <cell r="AC35">
            <v>2.0220850932468024</v>
          </cell>
          <cell r="AD35">
            <v>1.9074632582746243</v>
          </cell>
          <cell r="AE35">
            <v>2.0633846520749657</v>
          </cell>
        </row>
        <row r="36">
          <cell r="G36" t="str">
            <v>RegionSmall RetNew</v>
          </cell>
          <cell r="H36" t="str">
            <v>Com</v>
          </cell>
          <cell r="I36" t="str">
            <v>Small Ret</v>
          </cell>
          <cell r="J36" t="str">
            <v>New</v>
          </cell>
          <cell r="K36" t="str">
            <v>Millions SqFt</v>
          </cell>
          <cell r="L36">
            <v>0.86249938561661099</v>
          </cell>
          <cell r="M36">
            <v>0.71243811393533818</v>
          </cell>
          <cell r="N36">
            <v>0.43988135050703958</v>
          </cell>
          <cell r="O36">
            <v>0.44879648252082133</v>
          </cell>
          <cell r="P36">
            <v>0.41374173801952452</v>
          </cell>
          <cell r="Q36">
            <v>0.34301620014224921</v>
          </cell>
          <cell r="R36">
            <v>0.33946657261656726</v>
          </cell>
          <cell r="S36">
            <v>0.32965754978673117</v>
          </cell>
          <cell r="T36">
            <v>0.43689232903555525</v>
          </cell>
          <cell r="U36">
            <v>0.51886957722704219</v>
          </cell>
          <cell r="V36">
            <v>0.54817313334918127</v>
          </cell>
          <cell r="W36">
            <v>0.77969532117377649</v>
          </cell>
          <cell r="X36">
            <v>0.87858644381951334</v>
          </cell>
          <cell r="Y36">
            <v>0.78420074698109388</v>
          </cell>
          <cell r="Z36">
            <v>0.77728841592354081</v>
          </cell>
          <cell r="AA36">
            <v>0.74886674252534069</v>
          </cell>
          <cell r="AB36">
            <v>0.63964179951326661</v>
          </cell>
          <cell r="AC36">
            <v>0.64714740319049269</v>
          </cell>
          <cell r="AD36">
            <v>0.61166389038687663</v>
          </cell>
          <cell r="AE36">
            <v>0.66242443593788758</v>
          </cell>
        </row>
        <row r="37">
          <cell r="G37" t="str">
            <v>RegionSchool K-12New</v>
          </cell>
          <cell r="H37" t="str">
            <v>Com</v>
          </cell>
          <cell r="I37" t="str">
            <v>School K-12</v>
          </cell>
          <cell r="J37" t="str">
            <v>New</v>
          </cell>
          <cell r="K37" t="str">
            <v>Millions SqFt</v>
          </cell>
          <cell r="L37">
            <v>0.49337113702797691</v>
          </cell>
          <cell r="M37">
            <v>1.1029723159217257</v>
          </cell>
          <cell r="N37">
            <v>0.94992456965043459</v>
          </cell>
          <cell r="O37">
            <v>0.71720701164062661</v>
          </cell>
          <cell r="P37">
            <v>0.7442281187428561</v>
          </cell>
          <cell r="Q37">
            <v>0.85140099810585501</v>
          </cell>
          <cell r="R37">
            <v>0.99139466996200198</v>
          </cell>
          <cell r="S37">
            <v>1.5014629353162949</v>
          </cell>
          <cell r="T37">
            <v>1.8697826256608596</v>
          </cell>
          <cell r="U37">
            <v>1.6452707482432332</v>
          </cell>
          <cell r="V37">
            <v>1.6753181172445872</v>
          </cell>
          <cell r="W37">
            <v>1.7943041099264481</v>
          </cell>
          <cell r="X37">
            <v>1.8624299937819393</v>
          </cell>
          <cell r="Y37">
            <v>1.7489264522150836</v>
          </cell>
          <cell r="Z37">
            <v>1.7975598556031414</v>
          </cell>
          <cell r="AA37">
            <v>1.6195220459723754</v>
          </cell>
          <cell r="AB37">
            <v>1.8221433074925411</v>
          </cell>
          <cell r="AC37">
            <v>1.6336676691608698</v>
          </cell>
          <cell r="AD37">
            <v>1.7826242149357872</v>
          </cell>
          <cell r="AE37">
            <v>1.6891002859244486</v>
          </cell>
        </row>
        <row r="38">
          <cell r="G38" t="str">
            <v>RegionUniversityNew</v>
          </cell>
          <cell r="H38" t="str">
            <v>Com</v>
          </cell>
          <cell r="I38" t="str">
            <v>University</v>
          </cell>
          <cell r="J38" t="str">
            <v>New</v>
          </cell>
          <cell r="K38" t="str">
            <v>Millions SqFt</v>
          </cell>
          <cell r="L38">
            <v>0.2800209986196866</v>
          </cell>
          <cell r="M38">
            <v>0.29719871383536939</v>
          </cell>
          <cell r="N38">
            <v>0.58203115602335975</v>
          </cell>
          <cell r="O38">
            <v>0.83189457735737737</v>
          </cell>
          <cell r="P38">
            <v>0.66610454718876777</v>
          </cell>
          <cell r="Q38">
            <v>0.73648247778559484</v>
          </cell>
          <cell r="R38">
            <v>0.64334185638367225</v>
          </cell>
          <cell r="S38">
            <v>0.97289424291238524</v>
          </cell>
          <cell r="T38">
            <v>1.1820978013224126</v>
          </cell>
          <cell r="U38">
            <v>1.1785313924254113</v>
          </cell>
          <cell r="V38">
            <v>1.2952038876416079</v>
          </cell>
          <cell r="W38">
            <v>1.3229243736280945</v>
          </cell>
          <cell r="X38">
            <v>1.422909455419719</v>
          </cell>
          <cell r="Y38">
            <v>1.4430187909981058</v>
          </cell>
          <cell r="Z38">
            <v>1.2923971403480323</v>
          </cell>
          <cell r="AA38">
            <v>1.1785050733908478</v>
          </cell>
          <cell r="AB38">
            <v>1.3433889489273994</v>
          </cell>
          <cell r="AC38">
            <v>1.2265545990556588</v>
          </cell>
          <cell r="AD38">
            <v>1.2571458643971927</v>
          </cell>
          <cell r="AE38">
            <v>1.2979913333963795</v>
          </cell>
        </row>
        <row r="39">
          <cell r="G39" t="str">
            <v>RegionWarehouseNew</v>
          </cell>
          <cell r="H39" t="str">
            <v>Com</v>
          </cell>
          <cell r="I39" t="str">
            <v>Warehouse</v>
          </cell>
          <cell r="J39" t="str">
            <v>New</v>
          </cell>
          <cell r="K39" t="str">
            <v>Millions SqFt</v>
          </cell>
          <cell r="L39">
            <v>7.6586609772993617</v>
          </cell>
          <cell r="M39">
            <v>7.5774552212762423</v>
          </cell>
          <cell r="N39">
            <v>5.6453939930651131</v>
          </cell>
          <cell r="O39">
            <v>4.800793231843981</v>
          </cell>
          <cell r="P39">
            <v>3.5881391412601156</v>
          </cell>
          <cell r="Q39">
            <v>3.1529819033971824</v>
          </cell>
          <cell r="R39">
            <v>4.0691744688008198</v>
          </cell>
          <cell r="S39">
            <v>4.5400289951106014</v>
          </cell>
          <cell r="T39">
            <v>4.8555474587969272</v>
          </cell>
          <cell r="U39">
            <v>4.6966359797376018</v>
          </cell>
          <cell r="V39">
            <v>4.8557170740974245</v>
          </cell>
          <cell r="W39">
            <v>4.451750056135543</v>
          </cell>
          <cell r="X39">
            <v>3.8657972013430704</v>
          </cell>
          <cell r="Y39">
            <v>3.9817445148405937</v>
          </cell>
          <cell r="Z39">
            <v>3.9951806948216846</v>
          </cell>
          <cell r="AA39">
            <v>4.4738164673360306</v>
          </cell>
          <cell r="AB39">
            <v>4.2737219736102183</v>
          </cell>
          <cell r="AC39">
            <v>4.0870251812551333</v>
          </cell>
          <cell r="AD39">
            <v>4.137725578117939</v>
          </cell>
          <cell r="AE39">
            <v>3.6922064696454697</v>
          </cell>
        </row>
        <row r="40">
          <cell r="G40" t="str">
            <v>RegionSupermarketNew</v>
          </cell>
          <cell r="H40" t="str">
            <v>Com</v>
          </cell>
          <cell r="I40" t="str">
            <v>Supermarket</v>
          </cell>
          <cell r="J40" t="str">
            <v>New</v>
          </cell>
          <cell r="K40" t="str">
            <v>Millions SqFt</v>
          </cell>
          <cell r="L40">
            <v>0.38924897939746522</v>
          </cell>
          <cell r="M40">
            <v>0.34341311895347121</v>
          </cell>
          <cell r="N40">
            <v>0.29927348040561341</v>
          </cell>
          <cell r="O40">
            <v>0.29688874456634085</v>
          </cell>
          <cell r="P40">
            <v>0.29379933994281465</v>
          </cell>
          <cell r="Q40">
            <v>0.29041766271303127</v>
          </cell>
          <cell r="R40">
            <v>0.28614144770449462</v>
          </cell>
          <cell r="S40">
            <v>0.28163861967746157</v>
          </cell>
          <cell r="T40">
            <v>0.27688800876616482</v>
          </cell>
          <cell r="U40">
            <v>0.27357754310134663</v>
          </cell>
          <cell r="V40">
            <v>0.27063184585003941</v>
          </cell>
          <cell r="W40">
            <v>0.26801411864303953</v>
          </cell>
          <cell r="X40">
            <v>0.26660240614409092</v>
          </cell>
          <cell r="Y40">
            <v>0.25138198684402913</v>
          </cell>
          <cell r="Z40">
            <v>0.26455339135243683</v>
          </cell>
          <cell r="AA40">
            <v>0.26299167309250365</v>
          </cell>
          <cell r="AB40">
            <v>0.26140909607327911</v>
          </cell>
          <cell r="AC40">
            <v>0.25947687815142023</v>
          </cell>
          <cell r="AD40">
            <v>0.25750619496776178</v>
          </cell>
          <cell r="AE40">
            <v>0.25562560804995926</v>
          </cell>
        </row>
        <row r="41">
          <cell r="G41" t="str">
            <v>RegionMiniMartNew</v>
          </cell>
          <cell r="H41" t="str">
            <v>Com</v>
          </cell>
          <cell r="I41" t="str">
            <v>MiniMart</v>
          </cell>
          <cell r="J41" t="str">
            <v>New</v>
          </cell>
          <cell r="K41" t="str">
            <v>Millions SqFt</v>
          </cell>
          <cell r="L41">
            <v>0.19765540078516197</v>
          </cell>
          <cell r="M41">
            <v>0.18600542935034625</v>
          </cell>
          <cell r="N41">
            <v>9.5760802585072302E-2</v>
          </cell>
          <cell r="O41">
            <v>0.10062051473914659</v>
          </cell>
          <cell r="P41">
            <v>8.5646792534183808E-2</v>
          </cell>
          <cell r="Q41">
            <v>6.5415041923045286E-2</v>
          </cell>
          <cell r="R41">
            <v>5.7242996146950373E-2</v>
          </cell>
          <cell r="S41">
            <v>5.5087150941189433E-2</v>
          </cell>
          <cell r="T41">
            <v>7.3916214299540497E-2</v>
          </cell>
          <cell r="U41">
            <v>9.2056169088318471E-2</v>
          </cell>
          <cell r="V41">
            <v>0.10393709432109566</v>
          </cell>
          <cell r="W41">
            <v>0.15172170448022598</v>
          </cell>
          <cell r="X41">
            <v>0.15706997726929292</v>
          </cell>
          <cell r="Y41">
            <v>0.14510580631504899</v>
          </cell>
          <cell r="Z41">
            <v>0.15272706829792246</v>
          </cell>
          <cell r="AA41">
            <v>0.14104647748606622</v>
          </cell>
          <cell r="AB41">
            <v>0.11700741064540764</v>
          </cell>
          <cell r="AC41">
            <v>0.1200067315077773</v>
          </cell>
          <cell r="AD41">
            <v>0.11457442878633581</v>
          </cell>
          <cell r="AE41">
            <v>0.1211768182439132</v>
          </cell>
        </row>
        <row r="42">
          <cell r="G42" t="str">
            <v>RegionRestaurantNew</v>
          </cell>
          <cell r="H42" t="str">
            <v>Com</v>
          </cell>
          <cell r="I42" t="str">
            <v>Restaurant</v>
          </cell>
          <cell r="J42" t="str">
            <v>New</v>
          </cell>
          <cell r="K42" t="str">
            <v>Millions SqFt</v>
          </cell>
          <cell r="L42">
            <v>0.46894871790011039</v>
          </cell>
          <cell r="M42">
            <v>0.47387410836125871</v>
          </cell>
          <cell r="N42">
            <v>0.45144590813821411</v>
          </cell>
          <cell r="O42">
            <v>0.4505136151455652</v>
          </cell>
          <cell r="P42">
            <v>0.44778046039172248</v>
          </cell>
          <cell r="Q42">
            <v>0.44523396067124349</v>
          </cell>
          <cell r="R42">
            <v>0.44273536313864043</v>
          </cell>
          <cell r="S42">
            <v>0.4399078135546039</v>
          </cell>
          <cell r="T42">
            <v>0.43708606600163591</v>
          </cell>
          <cell r="U42">
            <v>0.43513915585550955</v>
          </cell>
          <cell r="V42">
            <v>0.43580404899906589</v>
          </cell>
          <cell r="W42">
            <v>0.59161866303702282</v>
          </cell>
          <cell r="X42">
            <v>0.66467702134516005</v>
          </cell>
          <cell r="Y42">
            <v>0.65353995366480533</v>
          </cell>
          <cell r="Z42">
            <v>0.676060915960916</v>
          </cell>
          <cell r="AA42">
            <v>0.70559825286541389</v>
          </cell>
          <cell r="AB42">
            <v>0.63206878506691044</v>
          </cell>
          <cell r="AC42">
            <v>0.63726309269471215</v>
          </cell>
          <cell r="AD42">
            <v>0.5828366650853003</v>
          </cell>
          <cell r="AE42">
            <v>0.63928201324113043</v>
          </cell>
        </row>
        <row r="43">
          <cell r="G43" t="str">
            <v>RegionLodgingNew</v>
          </cell>
          <cell r="H43" t="str">
            <v>Com</v>
          </cell>
          <cell r="I43" t="str">
            <v>Lodging</v>
          </cell>
          <cell r="J43" t="str">
            <v>New</v>
          </cell>
          <cell r="K43" t="str">
            <v>Millions SqFt</v>
          </cell>
          <cell r="L43">
            <v>1.0326774321313152</v>
          </cell>
          <cell r="M43">
            <v>1.0158776160943388</v>
          </cell>
          <cell r="N43">
            <v>0.74304915446037911</v>
          </cell>
          <cell r="O43">
            <v>0.76054102414226543</v>
          </cell>
          <cell r="P43">
            <v>0.65616402459427536</v>
          </cell>
          <cell r="Q43">
            <v>0.62755023267601961</v>
          </cell>
          <cell r="R43">
            <v>0.61023293273354484</v>
          </cell>
          <cell r="S43">
            <v>0.60571699788717037</v>
          </cell>
          <cell r="T43">
            <v>0.65097903457434547</v>
          </cell>
          <cell r="U43">
            <v>0.69319811486407867</v>
          </cell>
          <cell r="V43">
            <v>0.78843795894088464</v>
          </cell>
          <cell r="W43">
            <v>1.3645659476947984</v>
          </cell>
          <cell r="X43">
            <v>1.6032227373726178</v>
          </cell>
          <cell r="Y43">
            <v>1.6412696995684901</v>
          </cell>
          <cell r="Z43">
            <v>1.670283030615213</v>
          </cell>
          <cell r="AA43">
            <v>1.755661848186447</v>
          </cell>
          <cell r="AB43">
            <v>1.4871375295645746</v>
          </cell>
          <cell r="AC43">
            <v>1.4400033906080374</v>
          </cell>
          <cell r="AD43">
            <v>1.3499648074414823</v>
          </cell>
          <cell r="AE43">
            <v>1.4487057151095009</v>
          </cell>
        </row>
        <row r="44">
          <cell r="G44" t="str">
            <v>RegionHospitalNew</v>
          </cell>
          <cell r="H44" t="str">
            <v>Com</v>
          </cell>
          <cell r="I44" t="str">
            <v>Hospital</v>
          </cell>
          <cell r="J44" t="str">
            <v>New</v>
          </cell>
          <cell r="K44" t="str">
            <v>Millions SqFt</v>
          </cell>
          <cell r="L44">
            <v>4.1336070304911159</v>
          </cell>
          <cell r="M44">
            <v>3.5601449453189118</v>
          </cell>
          <cell r="N44">
            <v>3.2007770264658664</v>
          </cell>
          <cell r="O44">
            <v>2.6531465767673241</v>
          </cell>
          <cell r="P44">
            <v>1.8730082465149496</v>
          </cell>
          <cell r="Q44">
            <v>1.6467285324389391</v>
          </cell>
          <cell r="R44">
            <v>1.5196240263467067</v>
          </cell>
          <cell r="S44">
            <v>1.3328145698119136</v>
          </cell>
          <cell r="T44">
            <v>1.3372342578617185</v>
          </cell>
          <cell r="U44">
            <v>1.4086686461757902</v>
          </cell>
          <cell r="V44">
            <v>1.6725933548501446</v>
          </cell>
          <cell r="W44">
            <v>2.0158466086985318</v>
          </cell>
          <cell r="X44">
            <v>2.3033709594417431</v>
          </cell>
          <cell r="Y44">
            <v>2.063930246052466</v>
          </cell>
          <cell r="Z44">
            <v>1.9880083370090949</v>
          </cell>
          <cell r="AA44">
            <v>1.9342270452860566</v>
          </cell>
          <cell r="AB44">
            <v>1.774507966199161</v>
          </cell>
          <cell r="AC44">
            <v>1.6723841845019074</v>
          </cell>
          <cell r="AD44">
            <v>1.5414284807799123</v>
          </cell>
          <cell r="AE44">
            <v>1.5563040522680198</v>
          </cell>
        </row>
        <row r="45">
          <cell r="G45" t="str">
            <v>RegionResidential CareNew</v>
          </cell>
          <cell r="H45" t="str">
            <v>Com</v>
          </cell>
          <cell r="I45" t="str">
            <v>Residential Care</v>
          </cell>
          <cell r="J45" t="str">
            <v>New</v>
          </cell>
          <cell r="K45" t="str">
            <v>Millions SqFt</v>
          </cell>
          <cell r="L45">
            <v>4.5029406937179912</v>
          </cell>
          <cell r="M45">
            <v>4.0786070344439063</v>
          </cell>
          <cell r="N45">
            <v>3.5919834720533679</v>
          </cell>
          <cell r="O45">
            <v>3.0400934926407626</v>
          </cell>
          <cell r="P45">
            <v>2.3018670718031324</v>
          </cell>
          <cell r="Q45">
            <v>2.1321468422073435</v>
          </cell>
          <cell r="R45">
            <v>1.9771504564110642</v>
          </cell>
          <cell r="S45">
            <v>1.8096072137015302</v>
          </cell>
          <cell r="T45">
            <v>1.9023478055732992</v>
          </cell>
          <cell r="U45">
            <v>2.0129777404511922</v>
          </cell>
          <cell r="V45">
            <v>2.304026079874093</v>
          </cell>
          <cell r="W45">
            <v>2.7992417645016405</v>
          </cell>
          <cell r="X45">
            <v>3.0682339807477179</v>
          </cell>
          <cell r="Y45">
            <v>2.7441690138981158</v>
          </cell>
          <cell r="Z45">
            <v>2.8046561391012603</v>
          </cell>
          <cell r="AA45">
            <v>2.7282838662201567</v>
          </cell>
          <cell r="AB45">
            <v>2.4959637785038216</v>
          </cell>
          <cell r="AC45">
            <v>2.4392052334479857</v>
          </cell>
          <cell r="AD45">
            <v>2.3386950979959957</v>
          </cell>
          <cell r="AE45">
            <v>2.3103955399373803</v>
          </cell>
        </row>
        <row r="46">
          <cell r="G46" t="str">
            <v>RegionAssemblyNew</v>
          </cell>
          <cell r="H46" t="str">
            <v>Com</v>
          </cell>
          <cell r="I46" t="str">
            <v>Assembly</v>
          </cell>
          <cell r="J46" t="str">
            <v>New</v>
          </cell>
          <cell r="K46" t="str">
            <v>Millions SqFt</v>
          </cell>
          <cell r="L46">
            <v>3.1854829351393543</v>
          </cell>
          <cell r="M46">
            <v>3.1699057451518957</v>
          </cell>
          <cell r="N46">
            <v>2.2628528186826316</v>
          </cell>
          <cell r="O46">
            <v>2.6023617076700645</v>
          </cell>
          <cell r="P46">
            <v>2.2919684786454506</v>
          </cell>
          <cell r="Q46">
            <v>2.1556450092355899</v>
          </cell>
          <cell r="R46">
            <v>1.4820394508668711</v>
          </cell>
          <cell r="S46">
            <v>1.5603361472368396</v>
          </cell>
          <cell r="T46">
            <v>2.3546097038898557</v>
          </cell>
          <cell r="U46">
            <v>3.2740386396924066</v>
          </cell>
          <cell r="V46">
            <v>3.6241751874536021</v>
          </cell>
          <cell r="W46">
            <v>4.4420137300219826</v>
          </cell>
          <cell r="X46">
            <v>5.8224273473135861</v>
          </cell>
          <cell r="Y46">
            <v>6.4604400946422142</v>
          </cell>
          <cell r="Z46">
            <v>6.9014803298142597</v>
          </cell>
          <cell r="AA46">
            <v>6.748515751490312</v>
          </cell>
          <cell r="AB46">
            <v>6.4364694734288266</v>
          </cell>
          <cell r="AC46">
            <v>6.3053235195290611</v>
          </cell>
          <cell r="AD46">
            <v>6.2236620394663484</v>
          </cell>
          <cell r="AE46">
            <v>6.0386522880717726</v>
          </cell>
        </row>
        <row r="47">
          <cell r="G47" t="str">
            <v>RegionOtherNew</v>
          </cell>
          <cell r="H47" t="str">
            <v>Com</v>
          </cell>
          <cell r="I47" t="str">
            <v>Other</v>
          </cell>
          <cell r="J47" t="str">
            <v>New</v>
          </cell>
          <cell r="K47" t="str">
            <v>Millions SqFt</v>
          </cell>
          <cell r="L47">
            <v>12.863107129152304</v>
          </cell>
          <cell r="M47">
            <v>10.7220378193485</v>
          </cell>
          <cell r="N47">
            <v>10.142128438066296</v>
          </cell>
          <cell r="O47">
            <v>9.4611923499879236</v>
          </cell>
          <cell r="P47">
            <v>7.3638556881373223</v>
          </cell>
          <cell r="Q47">
            <v>8.1591439254269407</v>
          </cell>
          <cell r="R47">
            <v>7.9603673258815011</v>
          </cell>
          <cell r="S47">
            <v>8.6026166911432824</v>
          </cell>
          <cell r="T47">
            <v>9.3207800366095146</v>
          </cell>
          <cell r="U47">
            <v>9.0572786632714859</v>
          </cell>
          <cell r="V47">
            <v>10.184423730877143</v>
          </cell>
          <cell r="W47">
            <v>10.787657533789663</v>
          </cell>
          <cell r="X47">
            <v>11.005378574708409</v>
          </cell>
          <cell r="Y47">
            <v>10.267063981307951</v>
          </cell>
          <cell r="Z47">
            <v>11.027475862918971</v>
          </cell>
          <cell r="AA47">
            <v>9.9609233822623686</v>
          </cell>
          <cell r="AB47">
            <v>10.340047869658916</v>
          </cell>
          <cell r="AC47">
            <v>9.8383849729989699</v>
          </cell>
          <cell r="AD47">
            <v>9.3282989614436094</v>
          </cell>
          <cell r="AE47">
            <v>9.0355729282982153</v>
          </cell>
        </row>
        <row r="48">
          <cell r="G48" t="str">
            <v>RegionLarge OffStock 2016</v>
          </cell>
          <cell r="H48" t="str">
            <v>Com</v>
          </cell>
          <cell r="I48" t="str">
            <v>Large Off</v>
          </cell>
          <cell r="J48" t="str">
            <v>Stock 2016</v>
          </cell>
          <cell r="K48" t="str">
            <v>Millions SqFt</v>
          </cell>
          <cell r="L48">
            <v>380.08828477966154</v>
          </cell>
          <cell r="M48">
            <v>378.94801992532251</v>
          </cell>
          <cell r="N48">
            <v>377.81117586554655</v>
          </cell>
          <cell r="O48">
            <v>376.67774233794995</v>
          </cell>
          <cell r="P48">
            <v>375.54770911093607</v>
          </cell>
          <cell r="Q48">
            <v>374.42106598360328</v>
          </cell>
          <cell r="R48">
            <v>373.29780278565244</v>
          </cell>
          <cell r="S48">
            <v>372.17790937729552</v>
          </cell>
          <cell r="T48">
            <v>371.06137564916361</v>
          </cell>
          <cell r="U48">
            <v>369.94819152221612</v>
          </cell>
          <cell r="V48">
            <v>368.83834694764948</v>
          </cell>
          <cell r="W48">
            <v>367.73183190680658</v>
          </cell>
          <cell r="X48">
            <v>366.62863641108612</v>
          </cell>
          <cell r="Y48">
            <v>365.52875050185287</v>
          </cell>
          <cell r="Z48">
            <v>364.43216425034728</v>
          </cell>
          <cell r="AA48">
            <v>363.33886775759629</v>
          </cell>
          <cell r="AB48">
            <v>362.24885115432346</v>
          </cell>
          <cell r="AC48">
            <v>361.16210460086046</v>
          </cell>
          <cell r="AD48">
            <v>360.07861828705791</v>
          </cell>
          <cell r="AE48">
            <v>358.99838243219671</v>
          </cell>
        </row>
        <row r="49">
          <cell r="G49" t="str">
            <v>RegionMedium OffStock 2016</v>
          </cell>
          <cell r="H49" t="str">
            <v>Com</v>
          </cell>
          <cell r="I49" t="str">
            <v>Medium Off</v>
          </cell>
          <cell r="J49" t="str">
            <v>Stock 2016</v>
          </cell>
          <cell r="K49" t="str">
            <v>Millions SqFt</v>
          </cell>
          <cell r="L49">
            <v>190.73687138333023</v>
          </cell>
          <cell r="M49">
            <v>190.16466076918024</v>
          </cell>
          <cell r="N49">
            <v>189.59416678687271</v>
          </cell>
          <cell r="O49">
            <v>189.02538428651209</v>
          </cell>
          <cell r="P49">
            <v>188.45830813365254</v>
          </cell>
          <cell r="Q49">
            <v>187.89293320925157</v>
          </cell>
          <cell r="R49">
            <v>187.32925440962381</v>
          </cell>
          <cell r="S49">
            <v>186.76726664639497</v>
          </cell>
          <cell r="T49">
            <v>186.20696484645578</v>
          </cell>
          <cell r="U49">
            <v>185.64834395191642</v>
          </cell>
          <cell r="V49">
            <v>185.09139892006067</v>
          </cell>
          <cell r="W49">
            <v>184.5361247233005</v>
          </cell>
          <cell r="X49">
            <v>183.98251634913058</v>
          </cell>
          <cell r="Y49">
            <v>183.43056880008319</v>
          </cell>
          <cell r="Z49">
            <v>182.88027709368296</v>
          </cell>
          <cell r="AA49">
            <v>182.33163626240187</v>
          </cell>
          <cell r="AB49">
            <v>181.78464135361469</v>
          </cell>
          <cell r="AC49">
            <v>181.23928742955383</v>
          </cell>
          <cell r="AD49">
            <v>180.69556956726515</v>
          </cell>
          <cell r="AE49">
            <v>180.15348285856339</v>
          </cell>
        </row>
        <row r="50">
          <cell r="G50" t="str">
            <v>RegionSmall OffStock 2016</v>
          </cell>
          <cell r="H50" t="str">
            <v>Com</v>
          </cell>
          <cell r="I50" t="str">
            <v>Small Off</v>
          </cell>
          <cell r="J50" t="str">
            <v>Stock 2016</v>
          </cell>
          <cell r="K50" t="str">
            <v>Millions SqFt</v>
          </cell>
          <cell r="L50">
            <v>184.0913556049378</v>
          </cell>
          <cell r="M50">
            <v>183.53908153812301</v>
          </cell>
          <cell r="N50">
            <v>182.98846429350866</v>
          </cell>
          <cell r="O50">
            <v>182.43949890062811</v>
          </cell>
          <cell r="P50">
            <v>181.89218040392623</v>
          </cell>
          <cell r="Q50">
            <v>181.34650386271446</v>
          </cell>
          <cell r="R50">
            <v>180.80246435112633</v>
          </cell>
          <cell r="S50">
            <v>180.26005695807294</v>
          </cell>
          <cell r="T50">
            <v>179.71927678719871</v>
          </cell>
          <cell r="U50">
            <v>179.18011895683713</v>
          </cell>
          <cell r="V50">
            <v>178.64257859996661</v>
          </cell>
          <cell r="W50">
            <v>178.10665086416668</v>
          </cell>
          <cell r="X50">
            <v>177.57233091157423</v>
          </cell>
          <cell r="Y50">
            <v>177.03961391883951</v>
          </cell>
          <cell r="Z50">
            <v>176.50849507708296</v>
          </cell>
          <cell r="AA50">
            <v>175.97896959185172</v>
          </cell>
          <cell r="AB50">
            <v>175.45103268307616</v>
          </cell>
          <cell r="AC50">
            <v>174.92467958502692</v>
          </cell>
          <cell r="AD50">
            <v>174.39990554627184</v>
          </cell>
          <cell r="AE50">
            <v>173.87670582963304</v>
          </cell>
        </row>
        <row r="51">
          <cell r="G51" t="str">
            <v>RegionXLarge RetStock 2016</v>
          </cell>
          <cell r="H51" t="str">
            <v>Com</v>
          </cell>
          <cell r="I51" t="str">
            <v>XLarge Ret</v>
          </cell>
          <cell r="J51" t="str">
            <v>Stock 2016</v>
          </cell>
          <cell r="K51" t="str">
            <v>Millions SqFt</v>
          </cell>
          <cell r="L51">
            <v>138.35734062238015</v>
          </cell>
          <cell r="M51">
            <v>137.7208968555172</v>
          </cell>
          <cell r="N51">
            <v>137.08738072998179</v>
          </cell>
          <cell r="O51">
            <v>136.45677877862389</v>
          </cell>
          <cell r="P51">
            <v>135.8290775962422</v>
          </cell>
          <cell r="Q51">
            <v>135.20426383929947</v>
          </cell>
          <cell r="R51">
            <v>134.5823242256387</v>
          </cell>
          <cell r="S51">
            <v>133.96324553420075</v>
          </cell>
          <cell r="T51">
            <v>133.34701460474344</v>
          </cell>
          <cell r="U51">
            <v>132.73361833756161</v>
          </cell>
          <cell r="V51">
            <v>132.12304369320884</v>
          </cell>
          <cell r="W51">
            <v>131.51527769222005</v>
          </cell>
          <cell r="X51">
            <v>130.91030741483584</v>
          </cell>
          <cell r="Y51">
            <v>130.3081200007276</v>
          </cell>
          <cell r="Z51">
            <v>129.70870264872423</v>
          </cell>
          <cell r="AA51">
            <v>129.11204261654012</v>
          </cell>
          <cell r="AB51">
            <v>128.51812722050403</v>
          </cell>
          <cell r="AC51">
            <v>127.92694383528971</v>
          </cell>
          <cell r="AD51">
            <v>127.33847989364737</v>
          </cell>
          <cell r="AE51">
            <v>126.75272288613657</v>
          </cell>
        </row>
        <row r="52">
          <cell r="G52" t="str">
            <v>RegionLarge RetStock 2016</v>
          </cell>
          <cell r="H52" t="str">
            <v>Com</v>
          </cell>
          <cell r="I52" t="str">
            <v>Large Ret</v>
          </cell>
          <cell r="J52" t="str">
            <v>Stock 2016</v>
          </cell>
          <cell r="K52" t="str">
            <v>Millions SqFt</v>
          </cell>
          <cell r="L52">
            <v>208.9574509880029</v>
          </cell>
          <cell r="M52">
            <v>207.99624671345808</v>
          </cell>
          <cell r="N52">
            <v>207.03946397857615</v>
          </cell>
          <cell r="O52">
            <v>206.0870824442747</v>
          </cell>
          <cell r="P52">
            <v>205.13908186503102</v>
          </cell>
          <cell r="Q52">
            <v>204.1954420884519</v>
          </cell>
          <cell r="R52">
            <v>203.25614305484498</v>
          </cell>
          <cell r="S52">
            <v>202.32116479679266</v>
          </cell>
          <cell r="T52">
            <v>201.3904874387274</v>
          </cell>
          <cell r="U52">
            <v>200.46409119650929</v>
          </cell>
          <cell r="V52">
            <v>199.54195637700533</v>
          </cell>
          <cell r="W52">
            <v>198.62406337767112</v>
          </cell>
          <cell r="X52">
            <v>197.71039268613379</v>
          </cell>
          <cell r="Y52">
            <v>196.8009248797776</v>
          </cell>
          <cell r="Z52">
            <v>195.8956406253306</v>
          </cell>
          <cell r="AA52">
            <v>194.99452067845405</v>
          </cell>
          <cell r="AB52">
            <v>194.09754588333314</v>
          </cell>
          <cell r="AC52">
            <v>193.20469717226982</v>
          </cell>
          <cell r="AD52">
            <v>192.31595556527733</v>
          </cell>
          <cell r="AE52">
            <v>191.43130216967708</v>
          </cell>
        </row>
        <row r="53">
          <cell r="G53" t="str">
            <v>RegionMedium RetStock 2016</v>
          </cell>
          <cell r="H53" t="str">
            <v>Com</v>
          </cell>
          <cell r="I53" t="str">
            <v>Medium Ret</v>
          </cell>
          <cell r="J53" t="str">
            <v>Stock 2016</v>
          </cell>
          <cell r="K53" t="str">
            <v>Millions SqFt</v>
          </cell>
          <cell r="L53">
            <v>97.115689913224898</v>
          </cell>
          <cell r="M53">
            <v>96.668957739624062</v>
          </cell>
          <cell r="N53">
            <v>96.224280534021787</v>
          </cell>
          <cell r="O53">
            <v>95.781648843565293</v>
          </cell>
          <cell r="P53">
            <v>95.34105325888487</v>
          </cell>
          <cell r="Q53">
            <v>94.902484413894001</v>
          </cell>
          <cell r="R53">
            <v>94.465932985590086</v>
          </cell>
          <cell r="S53">
            <v>94.031389693856369</v>
          </cell>
          <cell r="T53">
            <v>93.598845301264618</v>
          </cell>
          <cell r="U53">
            <v>93.168290612878806</v>
          </cell>
          <cell r="V53">
            <v>92.739716476059556</v>
          </cell>
          <cell r="W53">
            <v>92.313113780269674</v>
          </cell>
          <cell r="X53">
            <v>91.888473456880433</v>
          </cell>
          <cell r="Y53">
            <v>91.465786478978771</v>
          </cell>
          <cell r="Z53">
            <v>91.045043861175472</v>
          </cell>
          <cell r="AA53">
            <v>90.626236659414062</v>
          </cell>
          <cell r="AB53">
            <v>90.209355970780734</v>
          </cell>
          <cell r="AC53">
            <v>89.794392933315152</v>
          </cell>
          <cell r="AD53">
            <v>89.381338725821905</v>
          </cell>
          <cell r="AE53">
            <v>88.97018456768312</v>
          </cell>
        </row>
        <row r="54">
          <cell r="G54" t="str">
            <v>RegionSmall RetStock 2016</v>
          </cell>
          <cell r="H54" t="str">
            <v>Com</v>
          </cell>
          <cell r="I54" t="str">
            <v>Small Ret</v>
          </cell>
          <cell r="J54" t="str">
            <v>Stock 2016</v>
          </cell>
          <cell r="K54" t="str">
            <v>Millions SqFt</v>
          </cell>
          <cell r="L54">
            <v>109.47966092768364</v>
          </cell>
          <cell r="M54">
            <v>108.97605448741629</v>
          </cell>
          <cell r="N54">
            <v>108.47476463677417</v>
          </cell>
          <cell r="O54">
            <v>107.975780719445</v>
          </cell>
          <cell r="P54">
            <v>107.47909212813555</v>
          </cell>
          <cell r="Q54">
            <v>106.98468830434612</v>
          </cell>
          <cell r="R54">
            <v>106.49255873814613</v>
          </cell>
          <cell r="S54">
            <v>106.00269296795065</v>
          </cell>
          <cell r="T54">
            <v>105.51508058029808</v>
          </cell>
          <cell r="U54">
            <v>105.0297112096287</v>
          </cell>
          <cell r="V54">
            <v>104.54657453806439</v>
          </cell>
          <cell r="W54">
            <v>104.0656602951893</v>
          </cell>
          <cell r="X54">
            <v>103.58695825783141</v>
          </cell>
          <cell r="Y54">
            <v>103.11045824984539</v>
          </cell>
          <cell r="Z54">
            <v>102.6361501418961</v>
          </cell>
          <cell r="AA54">
            <v>102.16402385124337</v>
          </cell>
          <cell r="AB54">
            <v>101.69406934152764</v>
          </cell>
          <cell r="AC54">
            <v>101.2262766225566</v>
          </cell>
          <cell r="AD54">
            <v>100.76063575009285</v>
          </cell>
          <cell r="AE54">
            <v>100.29713682564241</v>
          </cell>
        </row>
        <row r="55">
          <cell r="G55" t="str">
            <v>RegionSchool K-12Stock 2016</v>
          </cell>
          <cell r="H55" t="str">
            <v>Com</v>
          </cell>
          <cell r="I55" t="str">
            <v>School K-12</v>
          </cell>
          <cell r="J55" t="str">
            <v>Stock 2016</v>
          </cell>
          <cell r="K55" t="str">
            <v>Millions SqFt</v>
          </cell>
          <cell r="L55">
            <v>241.11763975818661</v>
          </cell>
          <cell r="M55">
            <v>240.12905743517803</v>
          </cell>
          <cell r="N55">
            <v>239.14452829969383</v>
          </cell>
          <cell r="O55">
            <v>238.16403573366509</v>
          </cell>
          <cell r="P55">
            <v>237.18756318715711</v>
          </cell>
          <cell r="Q55">
            <v>236.21509417808971</v>
          </cell>
          <cell r="R55">
            <v>235.24661229195956</v>
          </cell>
          <cell r="S55">
            <v>234.28210118156252</v>
          </cell>
          <cell r="T55">
            <v>233.32154456671807</v>
          </cell>
          <cell r="U55">
            <v>232.36492623399457</v>
          </cell>
          <cell r="V55">
            <v>231.41223003643518</v>
          </cell>
          <cell r="W55">
            <v>230.46343989328579</v>
          </cell>
          <cell r="X55">
            <v>229.51853978972335</v>
          </cell>
          <cell r="Y55">
            <v>228.57751377658545</v>
          </cell>
          <cell r="Z55">
            <v>227.64034597010144</v>
          </cell>
          <cell r="AA55">
            <v>226.70702055162403</v>
          </cell>
          <cell r="AB55">
            <v>225.77752176736234</v>
          </cell>
          <cell r="AC55">
            <v>224.85183392811618</v>
          </cell>
          <cell r="AD55">
            <v>223.92994140901092</v>
          </cell>
          <cell r="AE55">
            <v>223.01182864923393</v>
          </cell>
        </row>
        <row r="56">
          <cell r="G56" t="str">
            <v>RegionUniversityStock 2016</v>
          </cell>
          <cell r="H56" t="str">
            <v>Com</v>
          </cell>
          <cell r="I56" t="str">
            <v>University</v>
          </cell>
          <cell r="J56" t="str">
            <v>Stock 2016</v>
          </cell>
          <cell r="K56" t="str">
            <v>Millions SqFt</v>
          </cell>
          <cell r="L56">
            <v>122.15340627232256</v>
          </cell>
          <cell r="M56">
            <v>121.65257730660603</v>
          </cell>
          <cell r="N56">
            <v>121.15380173964894</v>
          </cell>
          <cell r="O56">
            <v>120.65707115251638</v>
          </cell>
          <cell r="P56">
            <v>120.16237716079107</v>
          </cell>
          <cell r="Q56">
            <v>119.66971141443182</v>
          </cell>
          <cell r="R56">
            <v>119.17906559763266</v>
          </cell>
          <cell r="S56">
            <v>118.69043142868237</v>
          </cell>
          <cell r="T56">
            <v>118.20380065982476</v>
          </cell>
          <cell r="U56">
            <v>117.71916507711948</v>
          </cell>
          <cell r="V56">
            <v>117.23651650030328</v>
          </cell>
          <cell r="W56">
            <v>116.75584678265207</v>
          </cell>
          <cell r="X56">
            <v>116.27714781084319</v>
          </cell>
          <cell r="Y56">
            <v>115.80041150481873</v>
          </cell>
          <cell r="Z56">
            <v>115.32562981764897</v>
          </cell>
          <cell r="AA56">
            <v>114.8527947353966</v>
          </cell>
          <cell r="AB56">
            <v>114.38189827698147</v>
          </cell>
          <cell r="AC56">
            <v>113.91293249404585</v>
          </cell>
          <cell r="AD56">
            <v>113.44588947082025</v>
          </cell>
          <cell r="AE56">
            <v>112.98076132398991</v>
          </cell>
        </row>
        <row r="57">
          <cell r="G57" t="str">
            <v>RegionWarehouseStock 2016</v>
          </cell>
          <cell r="H57" t="str">
            <v>Com</v>
          </cell>
          <cell r="I57" t="str">
            <v>Warehouse</v>
          </cell>
          <cell r="J57" t="str">
            <v>Stock 2016</v>
          </cell>
          <cell r="K57" t="str">
            <v>Millions SqFt</v>
          </cell>
          <cell r="L57">
            <v>448.69829599576161</v>
          </cell>
          <cell r="M57">
            <v>447.03811230057732</v>
          </cell>
          <cell r="N57">
            <v>445.3840712850652</v>
          </cell>
          <cell r="O57">
            <v>443.73615022131042</v>
          </cell>
          <cell r="P57">
            <v>442.09432646549152</v>
          </cell>
          <cell r="Q57">
            <v>440.45857745756916</v>
          </cell>
          <cell r="R57">
            <v>438.82888072097626</v>
          </cell>
          <cell r="S57">
            <v>437.2052138623086</v>
          </cell>
          <cell r="T57">
            <v>435.58755457101802</v>
          </cell>
          <cell r="U57">
            <v>433.97588061910528</v>
          </cell>
          <cell r="V57">
            <v>432.37016986081449</v>
          </cell>
          <cell r="W57">
            <v>430.77040023232951</v>
          </cell>
          <cell r="X57">
            <v>429.17654975146979</v>
          </cell>
          <cell r="Y57">
            <v>427.58859651738936</v>
          </cell>
          <cell r="Z57">
            <v>426.00651871027503</v>
          </cell>
          <cell r="AA57">
            <v>424.43029459104702</v>
          </cell>
          <cell r="AB57">
            <v>422.85990250106011</v>
          </cell>
          <cell r="AC57">
            <v>421.2953208618062</v>
          </cell>
          <cell r="AD57">
            <v>419.73652817461749</v>
          </cell>
          <cell r="AE57">
            <v>418.18350302037135</v>
          </cell>
        </row>
        <row r="58">
          <cell r="G58" t="str">
            <v>RegionSupermarketStock 2016</v>
          </cell>
          <cell r="H58" t="str">
            <v>Com</v>
          </cell>
          <cell r="I58" t="str">
            <v>Supermarket</v>
          </cell>
          <cell r="J58" t="str">
            <v>Stock 2016</v>
          </cell>
          <cell r="K58" t="str">
            <v>Millions SqFt</v>
          </cell>
          <cell r="L58">
            <v>53.720939527021244</v>
          </cell>
          <cell r="M58">
            <v>53.237451071278059</v>
          </cell>
          <cell r="N58">
            <v>52.758314011636557</v>
          </cell>
          <cell r="O58">
            <v>52.283489185531828</v>
          </cell>
          <cell r="P58">
            <v>51.812937782862043</v>
          </cell>
          <cell r="Q58">
            <v>51.346621342816277</v>
          </cell>
          <cell r="R58">
            <v>50.884501750730934</v>
          </cell>
          <cell r="S58">
            <v>50.426541234974358</v>
          </cell>
          <cell r="T58">
            <v>49.97270236385959</v>
          </cell>
          <cell r="U58">
            <v>49.522948042584851</v>
          </cell>
          <cell r="V58">
            <v>49.077241510201581</v>
          </cell>
          <cell r="W58">
            <v>48.635546336609778</v>
          </cell>
          <cell r="X58">
            <v>48.197826419580288</v>
          </cell>
          <cell r="Y58">
            <v>47.76404598180406</v>
          </cell>
          <cell r="Z58">
            <v>47.33416956796782</v>
          </cell>
          <cell r="AA58">
            <v>46.908162041856116</v>
          </cell>
          <cell r="AB58">
            <v>46.485988583479411</v>
          </cell>
          <cell r="AC58">
            <v>46.067614686228097</v>
          </cell>
          <cell r="AD58">
            <v>45.653006154052044</v>
          </cell>
          <cell r="AE58">
            <v>45.242129098665572</v>
          </cell>
        </row>
        <row r="59">
          <cell r="G59" t="str">
            <v>RegionMiniMartStock 2016</v>
          </cell>
          <cell r="H59" t="str">
            <v>Com</v>
          </cell>
          <cell r="I59" t="str">
            <v>MiniMart</v>
          </cell>
          <cell r="J59" t="str">
            <v>Stock 2016</v>
          </cell>
          <cell r="K59" t="str">
            <v>Millions SqFt</v>
          </cell>
          <cell r="L59">
            <v>22.491017060912501</v>
          </cell>
          <cell r="M59">
            <v>22.384859460384995</v>
          </cell>
          <cell r="N59">
            <v>22.279202923731983</v>
          </cell>
          <cell r="O59">
            <v>22.174045085931969</v>
          </cell>
          <cell r="P59">
            <v>22.069383593126368</v>
          </cell>
          <cell r="Q59">
            <v>21.965216102566814</v>
          </cell>
          <cell r="R59">
            <v>21.8615402825627</v>
          </cell>
          <cell r="S59">
            <v>21.758353812429004</v>
          </cell>
          <cell r="T59">
            <v>21.655654382434342</v>
          </cell>
          <cell r="U59">
            <v>21.553439693749251</v>
          </cell>
          <cell r="V59">
            <v>21.451707458394754</v>
          </cell>
          <cell r="W59">
            <v>21.350455399191134</v>
          </cell>
          <cell r="X59">
            <v>21.249681249706953</v>
          </cell>
          <cell r="Y59">
            <v>21.149382754208336</v>
          </cell>
          <cell r="Z59">
            <v>21.049557667608472</v>
          </cell>
          <cell r="AA59">
            <v>20.950203755417366</v>
          </cell>
          <cell r="AB59">
            <v>20.851318793691796</v>
          </cell>
          <cell r="AC59">
            <v>20.75290056898557</v>
          </cell>
          <cell r="AD59">
            <v>20.654946878299963</v>
          </cell>
          <cell r="AE59">
            <v>20.557455529034385</v>
          </cell>
        </row>
        <row r="60">
          <cell r="G60" t="str">
            <v>RegionRestaurantStock 2016</v>
          </cell>
          <cell r="H60" t="str">
            <v>Com</v>
          </cell>
          <cell r="I60" t="str">
            <v>Restaurant</v>
          </cell>
          <cell r="J60" t="str">
            <v>Stock 2016</v>
          </cell>
          <cell r="K60" t="str">
            <v>Millions SqFt</v>
          </cell>
          <cell r="L60">
            <v>51.550857208753726</v>
          </cell>
          <cell r="M60">
            <v>51.307537162728408</v>
          </cell>
          <cell r="N60">
            <v>51.065365587320336</v>
          </cell>
          <cell r="O60">
            <v>50.824337061748189</v>
          </cell>
          <cell r="P60">
            <v>50.584446190816735</v>
          </cell>
          <cell r="Q60">
            <v>50.345687604796083</v>
          </cell>
          <cell r="R60">
            <v>50.108055959301453</v>
          </cell>
          <cell r="S60">
            <v>49.871545935173543</v>
          </cell>
          <cell r="T60">
            <v>49.636152238359529</v>
          </cell>
          <cell r="U60">
            <v>49.40186959979448</v>
          </cell>
          <cell r="V60">
            <v>49.168692775283453</v>
          </cell>
          <cell r="W60">
            <v>48.936616545384119</v>
          </cell>
          <cell r="X60">
            <v>48.705635715289908</v>
          </cell>
          <cell r="Y60">
            <v>48.475745114713739</v>
          </cell>
          <cell r="Z60">
            <v>48.246939597772297</v>
          </cell>
          <cell r="AA60">
            <v>48.019214042870807</v>
          </cell>
          <cell r="AB60">
            <v>47.792563352588466</v>
          </cell>
          <cell r="AC60">
            <v>47.56698245356425</v>
          </cell>
          <cell r="AD60">
            <v>47.342466296383435</v>
          </cell>
          <cell r="AE60">
            <v>47.119009855464505</v>
          </cell>
        </row>
        <row r="61">
          <cell r="G61" t="str">
            <v>RegionLodgingStock 2016</v>
          </cell>
          <cell r="H61" t="str">
            <v>Com</v>
          </cell>
          <cell r="I61" t="str">
            <v>Lodging</v>
          </cell>
          <cell r="J61" t="str">
            <v>Stock 2016</v>
          </cell>
          <cell r="K61" t="str">
            <v>Millions SqFt</v>
          </cell>
          <cell r="L61">
            <v>170.15189589049527</v>
          </cell>
          <cell r="M61">
            <v>169.74353134035809</v>
          </cell>
          <cell r="N61">
            <v>169.33614686514122</v>
          </cell>
          <cell r="O61">
            <v>168.92974011266489</v>
          </cell>
          <cell r="P61">
            <v>168.52430873639449</v>
          </cell>
          <cell r="Q61">
            <v>168.11985039542716</v>
          </cell>
          <cell r="R61">
            <v>167.71636275447813</v>
          </cell>
          <cell r="S61">
            <v>167.31384348386743</v>
          </cell>
          <cell r="T61">
            <v>166.91229025950614</v>
          </cell>
          <cell r="U61">
            <v>166.51170076288332</v>
          </cell>
          <cell r="V61">
            <v>166.11207268105238</v>
          </cell>
          <cell r="W61">
            <v>165.7134037066179</v>
          </cell>
          <cell r="X61">
            <v>165.31569153772202</v>
          </cell>
          <cell r="Y61">
            <v>164.91893387803151</v>
          </cell>
          <cell r="Z61">
            <v>164.52312843672422</v>
          </cell>
          <cell r="AA61">
            <v>164.12827292847609</v>
          </cell>
          <cell r="AB61">
            <v>163.73436507344778</v>
          </cell>
          <cell r="AC61">
            <v>163.3414025972715</v>
          </cell>
          <cell r="AD61">
            <v>162.94938323103807</v>
          </cell>
          <cell r="AE61">
            <v>162.55830471128357</v>
          </cell>
        </row>
        <row r="62">
          <cell r="G62" t="str">
            <v>RegionHospitalStock 2016</v>
          </cell>
          <cell r="H62" t="str">
            <v>Com</v>
          </cell>
          <cell r="I62" t="str">
            <v>Hospital</v>
          </cell>
          <cell r="J62" t="str">
            <v>Stock 2016</v>
          </cell>
          <cell r="K62" t="str">
            <v>Millions SqFt</v>
          </cell>
          <cell r="L62">
            <v>105.02947953487826</v>
          </cell>
          <cell r="M62">
            <v>104.80891762785501</v>
          </cell>
          <cell r="N62">
            <v>104.58881890083651</v>
          </cell>
          <cell r="O62">
            <v>104.36918238114475</v>
          </cell>
          <cell r="P62">
            <v>104.15000709814436</v>
          </cell>
          <cell r="Q62">
            <v>103.93129208323826</v>
          </cell>
          <cell r="R62">
            <v>103.71303636986346</v>
          </cell>
          <cell r="S62">
            <v>103.49523899348674</v>
          </cell>
          <cell r="T62">
            <v>103.27789899160042</v>
          </cell>
          <cell r="U62">
            <v>103.06101540371807</v>
          </cell>
          <cell r="V62">
            <v>102.84458727137024</v>
          </cell>
          <cell r="W62">
            <v>102.62861363810038</v>
          </cell>
          <cell r="X62">
            <v>102.41309354946036</v>
          </cell>
          <cell r="Y62">
            <v>102.19802605300649</v>
          </cell>
          <cell r="Z62">
            <v>101.98341019829519</v>
          </cell>
          <cell r="AA62">
            <v>101.76924503687877</v>
          </cell>
          <cell r="AB62">
            <v>101.55552962230132</v>
          </cell>
          <cell r="AC62">
            <v>101.3422630100945</v>
          </cell>
          <cell r="AD62">
            <v>101.1294442577733</v>
          </cell>
          <cell r="AE62">
            <v>100.91707242483197</v>
          </cell>
        </row>
        <row r="63">
          <cell r="G63" t="str">
            <v>RegionResidential CareStock 2016</v>
          </cell>
          <cell r="H63" t="str">
            <v>Com</v>
          </cell>
          <cell r="I63" t="str">
            <v>Residential Care</v>
          </cell>
          <cell r="J63" t="str">
            <v>Stock 2016</v>
          </cell>
          <cell r="K63" t="str">
            <v>Millions SqFt</v>
          </cell>
          <cell r="L63">
            <v>128.74820917277606</v>
          </cell>
          <cell r="M63">
            <v>128.43921347076139</v>
          </cell>
          <cell r="N63">
            <v>128.1309593584316</v>
          </cell>
          <cell r="O63">
            <v>127.82344505597135</v>
          </cell>
          <cell r="P63">
            <v>127.51666878783702</v>
          </cell>
          <cell r="Q63">
            <v>127.21062878274621</v>
          </cell>
          <cell r="R63">
            <v>126.90532327366765</v>
          </cell>
          <cell r="S63">
            <v>126.60075049781085</v>
          </cell>
          <cell r="T63">
            <v>126.29690869661611</v>
          </cell>
          <cell r="U63">
            <v>125.99379611574425</v>
          </cell>
          <cell r="V63">
            <v>125.69141100506647</v>
          </cell>
          <cell r="W63">
            <v>125.3897516186543</v>
          </cell>
          <cell r="X63">
            <v>125.08881621476955</v>
          </cell>
          <cell r="Y63">
            <v>124.78860305585408</v>
          </cell>
          <cell r="Z63">
            <v>124.48911040852005</v>
          </cell>
          <cell r="AA63">
            <v>124.1903365435396</v>
          </cell>
          <cell r="AB63">
            <v>123.8922797358351</v>
          </cell>
          <cell r="AC63">
            <v>123.59493826446912</v>
          </cell>
          <cell r="AD63">
            <v>123.29831041263438</v>
          </cell>
          <cell r="AE63">
            <v>123.00239446764408</v>
          </cell>
        </row>
        <row r="64">
          <cell r="G64" t="str">
            <v>RegionAssemblyStock 2016</v>
          </cell>
          <cell r="H64" t="str">
            <v>Com</v>
          </cell>
          <cell r="I64" t="str">
            <v>Assembly</v>
          </cell>
          <cell r="J64" t="str">
            <v>Stock 2016</v>
          </cell>
          <cell r="K64" t="str">
            <v>Millions SqFt</v>
          </cell>
          <cell r="L64">
            <v>375.90224900649127</v>
          </cell>
          <cell r="M64">
            <v>374.21570091594884</v>
          </cell>
          <cell r="N64">
            <v>372.53671980450594</v>
          </cell>
          <cell r="O64">
            <v>370.86527172164978</v>
          </cell>
          <cell r="P64">
            <v>369.20132286919198</v>
          </cell>
          <cell r="Q64">
            <v>367.54483960058553</v>
          </cell>
          <cell r="R64">
            <v>365.89578842024423</v>
          </cell>
          <cell r="S64">
            <v>364.25413598286536</v>
          </cell>
          <cell r="T64">
            <v>362.6198490927556</v>
          </cell>
          <cell r="U64">
            <v>360.99289470315949</v>
          </cell>
          <cell r="V64">
            <v>359.37323991559134</v>
          </cell>
          <cell r="W64">
            <v>357.76085197917007</v>
          </cell>
          <cell r="X64">
            <v>356.15569828995689</v>
          </cell>
          <cell r="Y64">
            <v>354.55774639029596</v>
          </cell>
          <cell r="Z64">
            <v>352.96696396815821</v>
          </cell>
          <cell r="AA64">
            <v>351.38331885648773</v>
          </cell>
          <cell r="AB64">
            <v>349.80677903255156</v>
          </cell>
          <cell r="AC64">
            <v>348.23731261729228</v>
          </cell>
          <cell r="AD64">
            <v>346.67488787468267</v>
          </cell>
          <cell r="AE64">
            <v>345.11947321108494</v>
          </cell>
        </row>
        <row r="65">
          <cell r="G65" t="str">
            <v>RegionOtherStock 2016</v>
          </cell>
          <cell r="H65" t="str">
            <v>Com</v>
          </cell>
          <cell r="I65" t="str">
            <v>Other</v>
          </cell>
          <cell r="J65" t="str">
            <v>Stock 2016</v>
          </cell>
          <cell r="K65" t="str">
            <v>Millions SqFt</v>
          </cell>
          <cell r="L65">
            <v>342.64988330108076</v>
          </cell>
          <cell r="M65">
            <v>339.56603435137106</v>
          </cell>
          <cell r="N65">
            <v>336.50994004220871</v>
          </cell>
          <cell r="O65">
            <v>333.48135058182885</v>
          </cell>
          <cell r="P65">
            <v>330.48001842659238</v>
          </cell>
          <cell r="Q65">
            <v>327.50569826075304</v>
          </cell>
          <cell r="R65">
            <v>324.55814697640625</v>
          </cell>
          <cell r="S65">
            <v>321.63712365361863</v>
          </cell>
          <cell r="T65">
            <v>318.7423895407361</v>
          </cell>
          <cell r="U65">
            <v>315.87370803486942</v>
          </cell>
          <cell r="V65">
            <v>313.03084466255564</v>
          </cell>
          <cell r="W65">
            <v>310.21356706059254</v>
          </cell>
          <cell r="X65">
            <v>307.42164495704725</v>
          </cell>
          <cell r="Y65">
            <v>304.65485015243382</v>
          </cell>
          <cell r="Z65">
            <v>301.9129565010619</v>
          </cell>
          <cell r="AA65">
            <v>299.19573989255235</v>
          </cell>
          <cell r="AB65">
            <v>296.50297823351934</v>
          </cell>
          <cell r="AC65">
            <v>293.83445142941764</v>
          </cell>
          <cell r="AD65">
            <v>291.18994136655289</v>
          </cell>
          <cell r="AE65">
            <v>288.5692318942539</v>
          </cell>
        </row>
        <row r="66">
          <cell r="G66" t="str">
            <v>RegionIdahoStock</v>
          </cell>
          <cell r="H66" t="str">
            <v>Ag</v>
          </cell>
          <cell r="I66" t="str">
            <v>Idaho</v>
          </cell>
          <cell r="J66" t="str">
            <v>Stock</v>
          </cell>
          <cell r="K66" t="str">
            <v>% Growth</v>
          </cell>
          <cell r="L66">
            <v>0</v>
          </cell>
          <cell r="M66">
            <v>1.2504100211369894E-4</v>
          </cell>
          <cell r="N66">
            <v>1.7375879514796466E-4</v>
          </cell>
          <cell r="O66">
            <v>6.1210927779177624E-4</v>
          </cell>
          <cell r="P66">
            <v>8.8127487458086599E-4</v>
          </cell>
          <cell r="Q66">
            <v>1.1201972174019578E-3</v>
          </cell>
          <cell r="R66">
            <v>1.2717867360821197E-3</v>
          </cell>
          <cell r="S66">
            <v>1.4404642508513471E-3</v>
          </cell>
          <cell r="T66">
            <v>1.5874396385228723E-3</v>
          </cell>
          <cell r="U66">
            <v>1.7204636459112381E-3</v>
          </cell>
          <cell r="V66">
            <v>1.8289050040785739E-3</v>
          </cell>
          <cell r="W66">
            <v>1.9377539743383628E-3</v>
          </cell>
          <cell r="X66">
            <v>2.0316119038316116E-3</v>
          </cell>
          <cell r="Y66">
            <v>2.128079506222659E-3</v>
          </cell>
          <cell r="Z66">
            <v>2.2126572758413075E-3</v>
          </cell>
          <cell r="AA66">
            <v>2.2578225416429688E-3</v>
          </cell>
          <cell r="AB66">
            <v>2.3464540176612314E-3</v>
          </cell>
          <cell r="AC66">
            <v>2.414467009038601E-3</v>
          </cell>
          <cell r="AD66">
            <v>2.4848313911262653E-3</v>
          </cell>
          <cell r="AE66">
            <v>2.5344116000376449E-3</v>
          </cell>
        </row>
        <row r="67">
          <cell r="G67" t="str">
            <v>RegionMontanaStock</v>
          </cell>
          <cell r="H67" t="str">
            <v>Ag</v>
          </cell>
          <cell r="I67" t="str">
            <v>Montana</v>
          </cell>
          <cell r="J67" t="str">
            <v>Stock</v>
          </cell>
          <cell r="K67" t="str">
            <v>% Growth</v>
          </cell>
          <cell r="L67">
            <v>0</v>
          </cell>
          <cell r="M67">
            <v>1.0848242299839954E-2</v>
          </cell>
          <cell r="N67">
            <v>1.059267655252486E-2</v>
          </cell>
          <cell r="O67">
            <v>1.0752312089181865E-2</v>
          </cell>
          <cell r="P67">
            <v>1.075849831916186E-2</v>
          </cell>
          <cell r="Q67">
            <v>7.6567396067742733E-3</v>
          </cell>
          <cell r="R67">
            <v>7.6532068711881581E-3</v>
          </cell>
          <cell r="S67">
            <v>7.9235679867256659E-3</v>
          </cell>
          <cell r="T67">
            <v>8.1459053842477987E-3</v>
          </cell>
          <cell r="U67">
            <v>8.331284422267278E-3</v>
          </cell>
          <cell r="V67">
            <v>8.47135846405455E-3</v>
          </cell>
          <cell r="W67">
            <v>8.5938864965773454E-3</v>
          </cell>
          <cell r="X67">
            <v>8.6866032784890905E-3</v>
          </cell>
          <cell r="Y67">
            <v>8.7680800681235963E-3</v>
          </cell>
          <cell r="Z67">
            <v>8.8271867856936984E-3</v>
          </cell>
          <cell r="AA67">
            <v>8.8355566433926322E-3</v>
          </cell>
          <cell r="AB67">
            <v>8.8812025924713319E-3</v>
          </cell>
          <cell r="AC67">
            <v>8.8979055290069331E-3</v>
          </cell>
          <cell r="AD67">
            <v>8.9118787925779024E-3</v>
          </cell>
          <cell r="AE67">
            <v>8.9015256915168112E-3</v>
          </cell>
        </row>
        <row r="68">
          <cell r="G68" t="str">
            <v>RegionOregonStock</v>
          </cell>
          <cell r="H68" t="str">
            <v>Ag</v>
          </cell>
          <cell r="I68" t="str">
            <v>Oregon</v>
          </cell>
          <cell r="J68" t="str">
            <v>Stock</v>
          </cell>
          <cell r="K68" t="str">
            <v>% Growth</v>
          </cell>
          <cell r="L68">
            <v>0</v>
          </cell>
          <cell r="M68">
            <v>1.0110842680911804E-2</v>
          </cell>
          <cell r="N68">
            <v>1.0059217505089263E-2</v>
          </cell>
          <cell r="O68">
            <v>1.1176866051223918E-2</v>
          </cell>
          <cell r="P68">
            <v>1.9803102619340613E-2</v>
          </cell>
          <cell r="Q68">
            <v>1.2078828157499845E-2</v>
          </cell>
          <cell r="R68">
            <v>1.2074917420983849E-2</v>
          </cell>
          <cell r="S68">
            <v>1.2823009061012478E-2</v>
          </cell>
          <cell r="T68">
            <v>1.2064646132519813E-2</v>
          </cell>
          <cell r="U68">
            <v>2.1359830411811859E-2</v>
          </cell>
          <cell r="V68">
            <v>1.1864279678250279E-2</v>
          </cell>
          <cell r="W68">
            <v>1.1811806122028052E-2</v>
          </cell>
          <cell r="X68">
            <v>1.1060463245174785E-2</v>
          </cell>
          <cell r="Y68">
            <v>1.1689201211084101E-2</v>
          </cell>
          <cell r="Z68">
            <v>1.9623204602959039E-2</v>
          </cell>
          <cell r="AA68">
            <v>1.2054155221857031E-2</v>
          </cell>
          <cell r="AB68">
            <v>1.2615728823653952E-2</v>
          </cell>
          <cell r="AC68">
            <v>1.2496481187089379E-2</v>
          </cell>
          <cell r="AD68">
            <v>1.1753415892541448E-2</v>
          </cell>
          <cell r="AE68">
            <v>2.0946064887122692E-2</v>
          </cell>
        </row>
        <row r="69">
          <cell r="G69" t="str">
            <v>RegionWashingtonStock</v>
          </cell>
          <cell r="H69" t="str">
            <v>Ag</v>
          </cell>
          <cell r="I69" t="str">
            <v>Washington</v>
          </cell>
          <cell r="J69" t="str">
            <v>Stock</v>
          </cell>
          <cell r="K69" t="str">
            <v>% Growth</v>
          </cell>
          <cell r="L69">
            <v>0</v>
          </cell>
          <cell r="M69">
            <v>1.0662122206220235E-2</v>
          </cell>
          <cell r="N69">
            <v>1.0931258902780325E-2</v>
          </cell>
          <cell r="O69">
            <v>1.1173761515183053E-2</v>
          </cell>
          <cell r="P69">
            <v>1.811439906784525E-2</v>
          </cell>
          <cell r="Q69">
            <v>1.2399989211989764E-2</v>
          </cell>
          <cell r="R69">
            <v>1.1939862954954953E-2</v>
          </cell>
          <cell r="S69">
            <v>1.2288284859874222E-2</v>
          </cell>
          <cell r="T69">
            <v>1.1842226253476947E-2</v>
          </cell>
          <cell r="U69">
            <v>1.9682157833762929E-2</v>
          </cell>
          <cell r="V69">
            <v>1.1592234987503456E-2</v>
          </cell>
          <cell r="W69">
            <v>1.1147844023716795E-2</v>
          </cell>
          <cell r="X69">
            <v>1.1425985017752077E-2</v>
          </cell>
          <cell r="Y69">
            <v>1.0985810035676221E-2</v>
          </cell>
          <cell r="Z69">
            <v>1.7930228386922677E-2</v>
          </cell>
          <cell r="AA69">
            <v>1.1736355426763144E-2</v>
          </cell>
          <cell r="AB69">
            <v>1.1982095590114178E-2</v>
          </cell>
          <cell r="AC69">
            <v>1.1862624139313738E-2</v>
          </cell>
          <cell r="AD69">
            <v>1.1418033334772959E-2</v>
          </cell>
          <cell r="AE69">
            <v>1.8838157687553127E-2</v>
          </cell>
        </row>
        <row r="70">
          <cell r="G70" t="str">
            <v>RegionIdahoDairyStock</v>
          </cell>
          <cell r="H70" t="str">
            <v>Dairy</v>
          </cell>
          <cell r="I70" t="str">
            <v>IdahoDairy</v>
          </cell>
          <cell r="J70" t="str">
            <v>Stock</v>
          </cell>
          <cell r="K70" t="str">
            <v>1000lbs</v>
          </cell>
          <cell r="L70">
            <v>13629.012110609969</v>
          </cell>
          <cell r="M70">
            <v>13842.907114251881</v>
          </cell>
          <cell r="N70">
            <v>14023.216425344392</v>
          </cell>
          <cell r="O70">
            <v>14266.319353967396</v>
          </cell>
          <cell r="P70">
            <v>14513.683501515552</v>
          </cell>
          <cell r="Q70">
            <v>14784.738793280194</v>
          </cell>
          <cell r="R70">
            <v>15048.82150982591</v>
          </cell>
          <cell r="S70">
            <v>15351.081667959821</v>
          </cell>
          <cell r="T70">
            <v>15676.70161423125</v>
          </cell>
          <cell r="U70">
            <v>16022.910400199034</v>
          </cell>
          <cell r="V70">
            <v>16435.334001552066</v>
          </cell>
          <cell r="W70">
            <v>16796.9270935268</v>
          </cell>
          <cell r="X70">
            <v>17186.008838626629</v>
          </cell>
          <cell r="Y70">
            <v>17509.663776252026</v>
          </cell>
          <cell r="Z70">
            <v>17849.045518001847</v>
          </cell>
          <cell r="AA70">
            <v>18205.116228437721</v>
          </cell>
          <cell r="AB70">
            <v>18533.843580326749</v>
          </cell>
          <cell r="AC70">
            <v>18839.457555909743</v>
          </cell>
          <cell r="AD70">
            <v>19186.22471079613</v>
          </cell>
          <cell r="AE70">
            <v>19422.392838095242</v>
          </cell>
        </row>
        <row r="71">
          <cell r="G71" t="str">
            <v>RegionMontanaDairyStock</v>
          </cell>
          <cell r="H71" t="str">
            <v>Dairy</v>
          </cell>
          <cell r="I71" t="str">
            <v>MontanaDairy</v>
          </cell>
          <cell r="J71" t="str">
            <v>Stock</v>
          </cell>
          <cell r="K71" t="str">
            <v>1000lbs</v>
          </cell>
          <cell r="L71">
            <v>90.74529582059904</v>
          </cell>
          <cell r="M71">
            <v>90.898327903457215</v>
          </cell>
          <cell r="N71">
            <v>90.899562515809663</v>
          </cell>
          <cell r="O71">
            <v>91.013237267303055</v>
          </cell>
          <cell r="P71">
            <v>90.967755259326395</v>
          </cell>
          <cell r="Q71">
            <v>90.924506050749457</v>
          </cell>
          <cell r="R71">
            <v>91.025748037140048</v>
          </cell>
          <cell r="S71">
            <v>91.099301040678228</v>
          </cell>
          <cell r="T71">
            <v>90.915023147811965</v>
          </cell>
          <cell r="U71">
            <v>90.903023153329187</v>
          </cell>
          <cell r="V71">
            <v>90.903850245090197</v>
          </cell>
          <cell r="W71">
            <v>90.425722269176404</v>
          </cell>
          <cell r="X71">
            <v>90.371471553755299</v>
          </cell>
          <cell r="Y71">
            <v>90.264014484201496</v>
          </cell>
          <cell r="Z71">
            <v>90.097051493259059</v>
          </cell>
          <cell r="AA71">
            <v>89.896800203896433</v>
          </cell>
          <cell r="AB71">
            <v>89.896456479218287</v>
          </cell>
          <cell r="AC71">
            <v>89.606519803497406</v>
          </cell>
          <cell r="AD71">
            <v>89.325294250105614</v>
          </cell>
          <cell r="AE71">
            <v>89.328380794090677</v>
          </cell>
        </row>
        <row r="72">
          <cell r="G72" t="str">
            <v>RegionOregonDairyStock</v>
          </cell>
          <cell r="H72" t="str">
            <v>Dairy</v>
          </cell>
          <cell r="I72" t="str">
            <v>OregonDairy</v>
          </cell>
          <cell r="J72" t="str">
            <v>Stock</v>
          </cell>
          <cell r="K72" t="str">
            <v>1000lbs</v>
          </cell>
          <cell r="L72">
            <v>2744.180551622544</v>
          </cell>
          <cell r="M72">
            <v>2781.3253166710429</v>
          </cell>
          <cell r="N72">
            <v>2817.8028576592669</v>
          </cell>
          <cell r="O72">
            <v>2852.4466796581391</v>
          </cell>
          <cell r="P72">
            <v>2887.2703785501863</v>
          </cell>
          <cell r="Q72">
            <v>2923.2055190854799</v>
          </cell>
          <cell r="R72">
            <v>2963.8717110873577</v>
          </cell>
          <cell r="S72">
            <v>3007.9285968792492</v>
          </cell>
          <cell r="T72">
            <v>3054.4586648127197</v>
          </cell>
          <cell r="U72">
            <v>3103.2723514737127</v>
          </cell>
          <cell r="V72">
            <v>3155.2926430989965</v>
          </cell>
          <cell r="W72">
            <v>3205.2179835947745</v>
          </cell>
          <cell r="X72">
            <v>3255.0785902298294</v>
          </cell>
          <cell r="Y72">
            <v>3304.2085620815005</v>
          </cell>
          <cell r="Z72">
            <v>3359.7128554945239</v>
          </cell>
          <cell r="AA72">
            <v>3405.0605171911329</v>
          </cell>
          <cell r="AB72">
            <v>3454.1652559274162</v>
          </cell>
          <cell r="AC72">
            <v>3509.2005551615157</v>
          </cell>
          <cell r="AD72">
            <v>3557.2266817524842</v>
          </cell>
          <cell r="AE72">
            <v>3610.3576666465606</v>
          </cell>
        </row>
        <row r="73">
          <cell r="G73" t="str">
            <v>RegionWashingtonDairyStock</v>
          </cell>
          <cell r="H73" t="str">
            <v>Dairy</v>
          </cell>
          <cell r="I73" t="str">
            <v>WashingtonDairy</v>
          </cell>
          <cell r="J73" t="str">
            <v>Stock</v>
          </cell>
          <cell r="K73" t="str">
            <v>1000lbs</v>
          </cell>
          <cell r="L73">
            <v>6417.4166624736044</v>
          </cell>
          <cell r="M73">
            <v>6527.6845985495966</v>
          </cell>
          <cell r="N73">
            <v>6648.0748527559354</v>
          </cell>
          <cell r="O73">
            <v>6750.5768396680051</v>
          </cell>
          <cell r="P73">
            <v>6858.9947023924851</v>
          </cell>
          <cell r="Q73">
            <v>6950.9448303929594</v>
          </cell>
          <cell r="R73">
            <v>7066.5055116132971</v>
          </cell>
          <cell r="S73">
            <v>7154.1963866384513</v>
          </cell>
          <cell r="T73">
            <v>7260.5595150379595</v>
          </cell>
          <cell r="U73">
            <v>7382.1828771063319</v>
          </cell>
          <cell r="V73">
            <v>7515.612457778011</v>
          </cell>
          <cell r="W73">
            <v>7658.3815592644387</v>
          </cell>
          <cell r="X73">
            <v>7790.6041619373518</v>
          </cell>
          <cell r="Y73">
            <v>7925.9535611829233</v>
          </cell>
          <cell r="Z73">
            <v>8056.1594585167277</v>
          </cell>
          <cell r="AA73">
            <v>8212.3413257643278</v>
          </cell>
          <cell r="AB73">
            <v>8359.6360208598271</v>
          </cell>
          <cell r="AC73">
            <v>8487.3604780857568</v>
          </cell>
          <cell r="AD73">
            <v>8647.4216609802097</v>
          </cell>
          <cell r="AE73">
            <v>8766.8632794861296</v>
          </cell>
        </row>
        <row r="74">
          <cell r="G74" t="str">
            <v>RegionMechanical PulpStock</v>
          </cell>
          <cell r="H74" t="str">
            <v>Ind</v>
          </cell>
          <cell r="I74" t="str">
            <v>Mechanical Pulp</v>
          </cell>
          <cell r="J74" t="str">
            <v>Stock</v>
          </cell>
          <cell r="K74" t="str">
            <v>Consumption (MWh)</v>
          </cell>
          <cell r="L74">
            <v>3758422.9515033378</v>
          </cell>
          <cell r="M74">
            <v>3846371.717457301</v>
          </cell>
          <cell r="N74">
            <v>3968374.1915052147</v>
          </cell>
          <cell r="O74">
            <v>4090510.3824295267</v>
          </cell>
          <cell r="P74">
            <v>4250302.9154343279</v>
          </cell>
          <cell r="Q74">
            <v>4334033.2977658212</v>
          </cell>
          <cell r="R74">
            <v>4456327.439187984</v>
          </cell>
          <cell r="S74">
            <v>4578789.2711511394</v>
          </cell>
          <cell r="T74">
            <v>4701360.1942719091</v>
          </cell>
          <cell r="U74">
            <v>4824313.8733196864</v>
          </cell>
          <cell r="V74">
            <v>4947352.2681518989</v>
          </cell>
          <cell r="W74">
            <v>5070668.4941239785</v>
          </cell>
          <cell r="X74">
            <v>5241393.4127492504</v>
          </cell>
          <cell r="Y74">
            <v>5317320.3001071345</v>
          </cell>
          <cell r="Z74">
            <v>5440661.5619043242</v>
          </cell>
          <cell r="AA74">
            <v>5564018.2642552005</v>
          </cell>
          <cell r="AB74">
            <v>5739586.1964683067</v>
          </cell>
          <cell r="AC74">
            <v>5811280.9684790904</v>
          </cell>
          <cell r="AD74">
            <v>5935246.9976805374</v>
          </cell>
          <cell r="AE74">
            <v>6059032.0232603503</v>
          </cell>
        </row>
        <row r="75">
          <cell r="G75" t="str">
            <v>RegionKraft PulpStock</v>
          </cell>
          <cell r="H75" t="str">
            <v>Ind</v>
          </cell>
          <cell r="I75" t="str">
            <v>Kraft Pulp</v>
          </cell>
          <cell r="J75" t="str">
            <v>Stock</v>
          </cell>
          <cell r="K75" t="str">
            <v>Consumption (MWh)</v>
          </cell>
          <cell r="L75">
            <v>2773481.4382196674</v>
          </cell>
          <cell r="M75">
            <v>2819427.5750914654</v>
          </cell>
          <cell r="N75">
            <v>2890507.7097985409</v>
          </cell>
          <cell r="O75">
            <v>2962071.1114584161</v>
          </cell>
          <cell r="P75">
            <v>3059997.7868964532</v>
          </cell>
          <cell r="Q75">
            <v>3103655.7832492976</v>
          </cell>
          <cell r="R75">
            <v>3174966.0896720556</v>
          </cell>
          <cell r="S75">
            <v>3246510.2403896889</v>
          </cell>
          <cell r="T75">
            <v>3318080.388651574</v>
          </cell>
          <cell r="U75">
            <v>3389982.4618547466</v>
          </cell>
          <cell r="V75">
            <v>3462131.4738810235</v>
          </cell>
          <cell r="W75">
            <v>3534707.6510694856</v>
          </cell>
          <cell r="X75">
            <v>3640109.6347631621</v>
          </cell>
          <cell r="Y75">
            <v>3679903.4172538687</v>
          </cell>
          <cell r="Z75">
            <v>3752596.4740436999</v>
          </cell>
          <cell r="AA75">
            <v>3825294.7476344355</v>
          </cell>
          <cell r="AB75">
            <v>3934104.1351328893</v>
          </cell>
          <cell r="AC75">
            <v>3971456.2759534372</v>
          </cell>
          <cell r="AD75">
            <v>4044721.9040998006</v>
          </cell>
          <cell r="AE75">
            <v>4117951.8072271077</v>
          </cell>
        </row>
        <row r="76">
          <cell r="G76" t="str">
            <v>RegionPaperStock</v>
          </cell>
          <cell r="H76" t="str">
            <v>Ind</v>
          </cell>
          <cell r="I76" t="str">
            <v>Paper</v>
          </cell>
          <cell r="J76" t="str">
            <v>Stock</v>
          </cell>
          <cell r="K76" t="str">
            <v>Consumption (MWh)</v>
          </cell>
          <cell r="L76">
            <v>909695.70566164097</v>
          </cell>
          <cell r="M76">
            <v>929841.98736761883</v>
          </cell>
          <cell r="N76">
            <v>958296.9900283548</v>
          </cell>
          <cell r="O76">
            <v>986772.46541472664</v>
          </cell>
          <cell r="P76">
            <v>1024503.2482359634</v>
          </cell>
          <cell r="Q76">
            <v>1043814.269249864</v>
          </cell>
          <cell r="R76">
            <v>1072416.0473229263</v>
          </cell>
          <cell r="S76">
            <v>1101138.6289797227</v>
          </cell>
          <cell r="T76">
            <v>1129827.4252453854</v>
          </cell>
          <cell r="U76">
            <v>1158615.4096222189</v>
          </cell>
          <cell r="V76">
            <v>1187381.7412163604</v>
          </cell>
          <cell r="W76">
            <v>1216221.7351596826</v>
          </cell>
          <cell r="X76">
            <v>1256359.4314945252</v>
          </cell>
          <cell r="Y76">
            <v>1273754.7023949234</v>
          </cell>
          <cell r="Z76">
            <v>1302557.2241510332</v>
          </cell>
          <cell r="AA76">
            <v>1331330.2770174742</v>
          </cell>
          <cell r="AB76">
            <v>1372605.4069409962</v>
          </cell>
          <cell r="AC76">
            <v>1388979.5459728481</v>
          </cell>
          <cell r="AD76">
            <v>1417876.2653212347</v>
          </cell>
          <cell r="AE76">
            <v>1446660.9687985121</v>
          </cell>
        </row>
        <row r="77">
          <cell r="G77" t="str">
            <v>RegionFoundriesStock</v>
          </cell>
          <cell r="H77" t="str">
            <v>Ind</v>
          </cell>
          <cell r="I77" t="str">
            <v>Foundries</v>
          </cell>
          <cell r="J77" t="str">
            <v>Stock</v>
          </cell>
          <cell r="K77" t="str">
            <v>Consumption (MWh)</v>
          </cell>
          <cell r="L77">
            <v>2911780.7125423807</v>
          </cell>
          <cell r="M77">
            <v>2836711.9420544878</v>
          </cell>
          <cell r="N77">
            <v>2789583.7208478679</v>
          </cell>
          <cell r="O77">
            <v>2744161.1652043322</v>
          </cell>
          <cell r="P77">
            <v>2724138.9595719618</v>
          </cell>
          <cell r="Q77">
            <v>2657920.4757749322</v>
          </cell>
          <cell r="R77">
            <v>2617304.9227809869</v>
          </cell>
          <cell r="S77">
            <v>2577672.8738681655</v>
          </cell>
          <cell r="T77">
            <v>2539470.2769998731</v>
          </cell>
          <cell r="U77">
            <v>2502370.6800410077</v>
          </cell>
          <cell r="V77">
            <v>2466328.7382904179</v>
          </cell>
          <cell r="W77">
            <v>2431145.5854122876</v>
          </cell>
          <cell r="X77">
            <v>2419072.5388772879</v>
          </cell>
          <cell r="Y77">
            <v>2363410.6682392037</v>
          </cell>
          <cell r="Z77">
            <v>2330315.4302864787</v>
          </cell>
          <cell r="AA77">
            <v>2297818.1106687617</v>
          </cell>
          <cell r="AB77">
            <v>2286770.7986101452</v>
          </cell>
          <cell r="AC77">
            <v>2234701.6262630955</v>
          </cell>
          <cell r="AD77">
            <v>2204017.8086585626</v>
          </cell>
          <cell r="AE77">
            <v>2173546.4494459317</v>
          </cell>
        </row>
        <row r="78">
          <cell r="G78" t="str">
            <v>RegionFrozen FoodStock</v>
          </cell>
          <cell r="H78" t="str">
            <v>Ind</v>
          </cell>
          <cell r="I78" t="str">
            <v>Frozen Food</v>
          </cell>
          <cell r="J78" t="str">
            <v>Stock</v>
          </cell>
          <cell r="K78" t="str">
            <v>Consumption (MWh)</v>
          </cell>
          <cell r="L78">
            <v>1237117.9151862806</v>
          </cell>
          <cell r="M78">
            <v>1256265.8697824469</v>
          </cell>
          <cell r="N78">
            <v>1286638.141562406</v>
          </cell>
          <cell r="O78">
            <v>1317026.0249685342</v>
          </cell>
          <cell r="P78">
            <v>1359372.6119707115</v>
          </cell>
          <cell r="Q78">
            <v>1377450.5956346455</v>
          </cell>
          <cell r="R78">
            <v>1407752.7747509496</v>
          </cell>
          <cell r="S78">
            <v>1438031.0417962291</v>
          </cell>
          <cell r="T78">
            <v>1468359.9477337729</v>
          </cell>
          <cell r="U78">
            <v>1498806.1175902041</v>
          </cell>
          <cell r="V78">
            <v>1529247.5005361729</v>
          </cell>
          <cell r="W78">
            <v>1559755.0254088808</v>
          </cell>
          <cell r="X78">
            <v>1604695.7181381483</v>
          </cell>
          <cell r="Y78">
            <v>1620685.0488578391</v>
          </cell>
          <cell r="Z78">
            <v>1651120.4927678995</v>
          </cell>
          <cell r="AA78">
            <v>1681526.4060613776</v>
          </cell>
          <cell r="AB78">
            <v>1727706.9650814079</v>
          </cell>
          <cell r="AC78">
            <v>1742468.2976748645</v>
          </cell>
          <cell r="AD78">
            <v>1772999.536528415</v>
          </cell>
          <cell r="AE78">
            <v>1803423.3883706611</v>
          </cell>
        </row>
        <row r="79">
          <cell r="G79" t="str">
            <v>RegionOther FoodStock</v>
          </cell>
          <cell r="H79" t="str">
            <v>Ind</v>
          </cell>
          <cell r="I79" t="str">
            <v>Other Food</v>
          </cell>
          <cell r="J79" t="str">
            <v>Stock</v>
          </cell>
          <cell r="K79" t="str">
            <v>Consumption (MWh)</v>
          </cell>
          <cell r="L79">
            <v>2189215.7914933185</v>
          </cell>
          <cell r="M79">
            <v>2225714.4170001475</v>
          </cell>
          <cell r="N79">
            <v>2281801.3842795906</v>
          </cell>
          <cell r="O79">
            <v>2337878.4662610777</v>
          </cell>
          <cell r="P79">
            <v>2414859.5617400161</v>
          </cell>
          <cell r="Q79">
            <v>2449639.2617126312</v>
          </cell>
          <cell r="R79">
            <v>2505916.452109566</v>
          </cell>
          <cell r="S79">
            <v>2561919.8701418121</v>
          </cell>
          <cell r="T79">
            <v>2618248.9470964097</v>
          </cell>
          <cell r="U79">
            <v>2674706.0878431001</v>
          </cell>
          <cell r="V79">
            <v>2731406.8457201738</v>
          </cell>
          <cell r="W79">
            <v>2788145.294466868</v>
          </cell>
          <cell r="X79">
            <v>2870921.2322274465</v>
          </cell>
          <cell r="Y79">
            <v>2901825.3565548556</v>
          </cell>
          <cell r="Z79">
            <v>2958750.6188529818</v>
          </cell>
          <cell r="AA79">
            <v>3015584.6219987967</v>
          </cell>
          <cell r="AB79">
            <v>3100853.4167639203</v>
          </cell>
          <cell r="AC79">
            <v>3129759.8328607553</v>
          </cell>
          <cell r="AD79">
            <v>3187110.5829028329</v>
          </cell>
          <cell r="AE79">
            <v>3244229.8759716363</v>
          </cell>
        </row>
        <row r="80">
          <cell r="G80" t="str">
            <v>RegionWood - LumberStock</v>
          </cell>
          <cell r="H80" t="str">
            <v>Ind</v>
          </cell>
          <cell r="I80" t="str">
            <v>Wood - Lumber</v>
          </cell>
          <cell r="J80" t="str">
            <v>Stock</v>
          </cell>
          <cell r="K80" t="str">
            <v>Consumption (MWh)</v>
          </cell>
          <cell r="L80">
            <v>1161963.8217505382</v>
          </cell>
          <cell r="M80">
            <v>1117769.5487595289</v>
          </cell>
          <cell r="N80">
            <v>1084874.9921310821</v>
          </cell>
          <cell r="O80">
            <v>1052791.9192047431</v>
          </cell>
          <cell r="P80">
            <v>1030397.4491679214</v>
          </cell>
          <cell r="Q80">
            <v>990879.29279742646</v>
          </cell>
          <cell r="R80">
            <v>961065.17490868072</v>
          </cell>
          <cell r="S80">
            <v>931730.64036078285</v>
          </cell>
          <cell r="T80">
            <v>903080.08419384609</v>
          </cell>
          <cell r="U80">
            <v>874945.75211344392</v>
          </cell>
          <cell r="V80">
            <v>847310.7915088681</v>
          </cell>
          <cell r="W80">
            <v>820119.00687699113</v>
          </cell>
          <cell r="X80">
            <v>800618.32318729174</v>
          </cell>
          <cell r="Y80">
            <v>766954.27095195896</v>
          </cell>
          <cell r="Z80">
            <v>740908.22274123156</v>
          </cell>
          <cell r="AA80">
            <v>715106.45172531332</v>
          </cell>
          <cell r="AB80">
            <v>696028.08762583928</v>
          </cell>
          <cell r="AC80">
            <v>664509.97671853204</v>
          </cell>
          <cell r="AD80">
            <v>639621.04956848687</v>
          </cell>
          <cell r="AE80">
            <v>614946.99745740264</v>
          </cell>
        </row>
        <row r="81">
          <cell r="G81" t="str">
            <v>RegionWood - PanelStock</v>
          </cell>
          <cell r="H81" t="str">
            <v>Ind</v>
          </cell>
          <cell r="I81" t="str">
            <v>Wood - Panel</v>
          </cell>
          <cell r="J81" t="str">
            <v>Stock</v>
          </cell>
          <cell r="K81" t="str">
            <v>Consumption (MWh)</v>
          </cell>
          <cell r="L81">
            <v>551950.18982134352</v>
          </cell>
          <cell r="M81">
            <v>528731.18450453493</v>
          </cell>
          <cell r="N81">
            <v>510838.63702842174</v>
          </cell>
          <cell r="O81">
            <v>493229.56048375246</v>
          </cell>
          <cell r="P81">
            <v>480200.65450609016</v>
          </cell>
          <cell r="Q81">
            <v>458869.67437759304</v>
          </cell>
          <cell r="R81">
            <v>442034.77624590963</v>
          </cell>
          <cell r="S81">
            <v>425381.84725157876</v>
          </cell>
          <cell r="T81">
            <v>408945.79607863171</v>
          </cell>
          <cell r="U81">
            <v>392669.02882158436</v>
          </cell>
          <cell r="V81">
            <v>376527.17230508296</v>
          </cell>
          <cell r="W81">
            <v>360540.83558473963</v>
          </cell>
          <cell r="X81">
            <v>347793.23494737077</v>
          </cell>
          <cell r="Y81">
            <v>328864.0423583783</v>
          </cell>
          <cell r="Z81">
            <v>313174.70380282239</v>
          </cell>
          <cell r="AA81">
            <v>297578.74522290094</v>
          </cell>
          <cell r="AB81">
            <v>284693.91308797692</v>
          </cell>
          <cell r="AC81">
            <v>266695.50893493497</v>
          </cell>
          <cell r="AD81">
            <v>251377.16659093063</v>
          </cell>
          <cell r="AE81">
            <v>236121.41095945257</v>
          </cell>
        </row>
        <row r="82">
          <cell r="G82" t="str">
            <v>RegionWood - OtherStock</v>
          </cell>
          <cell r="H82" t="str">
            <v>Ind</v>
          </cell>
          <cell r="I82" t="str">
            <v>Wood - Other</v>
          </cell>
          <cell r="J82" t="str">
            <v>Stock</v>
          </cell>
          <cell r="K82" t="str">
            <v>Consumption (MWh)</v>
          </cell>
          <cell r="L82">
            <v>870727.85506649863</v>
          </cell>
          <cell r="M82">
            <v>839735.03037413268</v>
          </cell>
          <cell r="N82">
            <v>817265.57122340729</v>
          </cell>
          <cell r="O82">
            <v>795421.70406258584</v>
          </cell>
          <cell r="P82">
            <v>780923.07506947254</v>
          </cell>
          <cell r="Q82">
            <v>753146.51005964773</v>
          </cell>
          <cell r="R82">
            <v>732820.97518292943</v>
          </cell>
          <cell r="S82">
            <v>712886.70561548509</v>
          </cell>
          <cell r="T82">
            <v>693400.22734523669</v>
          </cell>
          <cell r="U82">
            <v>674308.65124034672</v>
          </cell>
          <cell r="V82">
            <v>655534.95057322702</v>
          </cell>
          <cell r="W82">
            <v>637111.60144566628</v>
          </cell>
          <cell r="X82">
            <v>624630.92244216194</v>
          </cell>
          <cell r="Y82">
            <v>601103.42928001995</v>
          </cell>
          <cell r="Z82">
            <v>583449.38612394244</v>
          </cell>
          <cell r="AA82">
            <v>565997.72271073016</v>
          </cell>
          <cell r="AB82">
            <v>553823.1943250458</v>
          </cell>
          <cell r="AC82">
            <v>531773.35758124199</v>
          </cell>
          <cell r="AD82">
            <v>514944.55152005563</v>
          </cell>
          <cell r="AE82">
            <v>498286.13824063755</v>
          </cell>
        </row>
        <row r="83">
          <cell r="G83" t="str">
            <v>RegionSugarStock</v>
          </cell>
          <cell r="H83" t="str">
            <v>Ind</v>
          </cell>
          <cell r="I83" t="str">
            <v>Sugar</v>
          </cell>
          <cell r="J83" t="str">
            <v>Stock</v>
          </cell>
          <cell r="K83" t="str">
            <v>Consumption (MWh)</v>
          </cell>
          <cell r="L83">
            <v>475136.72478012781</v>
          </cell>
          <cell r="M83">
            <v>478944.05758966133</v>
          </cell>
          <cell r="N83">
            <v>486819.48116772674</v>
          </cell>
          <cell r="O83">
            <v>494591.38634116278</v>
          </cell>
          <cell r="P83">
            <v>506508.14130214165</v>
          </cell>
          <cell r="Q83">
            <v>510023.29432266601</v>
          </cell>
          <cell r="R83">
            <v>517787.90058012598</v>
          </cell>
          <cell r="S83">
            <v>525332.27094640187</v>
          </cell>
          <cell r="T83">
            <v>532962.59651115292</v>
          </cell>
          <cell r="U83">
            <v>540559.14188859914</v>
          </cell>
          <cell r="V83">
            <v>548264.64271890977</v>
          </cell>
          <cell r="W83">
            <v>555867.220442908</v>
          </cell>
          <cell r="X83">
            <v>568632.32789277437</v>
          </cell>
          <cell r="Y83">
            <v>571112.91942260799</v>
          </cell>
          <cell r="Z83">
            <v>578836.54771749349</v>
          </cell>
          <cell r="AA83">
            <v>586399.91803551139</v>
          </cell>
          <cell r="AB83">
            <v>599561.512214605</v>
          </cell>
          <cell r="AC83">
            <v>601661.01637638209</v>
          </cell>
          <cell r="AD83">
            <v>609371.99258243595</v>
          </cell>
          <cell r="AE83">
            <v>616906.35518594901</v>
          </cell>
        </row>
        <row r="84">
          <cell r="G84" t="str">
            <v>RegionHi Tech - Chip FabStock</v>
          </cell>
          <cell r="H84" t="str">
            <v>Ind</v>
          </cell>
          <cell r="I84" t="str">
            <v>Hi Tech - Chip Fab</v>
          </cell>
          <cell r="J84" t="str">
            <v>Stock</v>
          </cell>
          <cell r="K84" t="str">
            <v>Consumption (MWh)</v>
          </cell>
          <cell r="L84">
            <v>441794.88875823218</v>
          </cell>
          <cell r="M84">
            <v>432626.39847364998</v>
          </cell>
          <cell r="N84">
            <v>427242.98054352769</v>
          </cell>
          <cell r="O84">
            <v>422213.82213962206</v>
          </cell>
          <cell r="P84">
            <v>421920.64066734893</v>
          </cell>
          <cell r="Q84">
            <v>413709.06623231358</v>
          </cell>
          <cell r="R84">
            <v>410212.7518948018</v>
          </cell>
          <cell r="S84">
            <v>406355.09832970693</v>
          </cell>
          <cell r="T84">
            <v>403296.23418868397</v>
          </cell>
          <cell r="U84">
            <v>399924.4240136806</v>
          </cell>
          <cell r="V84">
            <v>397295.90252843429</v>
          </cell>
          <cell r="W84">
            <v>394316.89382121537</v>
          </cell>
          <cell r="X84">
            <v>395623.44895442144</v>
          </cell>
          <cell r="Y84">
            <v>389392.69605832879</v>
          </cell>
          <cell r="Z84">
            <v>386892.14662184619</v>
          </cell>
          <cell r="AA84">
            <v>385025.31464219192</v>
          </cell>
          <cell r="AB84">
            <v>386311.31539104413</v>
          </cell>
          <cell r="AC84">
            <v>381213.1101798673</v>
          </cell>
          <cell r="AD84">
            <v>379233.88825255015</v>
          </cell>
          <cell r="AE84">
            <v>377804.18623239076</v>
          </cell>
        </row>
        <row r="85">
          <cell r="G85" t="str">
            <v>RegionHi Tech - SiliconStock</v>
          </cell>
          <cell r="H85" t="str">
            <v>Ind</v>
          </cell>
          <cell r="I85" t="str">
            <v>Hi Tech - Silicon</v>
          </cell>
          <cell r="J85" t="str">
            <v>Stock</v>
          </cell>
          <cell r="K85" t="str">
            <v>Consumption (MWh)</v>
          </cell>
          <cell r="L85">
            <v>226900.615461001</v>
          </cell>
          <cell r="M85">
            <v>224036.45332402681</v>
          </cell>
          <cell r="N85">
            <v>223197.60670939417</v>
          </cell>
          <cell r="O85">
            <v>222435.67348639047</v>
          </cell>
          <cell r="P85">
            <v>223898.4301459378</v>
          </cell>
          <cell r="Q85">
            <v>221368.38696638378</v>
          </cell>
          <cell r="R85">
            <v>221129.95798393188</v>
          </cell>
          <cell r="S85">
            <v>220786.11584318019</v>
          </cell>
          <cell r="T85">
            <v>220661.22741685802</v>
          </cell>
          <cell r="U85">
            <v>220514.6104276102</v>
          </cell>
          <cell r="V85">
            <v>220566.57724116242</v>
          </cell>
          <cell r="W85">
            <v>220582.85570889112</v>
          </cell>
          <cell r="X85">
            <v>222786.93799954746</v>
          </cell>
          <cell r="Y85">
            <v>220925.37261965938</v>
          </cell>
          <cell r="Z85">
            <v>221135.24104542725</v>
          </cell>
          <cell r="AA85">
            <v>221470.75488217658</v>
          </cell>
          <cell r="AB85">
            <v>223814.68962733069</v>
          </cell>
          <cell r="AC85">
            <v>222220.65723257174</v>
          </cell>
          <cell r="AD85">
            <v>222629.30420924808</v>
          </cell>
          <cell r="AE85">
            <v>223146.84657001842</v>
          </cell>
        </row>
        <row r="86">
          <cell r="G86" t="str">
            <v>RegionMetal FabStock</v>
          </cell>
          <cell r="H86" t="str">
            <v>Ind</v>
          </cell>
          <cell r="I86" t="str">
            <v>Metal Fab</v>
          </cell>
          <cell r="J86" t="str">
            <v>Stock</v>
          </cell>
          <cell r="K86" t="str">
            <v>Consumption (MWh)</v>
          </cell>
          <cell r="L86">
            <v>909892.68701188185</v>
          </cell>
          <cell r="M86">
            <v>891825.25809582323</v>
          </cell>
          <cell r="N86">
            <v>882508.80442902481</v>
          </cell>
          <cell r="O86">
            <v>873727.53576770169</v>
          </cell>
          <cell r="P86">
            <v>873074.20336348354</v>
          </cell>
          <cell r="Q86">
            <v>857353.78829031112</v>
          </cell>
          <cell r="R86">
            <v>849920.96028251934</v>
          </cell>
          <cell r="S86">
            <v>842747.12140389089</v>
          </cell>
          <cell r="T86">
            <v>835992.11174095876</v>
          </cell>
          <cell r="U86">
            <v>829585.10375461576</v>
          </cell>
          <cell r="V86">
            <v>823489.91083828453</v>
          </cell>
          <cell r="W86">
            <v>817657.03435069101</v>
          </cell>
          <cell r="X86">
            <v>819465.35455238761</v>
          </cell>
          <cell r="Y86">
            <v>806647.75437978934</v>
          </cell>
          <cell r="Z86">
            <v>801457.62846863491</v>
          </cell>
          <cell r="AA86">
            <v>796415.70090358355</v>
          </cell>
          <cell r="AB86">
            <v>798860.24754177267</v>
          </cell>
          <cell r="AC86">
            <v>786961.84080937004</v>
          </cell>
          <cell r="AD86">
            <v>782499.53998716734</v>
          </cell>
          <cell r="AE86">
            <v>778123.72130174015</v>
          </cell>
        </row>
        <row r="87">
          <cell r="G87" t="str">
            <v>RegionTransportation, EquipStock</v>
          </cell>
          <cell r="H87" t="str">
            <v>Ind</v>
          </cell>
          <cell r="I87" t="str">
            <v>Transportation, Equip</v>
          </cell>
          <cell r="J87" t="str">
            <v>Stock</v>
          </cell>
          <cell r="K87" t="str">
            <v>Consumption (MWh)</v>
          </cell>
          <cell r="L87">
            <v>1804273.4320914866</v>
          </cell>
          <cell r="M87">
            <v>1764444.7092744687</v>
          </cell>
          <cell r="N87">
            <v>1742380.5060862801</v>
          </cell>
          <cell r="O87">
            <v>1721734.2919262978</v>
          </cell>
          <cell r="P87">
            <v>1717290.0100661237</v>
          </cell>
          <cell r="Q87">
            <v>1684212.3577429946</v>
          </cell>
          <cell r="R87">
            <v>1667572.9872876552</v>
          </cell>
          <cell r="S87">
            <v>1651915.7655637239</v>
          </cell>
          <cell r="T87">
            <v>1637404.0605393937</v>
          </cell>
          <cell r="U87">
            <v>1624039.8539685637</v>
          </cell>
          <cell r="V87">
            <v>1611571.7582730576</v>
          </cell>
          <cell r="W87">
            <v>1599938.1807304013</v>
          </cell>
          <cell r="X87">
            <v>1603782.6234504275</v>
          </cell>
          <cell r="Y87">
            <v>1579189.4507664458</v>
          </cell>
          <cell r="Z87">
            <v>1569848.0280781442</v>
          </cell>
          <cell r="AA87">
            <v>1560977.4194455137</v>
          </cell>
          <cell r="AB87">
            <v>1566945.462049291</v>
          </cell>
          <cell r="AC87">
            <v>1545218.7396206472</v>
          </cell>
          <cell r="AD87">
            <v>1538099.8647244556</v>
          </cell>
          <cell r="AE87">
            <v>1531589.7574381533</v>
          </cell>
        </row>
        <row r="88">
          <cell r="G88" t="str">
            <v>RegionRefineryStock</v>
          </cell>
          <cell r="H88" t="str">
            <v>Ind</v>
          </cell>
          <cell r="I88" t="str">
            <v>Refinery</v>
          </cell>
          <cell r="J88" t="str">
            <v>Stock</v>
          </cell>
          <cell r="K88" t="str">
            <v>Consumption (MWh)</v>
          </cell>
          <cell r="L88">
            <v>1881024.91962965</v>
          </cell>
          <cell r="M88">
            <v>1909117.5467978129</v>
          </cell>
          <cell r="N88">
            <v>1951995.6132668965</v>
          </cell>
          <cell r="O88">
            <v>1997111.8831124087</v>
          </cell>
          <cell r="P88">
            <v>2057483.6301056999</v>
          </cell>
          <cell r="Q88">
            <v>2084336.8416466711</v>
          </cell>
          <cell r="R88">
            <v>2127809.677560756</v>
          </cell>
          <cell r="S88">
            <v>2172413.8365607024</v>
          </cell>
          <cell r="T88">
            <v>2215960.2386478884</v>
          </cell>
          <cell r="U88">
            <v>2261195.6605773838</v>
          </cell>
          <cell r="V88">
            <v>2305708.6406222372</v>
          </cell>
          <cell r="W88">
            <v>2351421.030442731</v>
          </cell>
          <cell r="X88">
            <v>2417809.3733545281</v>
          </cell>
          <cell r="Y88">
            <v>2441973.3932293397</v>
          </cell>
          <cell r="Z88">
            <v>2486737.3300964865</v>
          </cell>
          <cell r="AA88">
            <v>2532907.6529900534</v>
          </cell>
          <cell r="AB88">
            <v>2601624.7146502738</v>
          </cell>
          <cell r="AC88">
            <v>2625012.9439967307</v>
          </cell>
          <cell r="AD88">
            <v>2670463.7864335729</v>
          </cell>
          <cell r="AE88">
            <v>2717337.6347862268</v>
          </cell>
        </row>
        <row r="89">
          <cell r="G89" t="str">
            <v>RegionCold StorageStock</v>
          </cell>
          <cell r="H89" t="str">
            <v>Ind</v>
          </cell>
          <cell r="I89" t="str">
            <v>Cold Storage</v>
          </cell>
          <cell r="J89" t="str">
            <v>Stock</v>
          </cell>
          <cell r="K89" t="str">
            <v>Consumption (MWh)</v>
          </cell>
          <cell r="L89">
            <v>78154.236827670538</v>
          </cell>
          <cell r="M89">
            <v>79453.458629044515</v>
          </cell>
          <cell r="N89">
            <v>81462.364882615439</v>
          </cell>
          <cell r="O89">
            <v>83477.500671992908</v>
          </cell>
          <cell r="P89">
            <v>86245.581369176958</v>
          </cell>
          <cell r="Q89">
            <v>87478.747599680457</v>
          </cell>
          <cell r="R89">
            <v>89494.311122657688</v>
          </cell>
          <cell r="S89">
            <v>91509.020390414968</v>
          </cell>
          <cell r="T89">
            <v>93532.504764969955</v>
          </cell>
          <cell r="U89">
            <v>95564.382084683428</v>
          </cell>
          <cell r="V89">
            <v>97600.983939128768</v>
          </cell>
          <cell r="W89">
            <v>99644.634467322845</v>
          </cell>
          <cell r="X89">
            <v>102618.3524040958</v>
          </cell>
          <cell r="Y89">
            <v>103741.81616097505</v>
          </cell>
          <cell r="Z89">
            <v>105788.43696882724</v>
          </cell>
          <cell r="AA89">
            <v>107838.05913011087</v>
          </cell>
          <cell r="AB89">
            <v>110898.73263363529</v>
          </cell>
          <cell r="AC89">
            <v>111951.72686476028</v>
          </cell>
          <cell r="AD89">
            <v>114014.96377503965</v>
          </cell>
          <cell r="AE89">
            <v>116079.01640209509</v>
          </cell>
        </row>
        <row r="90">
          <cell r="G90" t="str">
            <v>RegionFruit StorageStock</v>
          </cell>
          <cell r="H90" t="str">
            <v>Ind</v>
          </cell>
          <cell r="I90" t="str">
            <v>Fruit Storage</v>
          </cell>
          <cell r="J90" t="str">
            <v>Stock</v>
          </cell>
          <cell r="K90" t="str">
            <v>Consumption (MWh)</v>
          </cell>
          <cell r="L90">
            <v>199395.43790713095</v>
          </cell>
          <cell r="M90">
            <v>204115.10690708214</v>
          </cell>
          <cell r="N90">
            <v>210634.84781997796</v>
          </cell>
          <cell r="O90">
            <v>217141.49063609194</v>
          </cell>
          <cell r="P90">
            <v>225683.75101923331</v>
          </cell>
          <cell r="Q90">
            <v>230234.36323329096</v>
          </cell>
          <cell r="R90">
            <v>236796.95219371072</v>
          </cell>
          <cell r="S90">
            <v>243349.21918638356</v>
          </cell>
          <cell r="T90">
            <v>249921.80671927828</v>
          </cell>
          <cell r="U90">
            <v>256506.98239189648</v>
          </cell>
          <cell r="V90">
            <v>263096.35269472009</v>
          </cell>
          <cell r="W90">
            <v>269693.66215315415</v>
          </cell>
          <cell r="X90">
            <v>278797.26062516763</v>
          </cell>
          <cell r="Y90">
            <v>282842.82237701409</v>
          </cell>
          <cell r="Z90">
            <v>289419.35664982459</v>
          </cell>
          <cell r="AA90">
            <v>295994.31165490975</v>
          </cell>
          <cell r="AB90">
            <v>305366.03036291245</v>
          </cell>
          <cell r="AC90">
            <v>309179.84460456396</v>
          </cell>
          <cell r="AD90">
            <v>315794.71629056305</v>
          </cell>
          <cell r="AE90">
            <v>322364.98084319307</v>
          </cell>
        </row>
        <row r="91">
          <cell r="G91" t="str">
            <v>RegionChemicalStock</v>
          </cell>
          <cell r="H91" t="str">
            <v>Ind</v>
          </cell>
          <cell r="I91" t="str">
            <v>Chemical</v>
          </cell>
          <cell r="J91" t="str">
            <v>Stock</v>
          </cell>
          <cell r="K91" t="str">
            <v>Consumption (MWh)</v>
          </cell>
          <cell r="L91">
            <v>3305004.1605836996</v>
          </cell>
          <cell r="M91">
            <v>3443789.6934345411</v>
          </cell>
          <cell r="N91">
            <v>3609021.9884613133</v>
          </cell>
          <cell r="O91">
            <v>3771046.7677251906</v>
          </cell>
          <cell r="P91">
            <v>3927253.9609524435</v>
          </cell>
          <cell r="Q91">
            <v>4037395.7085911199</v>
          </cell>
          <cell r="R91">
            <v>4188643.2636367837</v>
          </cell>
          <cell r="S91">
            <v>4340984.9755713558</v>
          </cell>
          <cell r="T91">
            <v>4493975.9194887662</v>
          </cell>
          <cell r="U91">
            <v>4646018.0745007796</v>
          </cell>
          <cell r="V91">
            <v>4797371.3042631764</v>
          </cell>
          <cell r="W91">
            <v>4947813.7264089147</v>
          </cell>
          <cell r="X91">
            <v>5144107.7969676936</v>
          </cell>
          <cell r="Y91">
            <v>5246402.7802377427</v>
          </cell>
          <cell r="Z91">
            <v>5394857.0622515492</v>
          </cell>
          <cell r="AA91">
            <v>5541714.6108995685</v>
          </cell>
          <cell r="AB91">
            <v>5740442.2061493713</v>
          </cell>
          <cell r="AC91">
            <v>5833788.3063517585</v>
          </cell>
          <cell r="AD91">
            <v>5979638.453419812</v>
          </cell>
          <cell r="AE91">
            <v>6123880.4660364473</v>
          </cell>
        </row>
        <row r="92">
          <cell r="G92" t="str">
            <v>RegionMisc ManfStock</v>
          </cell>
          <cell r="H92" t="str">
            <v>Ind</v>
          </cell>
          <cell r="I92" t="str">
            <v>Misc Manf</v>
          </cell>
          <cell r="J92" t="str">
            <v>Stock</v>
          </cell>
          <cell r="K92" t="str">
            <v>Consumption (MWh)</v>
          </cell>
          <cell r="L92">
            <v>4209556.472488177</v>
          </cell>
          <cell r="M92">
            <v>4334633.1165770665</v>
          </cell>
          <cell r="N92">
            <v>4496807.6122477548</v>
          </cell>
          <cell r="O92">
            <v>4658950.5636732625</v>
          </cell>
          <cell r="P92">
            <v>4833902.8390341504</v>
          </cell>
          <cell r="Q92">
            <v>4939547.3871582579</v>
          </cell>
          <cell r="R92">
            <v>5095859.5790590979</v>
          </cell>
          <cell r="S92">
            <v>5254063.1713875132</v>
          </cell>
          <cell r="T92">
            <v>5413802.5084346561</v>
          </cell>
          <cell r="U92">
            <v>5573463.6928148605</v>
          </cell>
          <cell r="V92">
            <v>5733797.7617043415</v>
          </cell>
          <cell r="W92">
            <v>5893374.3310838528</v>
          </cell>
          <cell r="X92">
            <v>6108755.4059702102</v>
          </cell>
          <cell r="Y92">
            <v>6213044.4648437528</v>
          </cell>
          <cell r="Z92">
            <v>6372313.332896472</v>
          </cell>
          <cell r="AA92">
            <v>6531884.2745853113</v>
          </cell>
          <cell r="AB92">
            <v>6752077.3183153793</v>
          </cell>
          <cell r="AC92">
            <v>6850327.3548128605</v>
          </cell>
          <cell r="AD92">
            <v>7009692.065473482</v>
          </cell>
          <cell r="AE92">
            <v>7168736.8179728845</v>
          </cell>
        </row>
        <row r="93">
          <cell r="G93" t="str">
            <v>RegionEVStock</v>
          </cell>
          <cell r="H93" t="str">
            <v>EV</v>
          </cell>
          <cell r="I93" t="str">
            <v>EV</v>
          </cell>
          <cell r="J93" t="str">
            <v>Stock</v>
          </cell>
          <cell r="K93" t="str">
            <v>1000 Cars</v>
          </cell>
          <cell r="L93">
            <v>60.183986956923889</v>
          </cell>
          <cell r="M93">
            <v>91.985039267783762</v>
          </cell>
          <cell r="N93">
            <v>131.71899349682545</v>
          </cell>
          <cell r="O93">
            <v>179.31931215654896</v>
          </cell>
          <cell r="P93">
            <v>234.46894197990883</v>
          </cell>
          <cell r="Q93">
            <v>296.9378027583823</v>
          </cell>
          <cell r="R93">
            <v>366.00059330503768</v>
          </cell>
          <cell r="S93">
            <v>441.25939468635204</v>
          </cell>
          <cell r="T93">
            <v>522.62506581198477</v>
          </cell>
          <cell r="U93">
            <v>610.52396116716261</v>
          </cell>
          <cell r="V93">
            <v>705.01906985870437</v>
          </cell>
          <cell r="W93">
            <v>801.72374571842784</v>
          </cell>
          <cell r="X93">
            <v>899.84995621451503</v>
          </cell>
          <cell r="Y93">
            <v>998.49290967026104</v>
          </cell>
          <cell r="Z93">
            <v>1096.4275699987345</v>
          </cell>
          <cell r="AA93">
            <v>1187.7661760902763</v>
          </cell>
          <cell r="AB93">
            <v>1272.9815546454543</v>
          </cell>
          <cell r="AC93">
            <v>1351.8588013409089</v>
          </cell>
          <cell r="AD93">
            <v>1433.0587465545455</v>
          </cell>
          <cell r="AE93">
            <v>1500.0488473772725</v>
          </cell>
        </row>
        <row r="94">
          <cell r="G94" t="str">
            <v>RegionPopStock</v>
          </cell>
          <cell r="H94" t="str">
            <v>Pop</v>
          </cell>
          <cell r="I94" t="str">
            <v>Pop</v>
          </cell>
          <cell r="J94" t="str">
            <v>Stock</v>
          </cell>
          <cell r="K94" t="str">
            <v># of people</v>
          </cell>
          <cell r="L94">
            <v>13520.68111</v>
          </cell>
          <cell r="M94">
            <v>13661.840299999998</v>
          </cell>
          <cell r="N94">
            <v>13803.691440000001</v>
          </cell>
          <cell r="O94">
            <v>13944.276469999999</v>
          </cell>
          <cell r="P94">
            <v>14082.801340000002</v>
          </cell>
          <cell r="Q94">
            <v>14218.715590000002</v>
          </cell>
          <cell r="R94">
            <v>14351.918940000001</v>
          </cell>
          <cell r="S94">
            <v>14482.437540000003</v>
          </cell>
          <cell r="T94">
            <v>14610.4211</v>
          </cell>
          <cell r="U94">
            <v>14736.24631</v>
          </cell>
          <cell r="V94">
            <v>14860.320880000001</v>
          </cell>
          <cell r="W94">
            <v>14983.078860000001</v>
          </cell>
          <cell r="X94">
            <v>15104.70127</v>
          </cell>
          <cell r="Y94">
            <v>15225.195700000002</v>
          </cell>
          <cell r="Z94">
            <v>15344.62486</v>
          </cell>
          <cell r="AA94">
            <v>15463.089019999998</v>
          </cell>
          <cell r="AB94">
            <v>15580.68845</v>
          </cell>
          <cell r="AC94">
            <v>15697.50913</v>
          </cell>
          <cell r="AD94">
            <v>15813.626329999999</v>
          </cell>
          <cell r="AE94">
            <v>15929.254489999999</v>
          </cell>
        </row>
        <row r="95">
          <cell r="G95" t="str">
            <v>RegionDataCenterStock</v>
          </cell>
          <cell r="H95" t="str">
            <v>DataCenter</v>
          </cell>
          <cell r="I95" t="str">
            <v>DataCenter</v>
          </cell>
          <cell r="J95" t="str">
            <v>Stock</v>
          </cell>
          <cell r="K95" t="str">
            <v>Consumption (aMW)</v>
          </cell>
          <cell r="L95">
            <v>381.60143269415096</v>
          </cell>
          <cell r="M95">
            <v>404.69885906229592</v>
          </cell>
          <cell r="N95">
            <v>421.46039895133885</v>
          </cell>
          <cell r="O95">
            <v>419.64642143844253</v>
          </cell>
          <cell r="P95">
            <v>423.66562864853898</v>
          </cell>
          <cell r="Q95">
            <v>432.76092390952061</v>
          </cell>
          <cell r="R95">
            <v>446.31531189522576</v>
          </cell>
          <cell r="S95">
            <v>450.98222620533323</v>
          </cell>
          <cell r="T95">
            <v>459.05126073815245</v>
          </cell>
          <cell r="U95">
            <v>470.19601765719887</v>
          </cell>
          <cell r="V95">
            <v>484.16208251533135</v>
          </cell>
          <cell r="W95">
            <v>494.21069266812788</v>
          </cell>
          <cell r="X95">
            <v>506.64189476780371</v>
          </cell>
          <cell r="Y95">
            <v>521.35392484293436</v>
          </cell>
          <cell r="Z95">
            <v>538.28523642117</v>
          </cell>
          <cell r="AA95">
            <v>554.01935267425768</v>
          </cell>
          <cell r="AB95">
            <v>571.88182312772415</v>
          </cell>
          <cell r="AC95">
            <v>591.90212163156946</v>
          </cell>
          <cell r="AD95">
            <v>614.13634434495953</v>
          </cell>
          <cell r="AE95">
            <v>636.87438282107769</v>
          </cell>
        </row>
        <row r="96">
          <cell r="G96" t="str">
            <v>RegionTotalLoadStock</v>
          </cell>
          <cell r="H96" t="str">
            <v>DEI</v>
          </cell>
          <cell r="I96" t="str">
            <v>TotalLoad</v>
          </cell>
          <cell r="J96" t="str">
            <v>Stock</v>
          </cell>
          <cell r="K96" t="str">
            <v>Consumption (aMW)</v>
          </cell>
          <cell r="L96">
            <v>21071.66</v>
          </cell>
          <cell r="M96">
            <v>21195.54</v>
          </cell>
          <cell r="N96">
            <v>21410</v>
          </cell>
          <cell r="O96">
            <v>21551.43</v>
          </cell>
          <cell r="P96">
            <v>21679.64</v>
          </cell>
          <cell r="Q96">
            <v>21827.78</v>
          </cell>
          <cell r="R96">
            <v>21990.98</v>
          </cell>
          <cell r="S96">
            <v>22168.240000000002</v>
          </cell>
          <cell r="T96">
            <v>22361.75</v>
          </cell>
          <cell r="U96">
            <v>22575.51</v>
          </cell>
          <cell r="V96">
            <v>22799.94</v>
          </cell>
          <cell r="W96">
            <v>23044.44</v>
          </cell>
          <cell r="X96">
            <v>23305.64</v>
          </cell>
          <cell r="Y96">
            <v>23567.14</v>
          </cell>
          <cell r="Z96">
            <v>23843.91</v>
          </cell>
          <cell r="AA96">
            <v>24084.7</v>
          </cell>
          <cell r="AB96">
            <v>24359.31</v>
          </cell>
          <cell r="AC96">
            <v>24636.46</v>
          </cell>
          <cell r="AD96">
            <v>24918.69</v>
          </cell>
          <cell r="AE96">
            <v>25207.16</v>
          </cell>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row r="501">
          <cell r="G501"/>
          <cell r="H501"/>
          <cell r="I501"/>
          <cell r="J501"/>
          <cell r="K501"/>
          <cell r="L501"/>
          <cell r="M501"/>
          <cell r="N501"/>
          <cell r="O501"/>
          <cell r="P501"/>
          <cell r="Q501"/>
          <cell r="R501"/>
          <cell r="S501"/>
          <cell r="T501"/>
          <cell r="U501"/>
          <cell r="V501"/>
          <cell r="W501"/>
          <cell r="X501"/>
          <cell r="Y501"/>
          <cell r="Z501"/>
          <cell r="AA501"/>
          <cell r="AB501"/>
          <cell r="AC501"/>
          <cell r="AD501"/>
          <cell r="AE501"/>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
          <cell r="B5" t="str">
            <v>Anchor</v>
          </cell>
          <cell r="C5" t="str">
            <v>Abrev</v>
          </cell>
          <cell r="D5" t="str">
            <v>POPULATION FORECAST (1000s)</v>
          </cell>
          <cell r="E5" t="str">
            <v>Scenario</v>
          </cell>
          <cell r="F5">
            <v>1985</v>
          </cell>
          <cell r="G5">
            <v>1986</v>
          </cell>
          <cell r="H5">
            <v>1987</v>
          </cell>
          <cell r="I5">
            <v>1988</v>
          </cell>
          <cell r="J5">
            <v>1989</v>
          </cell>
          <cell r="K5">
            <v>1990</v>
          </cell>
          <cell r="L5">
            <v>1991</v>
          </cell>
          <cell r="M5">
            <v>1992</v>
          </cell>
          <cell r="N5">
            <v>1993</v>
          </cell>
          <cell r="O5">
            <v>1994</v>
          </cell>
          <cell r="P5">
            <v>1995</v>
          </cell>
          <cell r="Q5">
            <v>1996</v>
          </cell>
          <cell r="R5">
            <v>1997</v>
          </cell>
          <cell r="S5">
            <v>1998</v>
          </cell>
          <cell r="T5">
            <v>1999</v>
          </cell>
          <cell r="U5">
            <v>2000</v>
          </cell>
          <cell r="V5">
            <v>2001</v>
          </cell>
          <cell r="W5">
            <v>2002</v>
          </cell>
          <cell r="X5">
            <v>2003</v>
          </cell>
          <cell r="Y5">
            <v>2004</v>
          </cell>
          <cell r="Z5">
            <v>2005</v>
          </cell>
          <cell r="AA5">
            <v>2006</v>
          </cell>
          <cell r="AB5">
            <v>2007</v>
          </cell>
          <cell r="AC5">
            <v>2008</v>
          </cell>
          <cell r="AD5">
            <v>2009</v>
          </cell>
          <cell r="AE5">
            <v>2010</v>
          </cell>
          <cell r="AF5">
            <v>2011</v>
          </cell>
          <cell r="AG5">
            <v>2012</v>
          </cell>
          <cell r="AH5">
            <v>2013</v>
          </cell>
          <cell r="AI5">
            <v>2014</v>
          </cell>
          <cell r="AJ5">
            <v>2015</v>
          </cell>
          <cell r="AK5">
            <v>2016</v>
          </cell>
          <cell r="AL5">
            <v>2017</v>
          </cell>
          <cell r="AM5">
            <v>2018</v>
          </cell>
          <cell r="AN5">
            <v>2019</v>
          </cell>
          <cell r="AO5">
            <v>2020</v>
          </cell>
          <cell r="AP5">
            <v>2021</v>
          </cell>
          <cell r="AQ5">
            <v>2022</v>
          </cell>
          <cell r="AR5">
            <v>2023</v>
          </cell>
          <cell r="AS5">
            <v>2024</v>
          </cell>
          <cell r="AT5">
            <v>2025</v>
          </cell>
          <cell r="AU5">
            <v>2026</v>
          </cell>
          <cell r="AV5">
            <v>2027</v>
          </cell>
          <cell r="AW5">
            <v>2028</v>
          </cell>
          <cell r="AX5">
            <v>2029</v>
          </cell>
          <cell r="AY5">
            <v>2030</v>
          </cell>
          <cell r="AZ5">
            <v>2031</v>
          </cell>
          <cell r="BA5">
            <v>2032</v>
          </cell>
          <cell r="BB5">
            <v>2033</v>
          </cell>
          <cell r="BC5">
            <v>2034</v>
          </cell>
        </row>
        <row r="6">
          <cell r="B6" t="str">
            <v>OrPopStock</v>
          </cell>
          <cell r="C6" t="str">
            <v>Or</v>
          </cell>
          <cell r="D6" t="str">
            <v>Oregon</v>
          </cell>
          <cell r="E6" t="str">
            <v>Trend (basecase)</v>
          </cell>
          <cell r="F6">
            <v>2674.306</v>
          </cell>
          <cell r="G6">
            <v>2686.1149999999998</v>
          </cell>
          <cell r="H6">
            <v>2707.4250000000002</v>
          </cell>
          <cell r="I6">
            <v>2747.9569999999999</v>
          </cell>
          <cell r="J6">
            <v>2800.471</v>
          </cell>
          <cell r="K6">
            <v>2868.6590000000001</v>
          </cell>
          <cell r="L6">
            <v>2935.9960000000001</v>
          </cell>
          <cell r="M6">
            <v>3000.55</v>
          </cell>
          <cell r="N6">
            <v>3067.395</v>
          </cell>
          <cell r="O6">
            <v>3129.1930000000002</v>
          </cell>
          <cell r="P6">
            <v>3192.0929999999998</v>
          </cell>
          <cell r="Q6">
            <v>3253.8310000000001</v>
          </cell>
          <cell r="R6">
            <v>3309.7</v>
          </cell>
          <cell r="S6">
            <v>3357.1759999999999</v>
          </cell>
          <cell r="T6">
            <v>3398.232</v>
          </cell>
          <cell r="U6">
            <v>3434.8069999999998</v>
          </cell>
          <cell r="V6">
            <v>3474.0340000000001</v>
          </cell>
          <cell r="W6">
            <v>3516.915</v>
          </cell>
          <cell r="X6">
            <v>3549.38</v>
          </cell>
          <cell r="Y6">
            <v>3576.2510000000002</v>
          </cell>
          <cell r="Z6">
            <v>3621.221</v>
          </cell>
          <cell r="AA6">
            <v>3676.88</v>
          </cell>
          <cell r="AB6">
            <v>3727.835</v>
          </cell>
          <cell r="AC6">
            <v>3773.288</v>
          </cell>
          <cell r="AD6">
            <v>3811.7179999999998</v>
          </cell>
          <cell r="AE6">
            <v>3841.4360000000001</v>
          </cell>
          <cell r="AF6">
            <v>3871.9769999999999</v>
          </cell>
          <cell r="AG6">
            <v>3903.4650000000001</v>
          </cell>
          <cell r="AH6">
            <v>3934.049</v>
          </cell>
          <cell r="AI6">
            <v>3966.8829999999998</v>
          </cell>
          <cell r="AJ6">
            <v>4002.799</v>
          </cell>
          <cell r="AK6">
            <v>4039.9940000000001</v>
          </cell>
          <cell r="AL6">
            <v>4078.125</v>
          </cell>
          <cell r="AM6">
            <v>4116.6090000000004</v>
          </cell>
          <cell r="AN6">
            <v>4154.674</v>
          </cell>
          <cell r="AO6">
            <v>4192.0780000000004</v>
          </cell>
          <cell r="AP6">
            <v>4228.7430000000004</v>
          </cell>
          <cell r="AQ6">
            <v>4264.6490000000003</v>
          </cell>
          <cell r="AR6">
            <v>4299.7920000000004</v>
          </cell>
          <cell r="AS6">
            <v>4334.1710000000003</v>
          </cell>
          <cell r="AT6">
            <v>4367.7330000000002</v>
          </cell>
          <cell r="AU6">
            <v>4400.4340000000002</v>
          </cell>
          <cell r="AV6">
            <v>4432.5820000000003</v>
          </cell>
          <cell r="AW6">
            <v>4464.3519999999999</v>
          </cell>
          <cell r="AX6">
            <v>4495.7730000000001</v>
          </cell>
          <cell r="AY6">
            <v>4526.8729999999996</v>
          </cell>
          <cell r="AZ6">
            <v>4557.6930000000002</v>
          </cell>
          <cell r="BA6">
            <v>4588.2659999999996</v>
          </cell>
          <cell r="BB6">
            <v>4618.6210000000001</v>
          </cell>
          <cell r="BC6">
            <v>4648.692</v>
          </cell>
        </row>
        <row r="7">
          <cell r="B7" t="str">
            <v>WAPopStock</v>
          </cell>
          <cell r="C7" t="str">
            <v>WA</v>
          </cell>
          <cell r="D7" t="str">
            <v>Washington</v>
          </cell>
          <cell r="E7" t="str">
            <v>Trend (basecase)</v>
          </cell>
          <cell r="F7">
            <v>4406.3850000000002</v>
          </cell>
          <cell r="G7">
            <v>4464.1899999999996</v>
          </cell>
          <cell r="H7">
            <v>4547.0309999999999</v>
          </cell>
          <cell r="I7">
            <v>4652.9070000000002</v>
          </cell>
          <cell r="J7">
            <v>4768.7150000000001</v>
          </cell>
          <cell r="K7">
            <v>4915.9459999999999</v>
          </cell>
          <cell r="L7">
            <v>5043.0330000000004</v>
          </cell>
          <cell r="M7">
            <v>5174.2219999999998</v>
          </cell>
          <cell r="N7">
            <v>5289.3639999999996</v>
          </cell>
          <cell r="O7">
            <v>5388.8370000000004</v>
          </cell>
          <cell r="P7">
            <v>5490.92</v>
          </cell>
          <cell r="Q7">
            <v>5583.7539999999999</v>
          </cell>
          <cell r="R7">
            <v>5685.8310000000001</v>
          </cell>
          <cell r="S7">
            <v>5777.2370000000001</v>
          </cell>
          <cell r="T7">
            <v>5850.9089999999997</v>
          </cell>
          <cell r="U7">
            <v>5920.5039999999999</v>
          </cell>
          <cell r="V7">
            <v>5993.451</v>
          </cell>
          <cell r="W7">
            <v>6057.85</v>
          </cell>
          <cell r="X7">
            <v>6114.7939999999999</v>
          </cell>
          <cell r="Y7">
            <v>6188.66</v>
          </cell>
          <cell r="Z7">
            <v>6273.5249999999996</v>
          </cell>
          <cell r="AA7">
            <v>6380.576</v>
          </cell>
          <cell r="AB7">
            <v>6474.665</v>
          </cell>
          <cell r="AC7">
            <v>6575.5370000000003</v>
          </cell>
          <cell r="AD7">
            <v>6675.0910000000003</v>
          </cell>
          <cell r="AE7">
            <v>6752.683</v>
          </cell>
          <cell r="AF7">
            <v>6830.3310000000001</v>
          </cell>
          <cell r="AG7">
            <v>6904.9059999999999</v>
          </cell>
          <cell r="AH7">
            <v>6981</v>
          </cell>
          <cell r="AI7">
            <v>7058.0010000000002</v>
          </cell>
          <cell r="AJ7">
            <v>7134.8850000000002</v>
          </cell>
          <cell r="AK7">
            <v>7210.4989999999998</v>
          </cell>
          <cell r="AL7">
            <v>7285.5159999999996</v>
          </cell>
          <cell r="AM7">
            <v>7360.0730000000003</v>
          </cell>
          <cell r="AN7">
            <v>7433.7640000000001</v>
          </cell>
          <cell r="AO7">
            <v>7506.3230000000003</v>
          </cell>
          <cell r="AP7">
            <v>7577.2960000000003</v>
          </cell>
          <cell r="AQ7">
            <v>7646.607</v>
          </cell>
          <cell r="AR7">
            <v>7714.268</v>
          </cell>
          <cell r="AS7">
            <v>7780.4369999999999</v>
          </cell>
          <cell r="AT7">
            <v>7845.4889999999996</v>
          </cell>
          <cell r="AU7">
            <v>7909.7030000000004</v>
          </cell>
          <cell r="AV7">
            <v>7973.1719999999996</v>
          </cell>
          <cell r="AW7">
            <v>8035.9170000000004</v>
          </cell>
          <cell r="AX7">
            <v>8097.9880000000003</v>
          </cell>
          <cell r="AY7">
            <v>8159.4440000000004</v>
          </cell>
          <cell r="AZ7">
            <v>8220.3349999999991</v>
          </cell>
          <cell r="BA7">
            <v>8280.7260000000006</v>
          </cell>
          <cell r="BB7">
            <v>8340.6640000000007</v>
          </cell>
          <cell r="BC7">
            <v>8400.2720000000008</v>
          </cell>
        </row>
        <row r="8">
          <cell r="B8" t="str">
            <v>IDPopStock</v>
          </cell>
          <cell r="C8" t="str">
            <v>ID</v>
          </cell>
          <cell r="D8" t="str">
            <v>Idaho</v>
          </cell>
          <cell r="E8" t="str">
            <v>Trend (basecase)</v>
          </cell>
          <cell r="F8">
            <v>993.13199999999995</v>
          </cell>
          <cell r="G8">
            <v>989.48</v>
          </cell>
          <cell r="H8">
            <v>985.447</v>
          </cell>
          <cell r="I8">
            <v>987.25800000000004</v>
          </cell>
          <cell r="J8">
            <v>997.22299999999996</v>
          </cell>
          <cell r="K8">
            <v>1016.634</v>
          </cell>
          <cell r="L8">
            <v>1045.135</v>
          </cell>
          <cell r="M8">
            <v>1076.6510000000001</v>
          </cell>
          <cell r="N8">
            <v>1113.1759999999999</v>
          </cell>
          <cell r="O8">
            <v>1148.825</v>
          </cell>
          <cell r="P8">
            <v>1180.0889999999999</v>
          </cell>
          <cell r="Q8">
            <v>1206.2</v>
          </cell>
          <cell r="R8">
            <v>1231.357</v>
          </cell>
          <cell r="S8">
            <v>1255.1849999999999</v>
          </cell>
          <cell r="T8">
            <v>1278.7760000000001</v>
          </cell>
          <cell r="U8">
            <v>1301.894</v>
          </cell>
          <cell r="V8">
            <v>1322.481</v>
          </cell>
          <cell r="W8">
            <v>1343.3820000000001</v>
          </cell>
          <cell r="X8">
            <v>1367.23</v>
          </cell>
          <cell r="Y8">
            <v>1396.7929999999999</v>
          </cell>
          <cell r="Z8">
            <v>1433.46</v>
          </cell>
          <cell r="AA8">
            <v>1472.8989999999999</v>
          </cell>
          <cell r="AB8">
            <v>1508.2539999999999</v>
          </cell>
          <cell r="AC8">
            <v>1536.239</v>
          </cell>
          <cell r="AD8">
            <v>1556.479</v>
          </cell>
          <cell r="AE8">
            <v>1572.4290000000001</v>
          </cell>
          <cell r="AF8">
            <v>1585.2860000000001</v>
          </cell>
          <cell r="AG8">
            <v>1597.952</v>
          </cell>
          <cell r="AH8">
            <v>1614.3810000000001</v>
          </cell>
          <cell r="AI8">
            <v>1633.1020000000001</v>
          </cell>
          <cell r="AJ8">
            <v>1653.616</v>
          </cell>
          <cell r="AK8">
            <v>1675.2660000000001</v>
          </cell>
          <cell r="AL8">
            <v>1698.1659999999999</v>
          </cell>
          <cell r="AM8">
            <v>1722.0160000000001</v>
          </cell>
          <cell r="AN8">
            <v>1746.183</v>
          </cell>
          <cell r="AO8">
            <v>1770.4179999999999</v>
          </cell>
          <cell r="AP8">
            <v>1794.69</v>
          </cell>
          <cell r="AQ8">
            <v>1818.9970000000001</v>
          </cell>
          <cell r="AR8">
            <v>1843.36</v>
          </cell>
          <cell r="AS8">
            <v>1867.77</v>
          </cell>
          <cell r="AT8">
            <v>1892.2149999999999</v>
          </cell>
          <cell r="AU8">
            <v>1916.6949999999999</v>
          </cell>
          <cell r="AV8">
            <v>1941.2059999999999</v>
          </cell>
          <cell r="AW8">
            <v>1965.741</v>
          </cell>
          <cell r="AX8">
            <v>1990.2360000000001</v>
          </cell>
          <cell r="AY8">
            <v>2014.665</v>
          </cell>
          <cell r="AZ8">
            <v>2039.0309999999999</v>
          </cell>
          <cell r="BA8">
            <v>2063.33</v>
          </cell>
          <cell r="BB8">
            <v>2087.5639999999999</v>
          </cell>
          <cell r="BC8">
            <v>2111.7449999999999</v>
          </cell>
        </row>
        <row r="9">
          <cell r="B9" t="str">
            <v>MTPopStock</v>
          </cell>
          <cell r="C9" t="str">
            <v>MT</v>
          </cell>
          <cell r="D9" t="str">
            <v>Montana</v>
          </cell>
          <cell r="E9" t="str">
            <v>Trend (basecase)</v>
          </cell>
          <cell r="F9">
            <v>820.61699999999996</v>
          </cell>
          <cell r="G9">
            <v>812.64099999999996</v>
          </cell>
          <cell r="H9">
            <v>804.69</v>
          </cell>
          <cell r="I9">
            <v>800.39700000000005</v>
          </cell>
          <cell r="J9">
            <v>799.77599999999995</v>
          </cell>
          <cell r="K9">
            <v>801.93899999999996</v>
          </cell>
          <cell r="L9">
            <v>812.08500000000004</v>
          </cell>
          <cell r="M9">
            <v>828.29399999999998</v>
          </cell>
          <cell r="N9">
            <v>846.649</v>
          </cell>
          <cell r="O9">
            <v>863.10900000000004</v>
          </cell>
          <cell r="P9">
            <v>877.40700000000004</v>
          </cell>
          <cell r="Q9">
            <v>886.32100000000003</v>
          </cell>
          <cell r="R9">
            <v>890.12</v>
          </cell>
          <cell r="S9">
            <v>893.221</v>
          </cell>
          <cell r="T9">
            <v>898.36199999999997</v>
          </cell>
          <cell r="U9">
            <v>903.97699999999998</v>
          </cell>
          <cell r="V9">
            <v>907.64300000000003</v>
          </cell>
          <cell r="W9">
            <v>912.86199999999997</v>
          </cell>
          <cell r="X9">
            <v>921.07</v>
          </cell>
          <cell r="Y9">
            <v>931.24400000000003</v>
          </cell>
          <cell r="Z9">
            <v>941.82</v>
          </cell>
          <cell r="AA9">
            <v>954.14599999999996</v>
          </cell>
          <cell r="AB9">
            <v>966.13900000000001</v>
          </cell>
          <cell r="AC9">
            <v>977.09500000000003</v>
          </cell>
          <cell r="AD9">
            <v>984.86599999999999</v>
          </cell>
          <cell r="AE9">
            <v>991.57600000000002</v>
          </cell>
          <cell r="AF9">
            <v>998.63499999999999</v>
          </cell>
          <cell r="AG9">
            <v>1006.807</v>
          </cell>
          <cell r="AH9">
            <v>1016.352</v>
          </cell>
          <cell r="AI9">
            <v>1025.7760000000001</v>
          </cell>
          <cell r="AJ9">
            <v>1034.779</v>
          </cell>
          <cell r="AK9">
            <v>1043.723</v>
          </cell>
          <cell r="AL9">
            <v>1052.69</v>
          </cell>
          <cell r="AM9">
            <v>1061.3920000000001</v>
          </cell>
          <cell r="AN9">
            <v>1069.5709999999999</v>
          </cell>
          <cell r="AO9">
            <v>1077.162</v>
          </cell>
          <cell r="AP9">
            <v>1084.1869999999999</v>
          </cell>
          <cell r="AQ9">
            <v>1090.6420000000001</v>
          </cell>
          <cell r="AR9">
            <v>1096.5219999999999</v>
          </cell>
          <cell r="AS9">
            <v>1101.83</v>
          </cell>
          <cell r="AT9">
            <v>1106.683</v>
          </cell>
          <cell r="AU9">
            <v>1111.384</v>
          </cell>
          <cell r="AV9">
            <v>1115.998</v>
          </cell>
          <cell r="AW9">
            <v>1120.511</v>
          </cell>
          <cell r="AX9">
            <v>1124.9100000000001</v>
          </cell>
          <cell r="AY9">
            <v>1129.1980000000001</v>
          </cell>
          <cell r="AZ9">
            <v>1133.386</v>
          </cell>
          <cell r="BA9">
            <v>1137.4849999999999</v>
          </cell>
          <cell r="BB9">
            <v>1141.509</v>
          </cell>
          <cell r="BC9">
            <v>1145.4690000000001</v>
          </cell>
        </row>
        <row r="10">
          <cell r="B10" t="str">
            <v>RegionPopStock</v>
          </cell>
          <cell r="C10" t="str">
            <v>Region</v>
          </cell>
          <cell r="D10" t="str">
            <v>Region (with WMT only)</v>
          </cell>
          <cell r="E10" t="str">
            <v>Trend (basecase)</v>
          </cell>
          <cell r="F10">
            <v>8541.5746899999995</v>
          </cell>
          <cell r="G10">
            <v>8602.9903699999995</v>
          </cell>
          <cell r="H10">
            <v>8698.5763000000006</v>
          </cell>
          <cell r="I10">
            <v>8844.3482899999999</v>
          </cell>
          <cell r="J10">
            <v>9022.2813200000001</v>
          </cell>
          <cell r="K10">
            <v>9258.3442299999988</v>
          </cell>
          <cell r="L10">
            <v>9487.052450000001</v>
          </cell>
          <cell r="M10">
            <v>9723.550580000001</v>
          </cell>
          <cell r="N10">
            <v>9952.5249299999996</v>
          </cell>
          <cell r="O10">
            <v>10158.827130000001</v>
          </cell>
          <cell r="P10">
            <v>10363.223989999999</v>
          </cell>
          <cell r="Q10">
            <v>10548.98797</v>
          </cell>
          <cell r="R10">
            <v>10734.256399999998</v>
          </cell>
          <cell r="S10">
            <v>10898.733969999999</v>
          </cell>
          <cell r="T10">
            <v>11039.983339999999</v>
          </cell>
          <cell r="U10">
            <v>11172.471890000001</v>
          </cell>
          <cell r="V10">
            <v>11307.32251</v>
          </cell>
          <cell r="W10">
            <v>11438.47834</v>
          </cell>
          <cell r="X10">
            <v>11556.4139</v>
          </cell>
          <cell r="Y10">
            <v>11692.513080000001</v>
          </cell>
          <cell r="Z10">
            <v>11865.043399999999</v>
          </cell>
          <cell r="AA10">
            <v>12074.218219999999</v>
          </cell>
          <cell r="AB10">
            <v>12261.453230000001</v>
          </cell>
          <cell r="AC10">
            <v>12442.00815</v>
          </cell>
          <cell r="AD10">
            <v>12604.661620000001</v>
          </cell>
          <cell r="AE10">
            <v>12731.74632</v>
          </cell>
          <cell r="AF10">
            <v>12856.81595</v>
          </cell>
          <cell r="AG10">
            <v>12980.202989999998</v>
          </cell>
          <cell r="AH10">
            <v>13108.750639999998</v>
          </cell>
          <cell r="AI10">
            <v>13242.678320000001</v>
          </cell>
          <cell r="AJ10">
            <v>13381.124030000001</v>
          </cell>
          <cell r="AK10">
            <v>13520.68111</v>
          </cell>
          <cell r="AL10">
            <v>13661.840299999998</v>
          </cell>
          <cell r="AM10">
            <v>13803.691440000001</v>
          </cell>
          <cell r="AN10">
            <v>13944.276469999999</v>
          </cell>
          <cell r="AO10">
            <v>14082.801340000002</v>
          </cell>
          <cell r="AP10">
            <v>14218.715590000002</v>
          </cell>
          <cell r="AQ10">
            <v>14351.918940000001</v>
          </cell>
          <cell r="AR10">
            <v>14482.437540000003</v>
          </cell>
          <cell r="AS10">
            <v>14610.4211</v>
          </cell>
          <cell r="AT10">
            <v>14736.24631</v>
          </cell>
          <cell r="AU10">
            <v>14860.320880000001</v>
          </cell>
          <cell r="AV10">
            <v>14983.078860000001</v>
          </cell>
          <cell r="AW10">
            <v>15104.70127</v>
          </cell>
          <cell r="AX10">
            <v>15225.195700000002</v>
          </cell>
          <cell r="AY10">
            <v>15344.62486</v>
          </cell>
          <cell r="AZ10">
            <v>15463.089019999998</v>
          </cell>
          <cell r="BA10">
            <v>15580.68845</v>
          </cell>
          <cell r="BB10">
            <v>15697.50913</v>
          </cell>
          <cell r="BC10">
            <v>15813.626329999999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orRPM"/>
      <sheetName val="7PSourceSummary"/>
      <sheetName val="SC-New"/>
      <sheetName val="SC-NR"/>
      <sheetName val="M_Input_Out"/>
      <sheetName val="M_Input"/>
      <sheetName val="M_Input(Fixture)_Out"/>
      <sheetName val="M_Input(Fixture)"/>
      <sheetName val="M_Input(Fixt wo OM)_Out"/>
      <sheetName val="M_Input(Fixt wo OM)"/>
      <sheetName val="M_Weight"/>
      <sheetName val="Watt Allocation"/>
      <sheetName val="Savings and Cost Analysis"/>
      <sheetName val="Reference Fixtures"/>
      <sheetName val="DOE2014 Sales Pen"/>
      <sheetName val="CBSA Data"/>
      <sheetName val="Approach"/>
      <sheetName val="ETO Cost Data"/>
      <sheetName val="Sheet1"/>
      <sheetName val="LOG"/>
      <sheetName val="ToDo7P"/>
      <sheetName val="DOE 2017 Rul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ow r="38">
          <cell r="C38" t="str">
            <v>Row Labels</v>
          </cell>
          <cell r="D38" t="str">
            <v>CFL</v>
          </cell>
          <cell r="E38" t="str">
            <v>Fluorescent T12</v>
          </cell>
          <cell r="F38" t="str">
            <v>Fluorescent T8/T5</v>
          </cell>
          <cell r="G38" t="str">
            <v>HID</v>
          </cell>
          <cell r="H38" t="str">
            <v>Incandescent</v>
          </cell>
          <cell r="I38" t="str">
            <v>LED</v>
          </cell>
          <cell r="J38" t="str">
            <v>Other</v>
          </cell>
          <cell r="K38" t="str">
            <v>Grand Total</v>
          </cell>
        </row>
        <row r="39">
          <cell r="C39" t="str">
            <v>BuildingFacade</v>
          </cell>
          <cell r="D39">
            <v>4.3151684233926169</v>
          </cell>
          <cell r="E39">
            <v>0.33911857031538445</v>
          </cell>
          <cell r="F39">
            <v>0.7004273037336517</v>
          </cell>
          <cell r="G39">
            <v>26.479843587764876</v>
          </cell>
          <cell r="H39">
            <v>7.04867008380167</v>
          </cell>
          <cell r="I39">
            <v>0.60406908553279137</v>
          </cell>
          <cell r="J39">
            <v>0.1326329419771661</v>
          </cell>
          <cell r="K39">
            <v>39.619929996518159</v>
          </cell>
        </row>
        <row r="40">
          <cell r="C40" t="str">
            <v>ExteriorSales</v>
          </cell>
          <cell r="D40">
            <v>3.0858371608851562E-2</v>
          </cell>
          <cell r="E40">
            <v>1.6772604237431165E-2</v>
          </cell>
          <cell r="F40">
            <v>0.45713934849716287</v>
          </cell>
          <cell r="G40">
            <v>5.2473355883363473</v>
          </cell>
          <cell r="H40">
            <v>0.16020683029983451</v>
          </cell>
          <cell r="I40">
            <v>0.28293939293227582</v>
          </cell>
          <cell r="J40">
            <v>9.8789331973212074E-3</v>
          </cell>
          <cell r="K40">
            <v>6.2051310691092247</v>
          </cell>
        </row>
        <row r="41">
          <cell r="C41" t="str">
            <v>Other</v>
          </cell>
          <cell r="D41">
            <v>1.7634827756456764E-2</v>
          </cell>
          <cell r="E41">
            <v>0.20361802028008846</v>
          </cell>
          <cell r="F41">
            <v>0.79283141083142195</v>
          </cell>
          <cell r="G41">
            <v>7.1142360739456372</v>
          </cell>
          <cell r="H41">
            <v>0.73391714954873977</v>
          </cell>
          <cell r="I41">
            <v>6.1968808654551011E-2</v>
          </cell>
          <cell r="J41">
            <v>0.10309773178738656</v>
          </cell>
          <cell r="K41">
            <v>9.0273040228042785</v>
          </cell>
        </row>
        <row r="42">
          <cell r="C42" t="str">
            <v>ParkingLot</v>
          </cell>
          <cell r="D42">
            <v>0.2773318018634397</v>
          </cell>
          <cell r="E42">
            <v>0.21105837698509372</v>
          </cell>
          <cell r="F42">
            <v>2.6350026304303307</v>
          </cell>
          <cell r="G42">
            <v>71.095388052487294</v>
          </cell>
          <cell r="H42">
            <v>1.4318389060789598</v>
          </cell>
          <cell r="I42">
            <v>1.4558010344440129</v>
          </cell>
          <cell r="J42">
            <v>0.31177783603144543</v>
          </cell>
          <cell r="K42">
            <v>77.418198638320561</v>
          </cell>
        </row>
        <row r="43">
          <cell r="C43" t="str">
            <v>Signage</v>
          </cell>
          <cell r="D43">
            <v>6.0171072011040397E-2</v>
          </cell>
          <cell r="E43">
            <v>9.0485674419904835E-2</v>
          </cell>
          <cell r="F43">
            <v>0.54935161988353565</v>
          </cell>
          <cell r="G43">
            <v>0.74294673329736993</v>
          </cell>
          <cell r="H43">
            <v>0.16948766353745551</v>
          </cell>
          <cell r="I43">
            <v>6.5470920021296369E-2</v>
          </cell>
          <cell r="J43">
            <v>9.9679080171971232E-3</v>
          </cell>
          <cell r="K43">
            <v>1.6878815911877996</v>
          </cell>
        </row>
        <row r="44">
          <cell r="C44" t="str">
            <v>SportingField</v>
          </cell>
          <cell r="D44">
            <v>2.4348203171106031E-2</v>
          </cell>
          <cell r="E44">
            <v>0</v>
          </cell>
          <cell r="F44">
            <v>3.0282338346363448E-3</v>
          </cell>
          <cell r="G44">
            <v>3.475465105786705</v>
          </cell>
          <cell r="H44">
            <v>0.82410569005019774</v>
          </cell>
          <cell r="I44">
            <v>0</v>
          </cell>
          <cell r="J44">
            <v>0</v>
          </cell>
          <cell r="K44">
            <v>4.3269472328426453</v>
          </cell>
        </row>
        <row r="45">
          <cell r="C45" t="str">
            <v>Walkway/Area</v>
          </cell>
          <cell r="D45">
            <v>4.2717310139836036</v>
          </cell>
          <cell r="E45">
            <v>0.57402181655182349</v>
          </cell>
          <cell r="F45">
            <v>1.2938181963444928</v>
          </cell>
          <cell r="G45">
            <v>20.017342078658384</v>
          </cell>
          <cell r="H45">
            <v>3.7289401276903824</v>
          </cell>
          <cell r="I45">
            <v>1.0312515243851104</v>
          </cell>
          <cell r="J45">
            <v>0.10203970744049341</v>
          </cell>
          <cell r="K45">
            <v>31.019144465054293</v>
          </cell>
        </row>
        <row r="46">
          <cell r="C46" t="str">
            <v>Grand Total</v>
          </cell>
          <cell r="D46">
            <v>8.997243713787114</v>
          </cell>
          <cell r="E46">
            <v>1.4350750627897264</v>
          </cell>
          <cell r="F46">
            <v>6.4315987435552318</v>
          </cell>
          <cell r="G46">
            <v>134.17255722027659</v>
          </cell>
          <cell r="H46">
            <v>14.09716645100724</v>
          </cell>
          <cell r="I46">
            <v>3.5015007659700377</v>
          </cell>
          <cell r="J46">
            <v>0.66939505845100988</v>
          </cell>
          <cell r="K46">
            <v>169.30453701583696</v>
          </cell>
        </row>
      </sheetData>
      <sheetData sheetId="12">
        <row r="12">
          <cell r="AM12" t="str">
            <v>Proxy Measure Name</v>
          </cell>
          <cell r="AN12" t="str">
            <v>Application</v>
          </cell>
          <cell r="AO12" t="str">
            <v>Reference Fixture</v>
          </cell>
          <cell r="AP12" t="str">
            <v>MOPP</v>
          </cell>
          <cell r="AQ12" t="str">
            <v>Measure Index</v>
          </cell>
          <cell r="AR12" t="str">
            <v>From</v>
          </cell>
          <cell r="AS12" t="str">
            <v>To</v>
          </cell>
          <cell r="AT12" t="str">
            <v>Measure Name</v>
          </cell>
          <cell r="AU12" t="str">
            <v>Annual Hours of Operation</v>
          </cell>
          <cell r="AV12" t="str">
            <v>Delivered Lumens Post</v>
          </cell>
          <cell r="AW12" t="str">
            <v>Fixture Watts Pre</v>
          </cell>
          <cell r="AX12" t="str">
            <v>Fixture Watts Post</v>
          </cell>
          <cell r="AY12" t="str">
            <v>Fixture Watt Reduct</v>
          </cell>
          <cell r="AZ12" t="str">
            <v>Annual Energy Consumption Pre (kWh)</v>
          </cell>
          <cell r="BA12" t="str">
            <v>Annual Energy Consumption Post (kWh)</v>
          </cell>
          <cell r="BB12" t="str">
            <v>Annual Energy Savings (kWh)</v>
          </cell>
          <cell r="BC12" t="str">
            <v>Lamp Cost Pre (2012$)</v>
          </cell>
          <cell r="BD12" t="str">
            <v>Lamp Cost Post (2012$)</v>
          </cell>
          <cell r="BE12" t="str">
            <v>Fixture Cost Pre (2012$)</v>
          </cell>
          <cell r="BF12" t="str">
            <v>Fixture Cost Post (2012$)</v>
          </cell>
          <cell r="BG12" t="str">
            <v>Incremental Equip Cost  (2012$)</v>
          </cell>
          <cell r="BH12" t="str">
            <v>Lifetime Pre (Hours)</v>
          </cell>
          <cell r="BI12" t="str">
            <v>Lifetime Post (Hours)</v>
          </cell>
          <cell r="BJ12" t="str">
            <v>Lifetime Pre (Yrs)</v>
          </cell>
          <cell r="BK12" t="str">
            <v>Lifetime Post (Yrs)</v>
          </cell>
          <cell r="BL12" t="str">
            <v>Lamp Change Hours</v>
          </cell>
          <cell r="BM12" t="str">
            <v>Fixture Change Hours</v>
          </cell>
          <cell r="BN12" t="str">
            <v>Lamp Change Labor Cost (2012$)</v>
          </cell>
          <cell r="BO12" t="str">
            <v>Fixture Change Labor Cost (2012$)</v>
          </cell>
          <cell r="BP12" t="str">
            <v>Incremental Labor Cost  (2012$)</v>
          </cell>
          <cell r="BQ12" t="str">
            <v>Total Incremental Cost, Equip + Labor  (2012$)</v>
          </cell>
          <cell r="BR12" t="str">
            <v>O&amp;M Materials Cost, Pre</v>
          </cell>
          <cell r="BS12" t="str">
            <v>O&amp;M Labor Cost, Pre</v>
          </cell>
          <cell r="BT12" t="str">
            <v>O&amp;M Total Cost (2012$)</v>
          </cell>
          <cell r="BU12" t="str">
            <v>Periodic O&amp;M Interval (Yrs)</v>
          </cell>
          <cell r="BV12" t="str">
            <v>Shape Pointer</v>
          </cell>
          <cell r="BW12" t="str">
            <v>Retrofit [R] or Lost-Opportunity [LO]?</v>
          </cell>
          <cell r="BX12" t="str">
            <v>Total Inc. Cost per Delta Watt</v>
          </cell>
          <cell r="BY12" t="str">
            <v>Total Inc. Cost per  Watt Pre</v>
          </cell>
          <cell r="BZ12" t="str">
            <v>WattPost/WattPre</v>
          </cell>
          <cell r="CA12" t="str">
            <v>Fixture Watt Reduct</v>
          </cell>
          <cell r="CB12" t="str">
            <v>Application</v>
          </cell>
          <cell r="CC12" t="str">
            <v>Reference Fixture</v>
          </cell>
          <cell r="CD12" t="str">
            <v>MOPP</v>
          </cell>
          <cell r="CE12" t="str">
            <v>Use Type</v>
          </cell>
          <cell r="CF12" t="str">
            <v>Baseline Lamp Type</v>
          </cell>
          <cell r="CG12" t="str">
            <v>Baseline Lamp Type LPD in W/KSF</v>
          </cell>
          <cell r="CH12" t="str">
            <v>Fixture Share</v>
          </cell>
          <cell r="CI12" t="str">
            <v>LPD for Measure &amp; Fixture</v>
          </cell>
          <cell r="CJ12" t="str">
            <v>Watt Saved per KSF</v>
          </cell>
          <cell r="CK12" t="str">
            <v>kWh Saved per KSF Floor Space</v>
          </cell>
          <cell r="CL12" t="str">
            <v>Total Inc. Cost per KSF</v>
          </cell>
          <cell r="CM12" t="str">
            <v>cost per kWh in KSF</v>
          </cell>
          <cell r="CN12" t="str">
            <v>cost per kWh in fixture</v>
          </cell>
          <cell r="CO12" t="str">
            <v>kWh/kWh</v>
          </cell>
          <cell r="CP12" t="str">
            <v>Cost/Cost</v>
          </cell>
          <cell r="CQ12" t="str">
            <v>Weight LPD for Measure &amp; Fixture</v>
          </cell>
          <cell r="CR12" t="str">
            <v>Per KSF/Per Fixture</v>
          </cell>
          <cell r="CS12" t="str">
            <v>Fixtures/KSF</v>
          </cell>
          <cell r="CT12" t="str">
            <v>Turnover for NR</v>
          </cell>
          <cell r="CW12" t="str">
            <v xml:space="preserve">aMW Savings </v>
          </cell>
        </row>
        <row r="13">
          <cell r="AM13" t="str">
            <v>HPS 250W-New</v>
          </cell>
          <cell r="AN13" t="str">
            <v>Exterior Lighting: Parking Lot</v>
          </cell>
          <cell r="AO13" t="str">
            <v>HPS 250W</v>
          </cell>
          <cell r="AP13" t="str">
            <v>New</v>
          </cell>
          <cell r="AQ13" t="str">
            <v>Exterior Lighting: Parking Lot - HPS 250W - New</v>
          </cell>
          <cell r="AR13" t="str">
            <v>HPS 250W</v>
          </cell>
          <cell r="AS13" t="str">
            <v>LED 135W</v>
          </cell>
          <cell r="AT13" t="str">
            <v>Exterior Lighting: Parking Lot - HPS 250W to LED 135W - New</v>
          </cell>
          <cell r="AU13">
            <v>4300</v>
          </cell>
          <cell r="AV13">
            <v>12000</v>
          </cell>
          <cell r="AW13">
            <v>290</v>
          </cell>
          <cell r="AX13">
            <v>117.09183673469387</v>
          </cell>
          <cell r="AY13">
            <v>0.59623504574243502</v>
          </cell>
          <cell r="AZ13">
            <v>1247</v>
          </cell>
          <cell r="BA13">
            <v>503.49489795918362</v>
          </cell>
          <cell r="BB13">
            <v>743.50510204081638</v>
          </cell>
          <cell r="BC13">
            <v>15</v>
          </cell>
          <cell r="BD13" t="str">
            <v>N/A</v>
          </cell>
          <cell r="BE13">
            <v>160</v>
          </cell>
          <cell r="BF13">
            <v>243.0173658194351</v>
          </cell>
          <cell r="BG13">
            <v>83.017365819435099</v>
          </cell>
          <cell r="BH13">
            <v>24000</v>
          </cell>
          <cell r="BI13">
            <v>50000</v>
          </cell>
          <cell r="BJ13">
            <v>5.5813953488372094</v>
          </cell>
          <cell r="BK13">
            <v>11.627906976744185</v>
          </cell>
          <cell r="BL13">
            <v>8.3333333333333329E-2</v>
          </cell>
          <cell r="BM13">
            <v>0.33</v>
          </cell>
          <cell r="BN13">
            <v>10.833333333333332</v>
          </cell>
          <cell r="BO13">
            <v>42.9</v>
          </cell>
          <cell r="BP13">
            <v>0</v>
          </cell>
          <cell r="BQ13">
            <v>83.017365819435099</v>
          </cell>
          <cell r="BR13">
            <v>15</v>
          </cell>
          <cell r="BS13">
            <v>10.833333333333332</v>
          </cell>
          <cell r="BT13">
            <v>25.833333333333332</v>
          </cell>
          <cell r="BU13">
            <v>5.5813953488372094</v>
          </cell>
          <cell r="BV13" t="str">
            <v>S-All-Lgt-Streetlight-All-All-U</v>
          </cell>
          <cell r="BW13" t="str">
            <v>L</v>
          </cell>
          <cell r="BX13">
            <v>0.48012403955766531</v>
          </cell>
          <cell r="BY13">
            <v>0.28626677868770722</v>
          </cell>
          <cell r="BZ13">
            <v>0.40376495425756509</v>
          </cell>
          <cell r="CA13">
            <v>0.59623504574243502</v>
          </cell>
          <cell r="CB13" t="str">
            <v>Exterior Lighting: Parking Lot - HPS 250W</v>
          </cell>
          <cell r="CC13" t="str">
            <v>HPS 250W</v>
          </cell>
          <cell r="CD13" t="str">
            <v>New</v>
          </cell>
          <cell r="CE13" t="str">
            <v>ParkingLot</v>
          </cell>
          <cell r="CF13" t="str">
            <v>HID</v>
          </cell>
          <cell r="CG13">
            <v>71.095388052487294</v>
          </cell>
          <cell r="CH13">
            <v>0.7142857142857143</v>
          </cell>
          <cell r="CI13">
            <v>50.782420037490922</v>
          </cell>
          <cell r="CJ13">
            <v>30.278258533964948</v>
          </cell>
          <cell r="CK13">
            <v>130.19651169604927</v>
          </cell>
          <cell r="CL13">
            <v>14.537319798098604</v>
          </cell>
          <cell r="CM13">
            <v>0.11165675338550357</v>
          </cell>
          <cell r="CN13">
            <v>0.11165675338550357</v>
          </cell>
          <cell r="CO13">
            <v>0.17511179323272733</v>
          </cell>
          <cell r="CP13">
            <v>0.17511179323272733</v>
          </cell>
          <cell r="CQ13">
            <v>0.41992606521724191</v>
          </cell>
          <cell r="CR13">
            <v>0.17511179323272733</v>
          </cell>
          <cell r="CS13">
            <v>0.17511179323272733</v>
          </cell>
        </row>
        <row r="14">
          <cell r="AM14" t="str">
            <v>MH 400W-New</v>
          </cell>
          <cell r="AN14" t="str">
            <v>Exterior Lighting: Parking Lot</v>
          </cell>
          <cell r="AO14" t="str">
            <v>MH 400W</v>
          </cell>
          <cell r="AP14" t="str">
            <v>New</v>
          </cell>
          <cell r="AQ14" t="str">
            <v>Exterior Lighting: Parking Lot - MH 400W - New</v>
          </cell>
          <cell r="AR14" t="str">
            <v>MH 400W</v>
          </cell>
          <cell r="AS14" t="str">
            <v>LED 180W</v>
          </cell>
          <cell r="AT14" t="str">
            <v>Exterior Lighting: Parking Lot - MH 400W to LED 180W - New</v>
          </cell>
          <cell r="AU14">
            <v>4300</v>
          </cell>
          <cell r="AV14">
            <v>17000</v>
          </cell>
          <cell r="AW14">
            <v>458</v>
          </cell>
          <cell r="AX14">
            <v>156.12244897959184</v>
          </cell>
          <cell r="AY14">
            <v>0.6591212904375725</v>
          </cell>
          <cell r="AZ14">
            <v>1969.4</v>
          </cell>
          <cell r="BA14">
            <v>671.32653061224494</v>
          </cell>
          <cell r="BB14">
            <v>1298.0734693877553</v>
          </cell>
          <cell r="BC14">
            <v>18</v>
          </cell>
          <cell r="BD14" t="str">
            <v>N/A</v>
          </cell>
          <cell r="BE14">
            <v>190</v>
          </cell>
          <cell r="BF14">
            <v>324.02315442591345</v>
          </cell>
          <cell r="BG14">
            <v>134.02315442591345</v>
          </cell>
          <cell r="BH14">
            <v>16000</v>
          </cell>
          <cell r="BI14">
            <v>50000</v>
          </cell>
          <cell r="BJ14">
            <v>3.7209302325581395</v>
          </cell>
          <cell r="BK14">
            <v>11.627906976744185</v>
          </cell>
          <cell r="BL14">
            <v>8.3333333333333329E-2</v>
          </cell>
          <cell r="BM14">
            <v>0.33</v>
          </cell>
          <cell r="BN14">
            <v>10.833333333333332</v>
          </cell>
          <cell r="BO14">
            <v>42.9</v>
          </cell>
          <cell r="BP14">
            <v>0</v>
          </cell>
          <cell r="BQ14">
            <v>134.02315442591345</v>
          </cell>
          <cell r="BR14">
            <v>18</v>
          </cell>
          <cell r="BS14">
            <v>10.833333333333332</v>
          </cell>
          <cell r="BT14">
            <v>28.833333333333332</v>
          </cell>
          <cell r="BU14">
            <v>3.7209302325581395</v>
          </cell>
          <cell r="BV14" t="str">
            <v>S-All-Lgt-Streetlight-All-All-U</v>
          </cell>
          <cell r="BW14" t="str">
            <v>L</v>
          </cell>
          <cell r="BX14">
            <v>0.44396528981001609</v>
          </cell>
          <cell r="BY14">
            <v>0.29262697472906868</v>
          </cell>
          <cell r="BZ14">
            <v>0.34087870956242761</v>
          </cell>
          <cell r="CA14">
            <v>0.6591212904375725</v>
          </cell>
          <cell r="CB14" t="str">
            <v>Exterior Lighting: Parking Lot - MH 400W</v>
          </cell>
          <cell r="CC14" t="str">
            <v>MH 400W</v>
          </cell>
          <cell r="CD14" t="str">
            <v>New</v>
          </cell>
          <cell r="CE14" t="str">
            <v>ParkingLot</v>
          </cell>
          <cell r="CF14" t="str">
            <v>HID</v>
          </cell>
          <cell r="CG14">
            <v>71.095388052487294</v>
          </cell>
          <cell r="CH14">
            <v>0.25510204081632654</v>
          </cell>
          <cell r="CI14">
            <v>18.136578584818189</v>
          </cell>
          <cell r="CJ14">
            <v>11.954205080947807</v>
          </cell>
          <cell r="CK14">
            <v>51.403081848075573</v>
          </cell>
          <cell r="CL14">
            <v>5.3072521232113603</v>
          </cell>
          <cell r="CM14">
            <v>0.10324774181628281</v>
          </cell>
          <cell r="CN14">
            <v>0.10324774181628281</v>
          </cell>
          <cell r="CO14">
            <v>3.9599516560738408E-2</v>
          </cell>
          <cell r="CP14">
            <v>3.9599516560738408E-2</v>
          </cell>
          <cell r="CQ14">
            <v>0.41992606521724191</v>
          </cell>
          <cell r="CR14">
            <v>3.9599516560738408E-2</v>
          </cell>
          <cell r="CS14">
            <v>3.9599516560738408E-2</v>
          </cell>
        </row>
        <row r="15">
          <cell r="AM15" t="str">
            <v>MH 1000W-New</v>
          </cell>
          <cell r="AN15" t="str">
            <v>Exterior Lighting: Parking Lot</v>
          </cell>
          <cell r="AO15" t="str">
            <v>MH 1000W</v>
          </cell>
          <cell r="AP15" t="str">
            <v>New</v>
          </cell>
          <cell r="AQ15" t="str">
            <v>Exterior Lighting: Parking Lot - MH 1000W - New</v>
          </cell>
          <cell r="AR15" t="str">
            <v>MH 1000W</v>
          </cell>
          <cell r="AS15" t="str">
            <v>LED 421W</v>
          </cell>
          <cell r="AT15" t="str">
            <v>Exterior Lighting: Parking Lot - MH 1000W to LED 421W - New</v>
          </cell>
          <cell r="AU15">
            <v>4300</v>
          </cell>
          <cell r="AV15">
            <v>41000</v>
          </cell>
          <cell r="AW15">
            <v>1100</v>
          </cell>
          <cell r="AX15">
            <v>365.15306122448976</v>
          </cell>
          <cell r="AY15">
            <v>0.66804267161410025</v>
          </cell>
          <cell r="AZ15">
            <v>4730</v>
          </cell>
          <cell r="BA15">
            <v>1570.158163265306</v>
          </cell>
          <cell r="BB15">
            <v>3159.841836734694</v>
          </cell>
          <cell r="BC15">
            <v>20</v>
          </cell>
          <cell r="BD15" t="str">
            <v>N/A</v>
          </cell>
          <cell r="BE15">
            <v>440</v>
          </cell>
          <cell r="BF15">
            <v>972.0694632777404</v>
          </cell>
          <cell r="BG15">
            <v>532.0694632777404</v>
          </cell>
          <cell r="BH15">
            <v>16000</v>
          </cell>
          <cell r="BI15">
            <v>50000</v>
          </cell>
          <cell r="BJ15">
            <v>3.7209302325581395</v>
          </cell>
          <cell r="BK15">
            <v>11.627906976744185</v>
          </cell>
          <cell r="BL15">
            <v>8.3333333333333329E-2</v>
          </cell>
          <cell r="BM15">
            <v>0.33</v>
          </cell>
          <cell r="BN15">
            <v>10.833333333333332</v>
          </cell>
          <cell r="BO15">
            <v>42.9</v>
          </cell>
          <cell r="BP15">
            <v>0</v>
          </cell>
          <cell r="BQ15">
            <v>532.0694632777404</v>
          </cell>
          <cell r="BR15">
            <v>20</v>
          </cell>
          <cell r="BS15">
            <v>10.833333333333332</v>
          </cell>
          <cell r="BT15">
            <v>30.833333333333332</v>
          </cell>
          <cell r="BU15">
            <v>3.7209302325581395</v>
          </cell>
          <cell r="BV15" t="str">
            <v>S-All-Lgt-Streetlight-All-All-U</v>
          </cell>
          <cell r="BW15" t="str">
            <v>L</v>
          </cell>
          <cell r="BX15">
            <v>0.72405481359742496</v>
          </cell>
          <cell r="BY15">
            <v>0.48369951207067308</v>
          </cell>
          <cell r="BZ15">
            <v>0.33195732838589981</v>
          </cell>
          <cell r="CA15">
            <v>0.66804267161410025</v>
          </cell>
          <cell r="CB15" t="str">
            <v>Exterior Lighting: Parking Lot - MH 1000W</v>
          </cell>
          <cell r="CC15" t="str">
            <v>MH 1000W</v>
          </cell>
          <cell r="CD15" t="str">
            <v>New</v>
          </cell>
          <cell r="CE15" t="str">
            <v>ParkingLot</v>
          </cell>
          <cell r="CF15" t="str">
            <v>HID</v>
          </cell>
          <cell r="CG15">
            <v>71.095388052487294</v>
          </cell>
          <cell r="CH15">
            <v>3.0612244897959183E-2</v>
          </cell>
          <cell r="CI15">
            <v>2.1763894301781823</v>
          </cell>
          <cell r="CJ15">
            <v>1.4539210094089221</v>
          </cell>
          <cell r="CK15">
            <v>6.2518603404583653</v>
          </cell>
          <cell r="CL15">
            <v>1.0527185054529571</v>
          </cell>
          <cell r="CM15">
            <v>0.16838484037149418</v>
          </cell>
          <cell r="CN15">
            <v>0.16838484037149418</v>
          </cell>
          <cell r="CO15">
            <v>1.9785358456165295E-3</v>
          </cell>
          <cell r="CP15">
            <v>1.9785358456165295E-3</v>
          </cell>
          <cell r="CQ15">
            <v>0.41992606521724191</v>
          </cell>
          <cell r="CR15">
            <v>1.9785358456165295E-3</v>
          </cell>
          <cell r="CS15">
            <v>1.9785358456165295E-3</v>
          </cell>
        </row>
        <row r="16">
          <cell r="AM16" t="str">
            <v>HPS 250W-NR</v>
          </cell>
          <cell r="AN16" t="str">
            <v>Exterior Lighting: Parking Lot</v>
          </cell>
          <cell r="AO16" t="str">
            <v>HPS 250W</v>
          </cell>
          <cell r="AP16" t="str">
            <v>NR</v>
          </cell>
          <cell r="AQ16" t="str">
            <v>Exterior Lighting: Parking Lot - HPS 250W - NR</v>
          </cell>
          <cell r="AR16" t="str">
            <v>HPS 250W</v>
          </cell>
          <cell r="AS16" t="str">
            <v>LED 135W</v>
          </cell>
          <cell r="AT16" t="str">
            <v>Exterior Lighting: Parking Lot - HPS 250W to LED 135W - NR</v>
          </cell>
          <cell r="AU16">
            <v>4300</v>
          </cell>
          <cell r="AV16">
            <v>12000</v>
          </cell>
          <cell r="AW16">
            <v>290</v>
          </cell>
          <cell r="AX16">
            <v>117.09183673469387</v>
          </cell>
          <cell r="AY16">
            <v>0.59623504574243502</v>
          </cell>
          <cell r="AZ16">
            <v>1247</v>
          </cell>
          <cell r="BA16">
            <v>503.49489795918362</v>
          </cell>
          <cell r="BB16">
            <v>743.50510204081638</v>
          </cell>
          <cell r="BC16">
            <v>15</v>
          </cell>
          <cell r="BD16" t="str">
            <v>N/A</v>
          </cell>
          <cell r="BE16">
            <v>160</v>
          </cell>
          <cell r="BF16">
            <v>243.0173658194351</v>
          </cell>
          <cell r="BG16">
            <v>228.0173658194351</v>
          </cell>
          <cell r="BH16">
            <v>24000</v>
          </cell>
          <cell r="BI16">
            <v>50000</v>
          </cell>
          <cell r="BJ16">
            <v>5.5813953488372094</v>
          </cell>
          <cell r="BK16">
            <v>11.627906976744185</v>
          </cell>
          <cell r="BL16">
            <v>8.3333333333333329E-2</v>
          </cell>
          <cell r="BM16">
            <v>0.33</v>
          </cell>
          <cell r="BN16">
            <v>10.833333333333332</v>
          </cell>
          <cell r="BO16">
            <v>42.9</v>
          </cell>
          <cell r="BP16">
            <v>32.066666666666663</v>
          </cell>
          <cell r="BQ16">
            <v>260.08403248610176</v>
          </cell>
          <cell r="BR16">
            <v>15</v>
          </cell>
          <cell r="BS16">
            <v>10.833333333333332</v>
          </cell>
          <cell r="BT16">
            <v>25.833333333333332</v>
          </cell>
          <cell r="BU16">
            <v>5.5813953488372094</v>
          </cell>
          <cell r="BV16" t="str">
            <v>S-All-Lgt-Streetlight-All-All-U</v>
          </cell>
          <cell r="BW16" t="str">
            <v>L</v>
          </cell>
          <cell r="BX16">
            <v>1.504174398562288</v>
          </cell>
          <cell r="BY16">
            <v>0.89684149133138535</v>
          </cell>
          <cell r="BZ16">
            <v>0.40376495425756509</v>
          </cell>
          <cell r="CA16">
            <v>0.59623504574243502</v>
          </cell>
          <cell r="CB16" t="str">
            <v>Exterior Lighting: Parking Lot - HPS 250W</v>
          </cell>
          <cell r="CC16" t="str">
            <v>HPS 250W</v>
          </cell>
          <cell r="CD16" t="str">
            <v>NR</v>
          </cell>
          <cell r="CE16" t="str">
            <v>ParkingLot</v>
          </cell>
          <cell r="CF16" t="str">
            <v>HID</v>
          </cell>
          <cell r="CG16">
            <v>71.095388052487294</v>
          </cell>
          <cell r="CH16">
            <v>0.7142857142857143</v>
          </cell>
          <cell r="CI16">
            <v>50.782420037490922</v>
          </cell>
          <cell r="CJ16">
            <v>30.278258533964948</v>
          </cell>
          <cell r="CK16">
            <v>130.19651169604927</v>
          </cell>
          <cell r="CL16">
            <v>45.543781319840186</v>
          </cell>
          <cell r="CM16">
            <v>0.34980799966564835</v>
          </cell>
          <cell r="CN16">
            <v>0.34980799966564841</v>
          </cell>
          <cell r="CO16">
            <v>0.17511179323272733</v>
          </cell>
          <cell r="CP16">
            <v>0.17511179323272733</v>
          </cell>
          <cell r="CQ16">
            <v>0.41992606521724191</v>
          </cell>
          <cell r="CR16">
            <v>0.17511179323272733</v>
          </cell>
          <cell r="CS16">
            <v>0.17511179323272733</v>
          </cell>
          <cell r="CT16">
            <v>0.17916666666666667</v>
          </cell>
          <cell r="CW16">
            <v>49.046631118374727</v>
          </cell>
        </row>
        <row r="17">
          <cell r="AM17" t="str">
            <v>MH 400W-NR</v>
          </cell>
          <cell r="AN17" t="str">
            <v>Exterior Lighting: Parking Lot</v>
          </cell>
          <cell r="AO17" t="str">
            <v>MH 400W</v>
          </cell>
          <cell r="AP17" t="str">
            <v>NR</v>
          </cell>
          <cell r="AQ17" t="str">
            <v>Exterior Lighting: Parking Lot - MH 400W - NR</v>
          </cell>
          <cell r="AR17" t="str">
            <v>MH 400W</v>
          </cell>
          <cell r="AS17" t="str">
            <v>LED 180W</v>
          </cell>
          <cell r="AT17" t="str">
            <v>Exterior Lighting: Parking Lot - MH 400W to LED 180W - NR</v>
          </cell>
          <cell r="AU17">
            <v>4300</v>
          </cell>
          <cell r="AV17">
            <v>17000</v>
          </cell>
          <cell r="AW17">
            <v>458</v>
          </cell>
          <cell r="AX17">
            <v>156.12244897959184</v>
          </cell>
          <cell r="AY17">
            <v>0.6591212904375725</v>
          </cell>
          <cell r="AZ17">
            <v>1969.4</v>
          </cell>
          <cell r="BA17">
            <v>671.32653061224494</v>
          </cell>
          <cell r="BB17">
            <v>1298.0734693877553</v>
          </cell>
          <cell r="BC17">
            <v>18</v>
          </cell>
          <cell r="BD17" t="str">
            <v>N/A</v>
          </cell>
          <cell r="BE17">
            <v>190</v>
          </cell>
          <cell r="BF17">
            <v>324.02315442591345</v>
          </cell>
          <cell r="BG17">
            <v>306.02315442591345</v>
          </cell>
          <cell r="BH17">
            <v>16000</v>
          </cell>
          <cell r="BI17">
            <v>50000</v>
          </cell>
          <cell r="BJ17">
            <v>3.7209302325581395</v>
          </cell>
          <cell r="BK17">
            <v>11.627906976744185</v>
          </cell>
          <cell r="BL17">
            <v>8.3333333333333329E-2</v>
          </cell>
          <cell r="BM17">
            <v>0.33</v>
          </cell>
          <cell r="BN17">
            <v>10.833333333333332</v>
          </cell>
          <cell r="BO17">
            <v>42.9</v>
          </cell>
          <cell r="BP17">
            <v>32.066666666666663</v>
          </cell>
          <cell r="BQ17">
            <v>338.08982109258011</v>
          </cell>
          <cell r="BR17">
            <v>18</v>
          </cell>
          <cell r="BS17">
            <v>10.833333333333332</v>
          </cell>
          <cell r="BT17">
            <v>28.833333333333332</v>
          </cell>
          <cell r="BU17">
            <v>3.7209302325581395</v>
          </cell>
          <cell r="BV17" t="str">
            <v>S-All-Lgt-Streetlight-All-All-U</v>
          </cell>
          <cell r="BW17" t="str">
            <v>L</v>
          </cell>
          <cell r="BX17">
            <v>1.1199568167615213</v>
          </cell>
          <cell r="BY17">
            <v>0.73818738229820979</v>
          </cell>
          <cell r="BZ17">
            <v>0.34087870956242761</v>
          </cell>
          <cell r="CA17">
            <v>0.6591212904375725</v>
          </cell>
          <cell r="CB17" t="str">
            <v>Exterior Lighting: Parking Lot - MH 400W</v>
          </cell>
          <cell r="CC17" t="str">
            <v>MH 400W</v>
          </cell>
          <cell r="CD17" t="str">
            <v>NR</v>
          </cell>
          <cell r="CE17" t="str">
            <v>ParkingLot</v>
          </cell>
          <cell r="CF17" t="str">
            <v>HID</v>
          </cell>
          <cell r="CG17">
            <v>71.095388052487294</v>
          </cell>
          <cell r="CH17">
            <v>0.25510204081632654</v>
          </cell>
          <cell r="CI17">
            <v>18.136578584818189</v>
          </cell>
          <cell r="CJ17">
            <v>11.954205080947807</v>
          </cell>
          <cell r="CK17">
            <v>51.403081848075573</v>
          </cell>
          <cell r="CL17">
            <v>13.388193469372709</v>
          </cell>
          <cell r="CM17">
            <v>0.26045507366547005</v>
          </cell>
          <cell r="CN17">
            <v>0.26045507366547005</v>
          </cell>
          <cell r="CO17">
            <v>3.9599516560738408E-2</v>
          </cell>
          <cell r="CP17">
            <v>3.9599516560738401E-2</v>
          </cell>
          <cell r="CQ17">
            <v>0.41992606521724191</v>
          </cell>
          <cell r="CR17">
            <v>3.9599516560738408E-2</v>
          </cell>
          <cell r="CS17">
            <v>3.9599516560738408E-2</v>
          </cell>
          <cell r="CT17">
            <v>0.26874999999999999</v>
          </cell>
          <cell r="CW17">
            <v>19.364174668795592</v>
          </cell>
        </row>
        <row r="18">
          <cell r="AM18" t="str">
            <v>MH 1000W-NR</v>
          </cell>
          <cell r="AN18" t="str">
            <v>Exterior Lighting: Parking Lot</v>
          </cell>
          <cell r="AO18" t="str">
            <v>MH 1000W</v>
          </cell>
          <cell r="AP18" t="str">
            <v>NR</v>
          </cell>
          <cell r="AQ18" t="str">
            <v>Exterior Lighting: Parking Lot - MH 1000W - NR</v>
          </cell>
          <cell r="AR18" t="str">
            <v>MH 1000W</v>
          </cell>
          <cell r="AS18" t="str">
            <v>LED 421W</v>
          </cell>
          <cell r="AT18" t="str">
            <v>Exterior Lighting: Parking Lot - MH 1000W to LED 421W - NR</v>
          </cell>
          <cell r="AU18">
            <v>4300</v>
          </cell>
          <cell r="AV18">
            <v>41000</v>
          </cell>
          <cell r="AW18">
            <v>1100</v>
          </cell>
          <cell r="AX18">
            <v>365.15306122448976</v>
          </cell>
          <cell r="AY18">
            <v>0.66804267161410025</v>
          </cell>
          <cell r="AZ18">
            <v>4730</v>
          </cell>
          <cell r="BA18">
            <v>1570.158163265306</v>
          </cell>
          <cell r="BB18">
            <v>3159.841836734694</v>
          </cell>
          <cell r="BC18">
            <v>20</v>
          </cell>
          <cell r="BD18" t="str">
            <v>N/A</v>
          </cell>
          <cell r="BE18">
            <v>440</v>
          </cell>
          <cell r="BF18">
            <v>972.0694632777404</v>
          </cell>
          <cell r="BG18">
            <v>952.0694632777404</v>
          </cell>
          <cell r="BH18">
            <v>16000</v>
          </cell>
          <cell r="BI18">
            <v>50000</v>
          </cell>
          <cell r="BJ18">
            <v>3.7209302325581395</v>
          </cell>
          <cell r="BK18">
            <v>11.627906976744185</v>
          </cell>
          <cell r="BL18">
            <v>8.3333333333333329E-2</v>
          </cell>
          <cell r="BM18">
            <v>0.33</v>
          </cell>
          <cell r="BN18">
            <v>10.833333333333332</v>
          </cell>
          <cell r="BO18">
            <v>42.9</v>
          </cell>
          <cell r="BP18">
            <v>32.066666666666663</v>
          </cell>
          <cell r="BQ18">
            <v>984.136129944407</v>
          </cell>
          <cell r="BR18">
            <v>20</v>
          </cell>
          <cell r="BS18">
            <v>10.833333333333332</v>
          </cell>
          <cell r="BT18">
            <v>30.833333333333332</v>
          </cell>
          <cell r="BU18">
            <v>3.7209302325581395</v>
          </cell>
          <cell r="BV18" t="str">
            <v>S-All-Lgt-Streetlight-All-All-U</v>
          </cell>
          <cell r="BW18" t="str">
            <v>L</v>
          </cell>
          <cell r="BX18">
            <v>1.3392396130604995</v>
          </cell>
          <cell r="BY18">
            <v>0.89466920904036995</v>
          </cell>
          <cell r="BZ18">
            <v>0.33195732838589981</v>
          </cell>
          <cell r="CA18">
            <v>0.66804267161410025</v>
          </cell>
          <cell r="CB18" t="str">
            <v>Exterior Lighting: Parking Lot - MH 1000W</v>
          </cell>
          <cell r="CC18" t="str">
            <v>MH 1000W</v>
          </cell>
          <cell r="CD18" t="str">
            <v>NR</v>
          </cell>
          <cell r="CE18" t="str">
            <v>ParkingLot</v>
          </cell>
          <cell r="CF18" t="str">
            <v>HID</v>
          </cell>
          <cell r="CG18">
            <v>71.095388052487294</v>
          </cell>
          <cell r="CH18">
            <v>3.0612244897959183E-2</v>
          </cell>
          <cell r="CI18">
            <v>2.1763894301781823</v>
          </cell>
          <cell r="CJ18">
            <v>1.4539210094089221</v>
          </cell>
          <cell r="CK18">
            <v>6.2518603404583653</v>
          </cell>
          <cell r="CL18">
            <v>1.9471486100613358</v>
          </cell>
          <cell r="CM18">
            <v>0.3114510728047673</v>
          </cell>
          <cell r="CN18">
            <v>0.31145107280476736</v>
          </cell>
          <cell r="CO18">
            <v>1.9785358456165295E-3</v>
          </cell>
          <cell r="CP18">
            <v>1.9785358456165291E-3</v>
          </cell>
          <cell r="CQ18">
            <v>0.41992606521724191</v>
          </cell>
          <cell r="CR18">
            <v>1.9785358456165295E-3</v>
          </cell>
          <cell r="CS18">
            <v>1.9785358456165295E-3</v>
          </cell>
          <cell r="CT18">
            <v>0.26874999999999999</v>
          </cell>
          <cell r="CW18">
            <v>2.3551528679808911</v>
          </cell>
        </row>
        <row r="19">
          <cell r="AM19" t="str">
            <v>HPS 250W-Retro</v>
          </cell>
          <cell r="AN19" t="str">
            <v>Exterior Lighting: Parking Lot</v>
          </cell>
          <cell r="AO19" t="str">
            <v>HPS 250W</v>
          </cell>
          <cell r="AP19" t="str">
            <v>Retro</v>
          </cell>
          <cell r="AQ19" t="str">
            <v>Exterior Lighting: Parking Lot - HPS 250W - Retro</v>
          </cell>
          <cell r="AR19" t="str">
            <v>HPS 250W</v>
          </cell>
          <cell r="AS19" t="str">
            <v>LED 135W</v>
          </cell>
          <cell r="AT19" t="str">
            <v>Exterior Lighting: Parking Lot - HPS 250W to LED 135W - Retro</v>
          </cell>
          <cell r="AU19">
            <v>4300</v>
          </cell>
          <cell r="AV19">
            <v>12000</v>
          </cell>
          <cell r="AW19">
            <v>290</v>
          </cell>
          <cell r="AX19">
            <v>117.09183673469387</v>
          </cell>
          <cell r="AY19">
            <v>0.59623504574243502</v>
          </cell>
          <cell r="AZ19">
            <v>1247</v>
          </cell>
          <cell r="BA19">
            <v>503.49489795918362</v>
          </cell>
          <cell r="BB19">
            <v>743.50510204081638</v>
          </cell>
          <cell r="BC19">
            <v>15</v>
          </cell>
          <cell r="BD19" t="str">
            <v>N/A</v>
          </cell>
          <cell r="BE19">
            <v>160</v>
          </cell>
          <cell r="BF19">
            <v>243.0173658194351</v>
          </cell>
          <cell r="BG19">
            <v>243.0173658194351</v>
          </cell>
          <cell r="BH19">
            <v>24000</v>
          </cell>
          <cell r="BI19">
            <v>50000</v>
          </cell>
          <cell r="BJ19">
            <v>5.5813953488372094</v>
          </cell>
          <cell r="BK19">
            <v>11.627906976744185</v>
          </cell>
          <cell r="BL19">
            <v>8.3333333333333329E-2</v>
          </cell>
          <cell r="BM19">
            <v>0.33</v>
          </cell>
          <cell r="BN19">
            <v>10.833333333333332</v>
          </cell>
          <cell r="BO19">
            <v>42.9</v>
          </cell>
          <cell r="BP19">
            <v>42.9</v>
          </cell>
          <cell r="BQ19">
            <v>285.91736581943508</v>
          </cell>
          <cell r="BR19">
            <v>15</v>
          </cell>
          <cell r="BS19">
            <v>10.833333333333332</v>
          </cell>
          <cell r="BT19">
            <v>25.833333333333332</v>
          </cell>
          <cell r="BU19">
            <v>5.5813953488372094</v>
          </cell>
          <cell r="BV19" t="str">
            <v>S-All-Lgt-Streetlight-All-All-U</v>
          </cell>
          <cell r="BW19" t="str">
            <v>R</v>
          </cell>
          <cell r="BX19">
            <v>1.6535793361053193</v>
          </cell>
          <cell r="BY19">
            <v>0.98592195110150027</v>
          </cell>
          <cell r="BZ19">
            <v>0.40376495425756509</v>
          </cell>
          <cell r="CA19">
            <v>0.59623504574243502</v>
          </cell>
          <cell r="CB19" t="str">
            <v>Exterior Lighting: Parking Lot - HPS 250W</v>
          </cell>
          <cell r="CC19" t="str">
            <v>HPS 250W</v>
          </cell>
          <cell r="CD19" t="str">
            <v>Retro</v>
          </cell>
          <cell r="CE19" t="str">
            <v>ParkingLot</v>
          </cell>
          <cell r="CF19" t="str">
            <v>HID</v>
          </cell>
          <cell r="CG19">
            <v>71.095388052487294</v>
          </cell>
          <cell r="CH19">
            <v>0.7142857142857143</v>
          </cell>
          <cell r="CI19">
            <v>50.782420037490922</v>
          </cell>
          <cell r="CJ19">
            <v>30.278258533964948</v>
          </cell>
          <cell r="CK19">
            <v>130.19651169604927</v>
          </cell>
          <cell r="CL19">
            <v>50.067502645018976</v>
          </cell>
          <cell r="CM19">
            <v>0.38455333397798125</v>
          </cell>
          <cell r="CN19">
            <v>0.38455333397798125</v>
          </cell>
          <cell r="CO19">
            <v>0.17511179323272733</v>
          </cell>
          <cell r="CP19">
            <v>0.17511179323272733</v>
          </cell>
          <cell r="CQ19">
            <v>0.41992606521724191</v>
          </cell>
          <cell r="CR19">
            <v>0.17511179323272733</v>
          </cell>
          <cell r="CS19">
            <v>0.17511179323272733</v>
          </cell>
        </row>
        <row r="20">
          <cell r="AM20" t="str">
            <v>MH 400W-Retro</v>
          </cell>
          <cell r="AN20" t="str">
            <v>Exterior Lighting: Parking Lot</v>
          </cell>
          <cell r="AO20" t="str">
            <v>MH 400W</v>
          </cell>
          <cell r="AP20" t="str">
            <v>Retro</v>
          </cell>
          <cell r="AQ20" t="str">
            <v>Exterior Lighting: Parking Lot - MH 400W - Retro</v>
          </cell>
          <cell r="AR20" t="str">
            <v>MH 400W</v>
          </cell>
          <cell r="AS20" t="str">
            <v>LED 180W</v>
          </cell>
          <cell r="AT20" t="str">
            <v>Exterior Lighting: Parking Lot - MH 400W to LED 180W - Retro</v>
          </cell>
          <cell r="AU20">
            <v>4300</v>
          </cell>
          <cell r="AV20">
            <v>17000</v>
          </cell>
          <cell r="AW20">
            <v>458</v>
          </cell>
          <cell r="AX20">
            <v>156.12244897959184</v>
          </cell>
          <cell r="AY20">
            <v>0.6591212904375725</v>
          </cell>
          <cell r="AZ20">
            <v>1969.4</v>
          </cell>
          <cell r="BA20">
            <v>671.32653061224494</v>
          </cell>
          <cell r="BB20">
            <v>1298.0734693877553</v>
          </cell>
          <cell r="BC20">
            <v>18</v>
          </cell>
          <cell r="BD20" t="str">
            <v>N/A</v>
          </cell>
          <cell r="BE20">
            <v>190</v>
          </cell>
          <cell r="BF20">
            <v>324.02315442591345</v>
          </cell>
          <cell r="BG20">
            <v>324.02315442591345</v>
          </cell>
          <cell r="BH20">
            <v>16000</v>
          </cell>
          <cell r="BI20">
            <v>50000</v>
          </cell>
          <cell r="BJ20">
            <v>3.7209302325581395</v>
          </cell>
          <cell r="BK20">
            <v>11.627906976744185</v>
          </cell>
          <cell r="BL20">
            <v>8.3333333333333329E-2</v>
          </cell>
          <cell r="BM20">
            <v>0.33</v>
          </cell>
          <cell r="BN20">
            <v>10.833333333333332</v>
          </cell>
          <cell r="BO20">
            <v>42.9</v>
          </cell>
          <cell r="BP20">
            <v>42.9</v>
          </cell>
          <cell r="BQ20">
            <v>366.92315442591342</v>
          </cell>
          <cell r="BR20">
            <v>18</v>
          </cell>
          <cell r="BS20">
            <v>10.833333333333332</v>
          </cell>
          <cell r="BT20">
            <v>28.833333333333332</v>
          </cell>
          <cell r="BU20">
            <v>3.7209302325581395</v>
          </cell>
          <cell r="BV20" t="str">
            <v>S-All-Lgt-Streetlight-All-All-U</v>
          </cell>
          <cell r="BW20" t="str">
            <v>R</v>
          </cell>
          <cell r="BX20">
            <v>1.2154701573059596</v>
          </cell>
          <cell r="BY20">
            <v>0.80114225857186339</v>
          </cell>
          <cell r="BZ20">
            <v>0.34087870956242761</v>
          </cell>
          <cell r="CA20">
            <v>0.6591212904375725</v>
          </cell>
          <cell r="CB20" t="str">
            <v>Exterior Lighting: Parking Lot - MH 400W</v>
          </cell>
          <cell r="CC20" t="str">
            <v>MH 400W</v>
          </cell>
          <cell r="CD20" t="str">
            <v>Retro</v>
          </cell>
          <cell r="CE20" t="str">
            <v>ParkingLot</v>
          </cell>
          <cell r="CF20" t="str">
            <v>HID</v>
          </cell>
          <cell r="CG20">
            <v>71.095388052487294</v>
          </cell>
          <cell r="CH20">
            <v>0.25510204081632654</v>
          </cell>
          <cell r="CI20">
            <v>18.136578584818189</v>
          </cell>
          <cell r="CJ20">
            <v>11.954205080947807</v>
          </cell>
          <cell r="CK20">
            <v>51.403081848075573</v>
          </cell>
          <cell r="CL20">
            <v>14.529979530207333</v>
          </cell>
          <cell r="CM20">
            <v>0.28266747844324641</v>
          </cell>
          <cell r="CN20">
            <v>0.28266747844324641</v>
          </cell>
          <cell r="CO20">
            <v>3.9599516560738408E-2</v>
          </cell>
          <cell r="CP20">
            <v>3.9599516560738401E-2</v>
          </cell>
          <cell r="CQ20">
            <v>0.41992606521724191</v>
          </cell>
          <cell r="CR20">
            <v>3.9599516560738408E-2</v>
          </cell>
          <cell r="CS20">
            <v>3.9599516560738408E-2</v>
          </cell>
        </row>
        <row r="21">
          <cell r="AM21" t="str">
            <v>MH 1000W-Retro</v>
          </cell>
          <cell r="AN21" t="str">
            <v>Exterior Lighting: Parking Lot</v>
          </cell>
          <cell r="AO21" t="str">
            <v>MH 1000W</v>
          </cell>
          <cell r="AP21" t="str">
            <v>Retro</v>
          </cell>
          <cell r="AQ21" t="str">
            <v>Exterior Lighting: Parking Lot - MH 1000W - Retro</v>
          </cell>
          <cell r="AR21" t="str">
            <v>MH 1000W</v>
          </cell>
          <cell r="AS21" t="str">
            <v>LED 421W</v>
          </cell>
          <cell r="AT21" t="str">
            <v>Exterior Lighting: Parking Lot - MH 1000W to LED 421W - Retro</v>
          </cell>
          <cell r="AU21">
            <v>4300</v>
          </cell>
          <cell r="AV21">
            <v>41000</v>
          </cell>
          <cell r="AW21">
            <v>1100</v>
          </cell>
          <cell r="AX21">
            <v>365.15306122448976</v>
          </cell>
          <cell r="AY21">
            <v>0.66804267161410025</v>
          </cell>
          <cell r="AZ21">
            <v>4730</v>
          </cell>
          <cell r="BA21">
            <v>1570.158163265306</v>
          </cell>
          <cell r="BB21">
            <v>3159.841836734694</v>
          </cell>
          <cell r="BC21">
            <v>20</v>
          </cell>
          <cell r="BD21" t="str">
            <v>N/A</v>
          </cell>
          <cell r="BE21">
            <v>440</v>
          </cell>
          <cell r="BF21">
            <v>972.0694632777404</v>
          </cell>
          <cell r="BG21">
            <v>972.0694632777404</v>
          </cell>
          <cell r="BH21">
            <v>16000</v>
          </cell>
          <cell r="BI21">
            <v>50000</v>
          </cell>
          <cell r="BJ21">
            <v>3.7209302325581395</v>
          </cell>
          <cell r="BK21">
            <v>11.627906976744185</v>
          </cell>
          <cell r="BL21">
            <v>8.3333333333333329E-2</v>
          </cell>
          <cell r="BM21">
            <v>0.33</v>
          </cell>
          <cell r="BN21">
            <v>10.833333333333332</v>
          </cell>
          <cell r="BO21">
            <v>42.9</v>
          </cell>
          <cell r="BP21">
            <v>42.9</v>
          </cell>
          <cell r="BQ21">
            <v>1014.9694632777404</v>
          </cell>
          <cell r="BR21">
            <v>20</v>
          </cell>
          <cell r="BS21">
            <v>10.833333333333332</v>
          </cell>
          <cell r="BT21">
            <v>30.833333333333332</v>
          </cell>
          <cell r="BU21">
            <v>3.7209302325581395</v>
          </cell>
          <cell r="BV21" t="str">
            <v>S-All-Lgt-Streetlight-All-All-U</v>
          </cell>
          <cell r="BW21" t="str">
            <v>R</v>
          </cell>
          <cell r="BX21">
            <v>1.3811984642257662</v>
          </cell>
          <cell r="BY21">
            <v>0.92269951207067302</v>
          </cell>
          <cell r="BZ21">
            <v>0.33195732838589981</v>
          </cell>
          <cell r="CA21">
            <v>0.66804267161410025</v>
          </cell>
          <cell r="CB21" t="str">
            <v>Exterior Lighting: Parking Lot - MH 1000W</v>
          </cell>
          <cell r="CC21" t="str">
            <v>MH 1000W</v>
          </cell>
          <cell r="CD21" t="str">
            <v>Retro</v>
          </cell>
          <cell r="CE21" t="str">
            <v>ParkingLot</v>
          </cell>
          <cell r="CF21" t="str">
            <v>HID</v>
          </cell>
          <cell r="CG21">
            <v>71.095388052487294</v>
          </cell>
          <cell r="CH21">
            <v>3.0612244897959183E-2</v>
          </cell>
          <cell r="CI21">
            <v>2.1763894301781823</v>
          </cell>
          <cell r="CJ21">
            <v>1.4539210094089221</v>
          </cell>
          <cell r="CK21">
            <v>6.2518603404583653</v>
          </cell>
          <cell r="CL21">
            <v>2.008153465301179</v>
          </cell>
          <cell r="CM21">
            <v>0.32120894516878284</v>
          </cell>
          <cell r="CN21">
            <v>0.32120894516878284</v>
          </cell>
          <cell r="CO21">
            <v>1.9785358456165295E-3</v>
          </cell>
          <cell r="CP21">
            <v>1.9785358456165295E-3</v>
          </cell>
          <cell r="CQ21">
            <v>0.41992606521724191</v>
          </cell>
          <cell r="CR21">
            <v>1.9785358456165295E-3</v>
          </cell>
          <cell r="CS21">
            <v>1.9785358456165295E-3</v>
          </cell>
        </row>
        <row r="22">
          <cell r="AM22" t="str">
            <v>HID 150W-New</v>
          </cell>
          <cell r="AN22" t="str">
            <v>Exterior Lighting: Façade</v>
          </cell>
          <cell r="AO22" t="str">
            <v>HID 150W</v>
          </cell>
          <cell r="AP22" t="str">
            <v>New</v>
          </cell>
          <cell r="AQ22" t="str">
            <v>Exterior Lighting: Façade - HID 150W - New</v>
          </cell>
          <cell r="AR22" t="str">
            <v>HID 150W</v>
          </cell>
          <cell r="AS22" t="str">
            <v>LED 27W</v>
          </cell>
          <cell r="AT22" t="str">
            <v>Exterior Lighting: Façade - HID 150W to LED 27W - New</v>
          </cell>
          <cell r="AU22">
            <v>4300</v>
          </cell>
          <cell r="AV22">
            <v>2608</v>
          </cell>
          <cell r="AW22">
            <v>178.25</v>
          </cell>
          <cell r="AX22">
            <v>27.234693877551017</v>
          </cell>
          <cell r="AY22">
            <v>0.84721069353407563</v>
          </cell>
          <cell r="AZ22">
            <v>766.47499999999991</v>
          </cell>
          <cell r="BA22">
            <v>117.10918367346936</v>
          </cell>
          <cell r="BB22">
            <v>649.36581632653053</v>
          </cell>
          <cell r="BC22">
            <v>30.999173333333335</v>
          </cell>
          <cell r="BD22" t="str">
            <v>N/A</v>
          </cell>
          <cell r="BE22">
            <v>178.58874399999999</v>
          </cell>
          <cell r="BF22">
            <v>185.89070335550872</v>
          </cell>
          <cell r="BG22">
            <v>7.3019593555087283</v>
          </cell>
          <cell r="BH22">
            <v>24000</v>
          </cell>
          <cell r="BI22">
            <v>70000</v>
          </cell>
          <cell r="BJ22">
            <v>5.5813953488372094</v>
          </cell>
          <cell r="BK22">
            <v>16.279069767441861</v>
          </cell>
          <cell r="BL22">
            <v>8.3333333333333329E-2</v>
          </cell>
          <cell r="BM22">
            <v>0.33</v>
          </cell>
          <cell r="BN22">
            <v>10.833333333333332</v>
          </cell>
          <cell r="BO22">
            <v>42.9</v>
          </cell>
          <cell r="BP22">
            <v>0</v>
          </cell>
          <cell r="BQ22">
            <v>7.3019593555087283</v>
          </cell>
          <cell r="BR22">
            <v>30.999173333333335</v>
          </cell>
          <cell r="BS22">
            <v>10.833333333333332</v>
          </cell>
          <cell r="BT22">
            <v>41.832506666666667</v>
          </cell>
          <cell r="BU22">
            <v>5.5813953488372094</v>
          </cell>
          <cell r="BV22" t="str">
            <v>S-All-Lgt-Streetlight-All-All-U</v>
          </cell>
          <cell r="BW22" t="str">
            <v>L</v>
          </cell>
          <cell r="BX22">
            <v>4.8352445477202299E-2</v>
          </cell>
          <cell r="BY22">
            <v>4.0964708866809134E-2</v>
          </cell>
          <cell r="BZ22">
            <v>0.15278930646592437</v>
          </cell>
          <cell r="CA22">
            <v>0.84721069353407563</v>
          </cell>
          <cell r="CB22" t="str">
            <v>Exterior Lighting: Façade - HID 150W</v>
          </cell>
          <cell r="CC22" t="str">
            <v>HID 150W</v>
          </cell>
          <cell r="CD22" t="str">
            <v>New</v>
          </cell>
          <cell r="CE22" t="str">
            <v>BuildingFacade</v>
          </cell>
          <cell r="CF22" t="str">
            <v>HID</v>
          </cell>
          <cell r="CG22">
            <v>26.479843587764876</v>
          </cell>
          <cell r="CH22">
            <v>0.69387755102040827</v>
          </cell>
          <cell r="CI22">
            <v>18.373769020081753</v>
          </cell>
          <cell r="CJ22">
            <v>15.566453594338375</v>
          </cell>
          <cell r="CK22">
            <v>66.935750455655011</v>
          </cell>
          <cell r="CL22">
            <v>0.75267609869364605</v>
          </cell>
          <cell r="CM22">
            <v>1.1244754762140071E-2</v>
          </cell>
          <cell r="CN22">
            <v>1.1244754762140071E-2</v>
          </cell>
          <cell r="CO22">
            <v>0.10307864807900002</v>
          </cell>
          <cell r="CP22">
            <v>0.10307864807900002</v>
          </cell>
          <cell r="CQ22">
            <v>0.15640362659205004</v>
          </cell>
          <cell r="CR22">
            <v>0.10307864807900002</v>
          </cell>
          <cell r="CS22">
            <v>0.10307864807900002</v>
          </cell>
        </row>
        <row r="23">
          <cell r="AM23" t="str">
            <v>HID 400W-New</v>
          </cell>
          <cell r="AN23" t="str">
            <v>Exterior Lighting: Façade</v>
          </cell>
          <cell r="AO23" t="str">
            <v>HID 400W</v>
          </cell>
          <cell r="AP23" t="str">
            <v>New</v>
          </cell>
          <cell r="AQ23" t="str">
            <v>Exterior Lighting: Façade - HID 400W - New</v>
          </cell>
          <cell r="AR23" t="str">
            <v>HID 400W</v>
          </cell>
          <cell r="AS23" t="str">
            <v>LED 82W</v>
          </cell>
          <cell r="AT23" t="str">
            <v>Exterior Lighting: Façade - HID 400W to LED 82W - New</v>
          </cell>
          <cell r="AU23">
            <v>4300</v>
          </cell>
          <cell r="AV23">
            <v>7563</v>
          </cell>
          <cell r="AW23">
            <v>455.66666666666669</v>
          </cell>
          <cell r="AX23">
            <v>81.964285714285708</v>
          </cell>
          <cell r="AY23">
            <v>0.8201222698296583</v>
          </cell>
          <cell r="AZ23">
            <v>1959.3666666666666</v>
          </cell>
          <cell r="BA23">
            <v>352.44642857142856</v>
          </cell>
          <cell r="BB23">
            <v>1606.9202380952379</v>
          </cell>
          <cell r="BC23">
            <v>28.431060000000002</v>
          </cell>
          <cell r="BD23" t="str">
            <v>N/A</v>
          </cell>
          <cell r="BE23">
            <v>276.78352800000005</v>
          </cell>
          <cell r="BF23">
            <v>328.64658006207537</v>
          </cell>
          <cell r="BG23">
            <v>51.863052062075326</v>
          </cell>
          <cell r="BH23">
            <v>16000</v>
          </cell>
          <cell r="BI23">
            <v>70000</v>
          </cell>
          <cell r="BJ23">
            <v>3.7209302325581395</v>
          </cell>
          <cell r="BK23">
            <v>16.279069767441861</v>
          </cell>
          <cell r="BL23">
            <v>8.3333333333333329E-2</v>
          </cell>
          <cell r="BM23">
            <v>0.33</v>
          </cell>
          <cell r="BN23">
            <v>10.833333333333332</v>
          </cell>
          <cell r="BO23">
            <v>42.9</v>
          </cell>
          <cell r="BP23">
            <v>0</v>
          </cell>
          <cell r="BQ23">
            <v>51.863052062075326</v>
          </cell>
          <cell r="BR23">
            <v>28.431060000000002</v>
          </cell>
          <cell r="BS23">
            <v>10.833333333333332</v>
          </cell>
          <cell r="BT23">
            <v>39.264393333333331</v>
          </cell>
          <cell r="BU23">
            <v>3.7209302325581395</v>
          </cell>
          <cell r="BV23" t="str">
            <v>S-All-Lgt-Streetlight-All-All-U</v>
          </cell>
          <cell r="BW23" t="str">
            <v>L</v>
          </cell>
          <cell r="BX23">
            <v>0.13878170090835995</v>
          </cell>
          <cell r="BY23">
            <v>0.11381796355978491</v>
          </cell>
          <cell r="BZ23">
            <v>0.1798777301703417</v>
          </cell>
          <cell r="CA23">
            <v>0.8201222698296583</v>
          </cell>
          <cell r="CB23" t="str">
            <v>Exterior Lighting: Façade - HID 400W</v>
          </cell>
          <cell r="CC23" t="str">
            <v>HID 400W</v>
          </cell>
          <cell r="CD23" t="str">
            <v>New</v>
          </cell>
          <cell r="CE23" t="str">
            <v>BuildingFacade</v>
          </cell>
          <cell r="CF23" t="str">
            <v>HID</v>
          </cell>
          <cell r="CG23">
            <v>26.479843587764876</v>
          </cell>
          <cell r="CH23">
            <v>0.30927835051546387</v>
          </cell>
          <cell r="CI23">
            <v>8.1896423467314037</v>
          </cell>
          <cell r="CJ23">
            <v>6.7165080704944486</v>
          </cell>
          <cell r="CK23">
            <v>28.880984703126131</v>
          </cell>
          <cell r="CL23">
            <v>0.93212841418794634</v>
          </cell>
          <cell r="CM23">
            <v>3.227481416473487E-2</v>
          </cell>
          <cell r="CN23">
            <v>3.2274814164734877E-2</v>
          </cell>
          <cell r="CO23">
            <v>1.7972880058664389E-2</v>
          </cell>
          <cell r="CP23">
            <v>1.7972880058664382E-2</v>
          </cell>
          <cell r="CQ23">
            <v>0.15640362659205004</v>
          </cell>
          <cell r="CR23">
            <v>1.7972880058664389E-2</v>
          </cell>
          <cell r="CS23">
            <v>1.7972880058664389E-2</v>
          </cell>
        </row>
        <row r="24">
          <cell r="AM24" t="str">
            <v>HID 150W-NR</v>
          </cell>
          <cell r="AN24" t="str">
            <v>Exterior Lighting: Façade</v>
          </cell>
          <cell r="AO24" t="str">
            <v>HID 150W</v>
          </cell>
          <cell r="AP24" t="str">
            <v>NR</v>
          </cell>
          <cell r="AQ24" t="str">
            <v>Exterior Lighting: Façade - HID 150W - NR</v>
          </cell>
          <cell r="AR24" t="str">
            <v>HID 150W</v>
          </cell>
          <cell r="AS24" t="str">
            <v>LED 27W</v>
          </cell>
          <cell r="AT24" t="str">
            <v>Exterior Lighting: Façade - HID 150W to LED 27W - NR</v>
          </cell>
          <cell r="AU24">
            <v>4300</v>
          </cell>
          <cell r="AV24">
            <v>2608</v>
          </cell>
          <cell r="AW24">
            <v>178.25</v>
          </cell>
          <cell r="AX24">
            <v>27.234693877551017</v>
          </cell>
          <cell r="AY24">
            <v>0.84721069353407563</v>
          </cell>
          <cell r="AZ24">
            <v>766.47499999999991</v>
          </cell>
          <cell r="BA24">
            <v>117.10918367346936</v>
          </cell>
          <cell r="BB24">
            <v>649.36581632653053</v>
          </cell>
          <cell r="BC24">
            <v>30.999173333333335</v>
          </cell>
          <cell r="BD24" t="str">
            <v>N/A</v>
          </cell>
          <cell r="BE24">
            <v>178.58874399999999</v>
          </cell>
          <cell r="BF24">
            <v>185.89070335550872</v>
          </cell>
          <cell r="BG24">
            <v>154.89153002217537</v>
          </cell>
          <cell r="BH24">
            <v>24000</v>
          </cell>
          <cell r="BI24">
            <v>70000</v>
          </cell>
          <cell r="BJ24">
            <v>5.5813953488372094</v>
          </cell>
          <cell r="BK24">
            <v>16.279069767441861</v>
          </cell>
          <cell r="BL24">
            <v>8.3333333333333329E-2</v>
          </cell>
          <cell r="BM24">
            <v>0.33</v>
          </cell>
          <cell r="BN24">
            <v>10.833333333333332</v>
          </cell>
          <cell r="BO24">
            <v>42.9</v>
          </cell>
          <cell r="BP24">
            <v>32.066666666666663</v>
          </cell>
          <cell r="BQ24">
            <v>186.95819668884204</v>
          </cell>
          <cell r="BR24">
            <v>30.999173333333335</v>
          </cell>
          <cell r="BS24">
            <v>10.833333333333332</v>
          </cell>
          <cell r="BT24">
            <v>41.832506666666667</v>
          </cell>
          <cell r="BU24">
            <v>5.5813953488372094</v>
          </cell>
          <cell r="BV24" t="str">
            <v>S-All-Lgt-Streetlight-All-All-U</v>
          </cell>
          <cell r="BW24" t="str">
            <v>L</v>
          </cell>
          <cell r="BX24">
            <v>1.2380082621376749</v>
          </cell>
          <cell r="BY24">
            <v>1.0488538383665753</v>
          </cell>
          <cell r="BZ24">
            <v>0.15278930646592437</v>
          </cell>
          <cell r="CA24">
            <v>0.84721069353407563</v>
          </cell>
          <cell r="CB24" t="str">
            <v>Exterior Lighting: Façade - HID 150W</v>
          </cell>
          <cell r="CC24" t="str">
            <v>HID 150W</v>
          </cell>
          <cell r="CD24" t="str">
            <v>NR</v>
          </cell>
          <cell r="CE24" t="str">
            <v>BuildingFacade</v>
          </cell>
          <cell r="CF24" t="str">
            <v>HID</v>
          </cell>
          <cell r="CG24">
            <v>26.479843587764876</v>
          </cell>
          <cell r="CH24">
            <v>0.69387755102040827</v>
          </cell>
          <cell r="CI24">
            <v>18.373769020081753</v>
          </cell>
          <cell r="CJ24">
            <v>15.566453594338375</v>
          </cell>
          <cell r="CK24">
            <v>66.935750455655011</v>
          </cell>
          <cell r="CL24">
            <v>19.271398161973615</v>
          </cell>
          <cell r="CM24">
            <v>0.2879088981715523</v>
          </cell>
          <cell r="CN24">
            <v>0.28790889817155235</v>
          </cell>
          <cell r="CO24">
            <v>0.10307864807900002</v>
          </cell>
          <cell r="CP24">
            <v>0.10307864807900002</v>
          </cell>
          <cell r="CQ24">
            <v>0.15640362659205004</v>
          </cell>
          <cell r="CR24">
            <v>0.10307864807900002</v>
          </cell>
          <cell r="CS24">
            <v>0.10307864807900002</v>
          </cell>
          <cell r="CT24">
            <v>0.17916666666666667</v>
          </cell>
          <cell r="CW24">
            <v>25.215522431924832</v>
          </cell>
        </row>
        <row r="25">
          <cell r="AM25" t="str">
            <v>HID 400W-NR</v>
          </cell>
          <cell r="AN25" t="str">
            <v>Exterior Lighting: Façade</v>
          </cell>
          <cell r="AO25" t="str">
            <v>HID 400W</v>
          </cell>
          <cell r="AP25" t="str">
            <v>NR</v>
          </cell>
          <cell r="AQ25" t="str">
            <v>Exterior Lighting: Façade - HID 400W - NR</v>
          </cell>
          <cell r="AR25" t="str">
            <v>HID 400W</v>
          </cell>
          <cell r="AS25" t="str">
            <v>LED 82W</v>
          </cell>
          <cell r="AT25" t="str">
            <v>Exterior Lighting: Façade - HID 400W to LED 82W - NR</v>
          </cell>
          <cell r="AU25">
            <v>4300</v>
          </cell>
          <cell r="AV25">
            <v>7563</v>
          </cell>
          <cell r="AW25">
            <v>455.66666666666669</v>
          </cell>
          <cell r="AX25">
            <v>81.964285714285708</v>
          </cell>
          <cell r="AY25">
            <v>0.8201222698296583</v>
          </cell>
          <cell r="AZ25">
            <v>1959.3666666666666</v>
          </cell>
          <cell r="BA25">
            <v>352.44642857142856</v>
          </cell>
          <cell r="BB25">
            <v>1606.9202380952379</v>
          </cell>
          <cell r="BC25">
            <v>28.431060000000002</v>
          </cell>
          <cell r="BD25" t="str">
            <v>N/A</v>
          </cell>
          <cell r="BE25">
            <v>276.78352800000005</v>
          </cell>
          <cell r="BF25">
            <v>328.64658006207537</v>
          </cell>
          <cell r="BG25">
            <v>300.21552006207537</v>
          </cell>
          <cell r="BH25">
            <v>16000</v>
          </cell>
          <cell r="BI25">
            <v>70000</v>
          </cell>
          <cell r="BJ25">
            <v>3.7209302325581395</v>
          </cell>
          <cell r="BK25">
            <v>16.279069767441861</v>
          </cell>
          <cell r="BL25">
            <v>8.3333333333333329E-2</v>
          </cell>
          <cell r="BM25">
            <v>0.33</v>
          </cell>
          <cell r="BN25">
            <v>10.833333333333332</v>
          </cell>
          <cell r="BO25">
            <v>42.9</v>
          </cell>
          <cell r="BP25">
            <v>32.066666666666663</v>
          </cell>
          <cell r="BQ25">
            <v>332.28218672874203</v>
          </cell>
          <cell r="BR25">
            <v>28.431060000000002</v>
          </cell>
          <cell r="BS25">
            <v>10.833333333333332</v>
          </cell>
          <cell r="BT25">
            <v>39.264393333333331</v>
          </cell>
          <cell r="BU25">
            <v>3.7209302325581395</v>
          </cell>
          <cell r="BV25" t="str">
            <v>S-All-Lgt-Streetlight-All-All-U</v>
          </cell>
          <cell r="BW25" t="str">
            <v>L</v>
          </cell>
          <cell r="BX25">
            <v>0.88916261620255266</v>
          </cell>
          <cell r="BY25">
            <v>0.72922206304771475</v>
          </cell>
          <cell r="BZ25">
            <v>0.1798777301703417</v>
          </cell>
          <cell r="CA25">
            <v>0.8201222698296583</v>
          </cell>
          <cell r="CB25" t="str">
            <v>Exterior Lighting: Façade - HID 400W</v>
          </cell>
          <cell r="CC25" t="str">
            <v>HID 400W</v>
          </cell>
          <cell r="CD25" t="str">
            <v>NR</v>
          </cell>
          <cell r="CE25" t="str">
            <v>BuildingFacade</v>
          </cell>
          <cell r="CF25" t="str">
            <v>HID</v>
          </cell>
          <cell r="CG25">
            <v>26.479843587764876</v>
          </cell>
          <cell r="CH25">
            <v>0.30927835051546387</v>
          </cell>
          <cell r="CI25">
            <v>8.1896423467314037</v>
          </cell>
          <cell r="CJ25">
            <v>6.7165080704944486</v>
          </cell>
          <cell r="CK25">
            <v>28.880984703126131</v>
          </cell>
          <cell r="CL25">
            <v>5.9720678877064026</v>
          </cell>
          <cell r="CM25">
            <v>0.20678200376803549</v>
          </cell>
          <cell r="CN25">
            <v>0.20678200376803554</v>
          </cell>
          <cell r="CO25">
            <v>1.7972880058664389E-2</v>
          </cell>
          <cell r="CP25">
            <v>1.7972880058664382E-2</v>
          </cell>
          <cell r="CQ25">
            <v>0.15640362659205004</v>
          </cell>
          <cell r="CR25">
            <v>1.7972880058664389E-2</v>
          </cell>
          <cell r="CS25">
            <v>1.7972880058664389E-2</v>
          </cell>
          <cell r="CT25">
            <v>0.26874999999999999</v>
          </cell>
          <cell r="CW25">
            <v>10.87982300460231</v>
          </cell>
        </row>
        <row r="26">
          <cell r="AM26" t="str">
            <v>HID 150W-Retro</v>
          </cell>
          <cell r="AN26" t="str">
            <v>Exterior Lighting: Façade</v>
          </cell>
          <cell r="AO26" t="str">
            <v>HID 150W</v>
          </cell>
          <cell r="AP26" t="str">
            <v>Retro</v>
          </cell>
          <cell r="AQ26" t="str">
            <v>Exterior Lighting: Façade - HID 150W - Retro</v>
          </cell>
          <cell r="AR26" t="str">
            <v>HID 150W</v>
          </cell>
          <cell r="AS26" t="str">
            <v>LED 27W</v>
          </cell>
          <cell r="AT26" t="str">
            <v>Exterior Lighting: Façade - HID 150W to LED 27W - Retro</v>
          </cell>
          <cell r="AU26">
            <v>4300</v>
          </cell>
          <cell r="AV26">
            <v>2608</v>
          </cell>
          <cell r="AW26">
            <v>178.25</v>
          </cell>
          <cell r="AX26">
            <v>27.234693877551017</v>
          </cell>
          <cell r="AY26">
            <v>0.84721069353407563</v>
          </cell>
          <cell r="AZ26">
            <v>766.47499999999991</v>
          </cell>
          <cell r="BA26">
            <v>117.10918367346936</v>
          </cell>
          <cell r="BB26">
            <v>649.36581632653053</v>
          </cell>
          <cell r="BC26">
            <v>30.999173333333335</v>
          </cell>
          <cell r="BD26" t="str">
            <v>N/A</v>
          </cell>
          <cell r="BE26">
            <v>178.58874399999999</v>
          </cell>
          <cell r="BF26">
            <v>185.89070335550872</v>
          </cell>
          <cell r="BG26">
            <v>185.89070335550872</v>
          </cell>
          <cell r="BH26">
            <v>24000</v>
          </cell>
          <cell r="BI26">
            <v>70000</v>
          </cell>
          <cell r="BJ26">
            <v>5.5813953488372094</v>
          </cell>
          <cell r="BK26">
            <v>16.279069767441861</v>
          </cell>
          <cell r="BL26">
            <v>8.3333333333333329E-2</v>
          </cell>
          <cell r="BM26">
            <v>0.33</v>
          </cell>
          <cell r="BN26">
            <v>10.833333333333332</v>
          </cell>
          <cell r="BO26">
            <v>42.9</v>
          </cell>
          <cell r="BP26">
            <v>42.9</v>
          </cell>
          <cell r="BQ26">
            <v>228.79070335550873</v>
          </cell>
          <cell r="BR26">
            <v>30.999173333333335</v>
          </cell>
          <cell r="BS26">
            <v>10.833333333333332</v>
          </cell>
          <cell r="BT26">
            <v>41.832506666666667</v>
          </cell>
          <cell r="BU26">
            <v>5.5813953488372094</v>
          </cell>
          <cell r="BV26" t="str">
            <v>S-All-Lgt-Streetlight-All-All-U</v>
          </cell>
          <cell r="BW26" t="str">
            <v>R</v>
          </cell>
          <cell r="BX26">
            <v>1.5150166511598266</v>
          </cell>
          <cell r="BY26">
            <v>1.2835383077447895</v>
          </cell>
          <cell r="BZ26">
            <v>0.15278930646592437</v>
          </cell>
          <cell r="CA26">
            <v>0.84721069353407563</v>
          </cell>
          <cell r="CB26" t="str">
            <v>Exterior Lighting: Façade - HID 150W</v>
          </cell>
          <cell r="CC26" t="str">
            <v>HID 150W</v>
          </cell>
          <cell r="CD26" t="str">
            <v>Retro</v>
          </cell>
          <cell r="CE26" t="str">
            <v>BuildingFacade</v>
          </cell>
          <cell r="CF26" t="str">
            <v>HID</v>
          </cell>
          <cell r="CG26">
            <v>26.479843587764876</v>
          </cell>
          <cell r="CH26">
            <v>0.69387755102040827</v>
          </cell>
          <cell r="CI26">
            <v>18.373769020081753</v>
          </cell>
          <cell r="CJ26">
            <v>15.566453594338375</v>
          </cell>
          <cell r="CK26">
            <v>66.935750455655011</v>
          </cell>
          <cell r="CL26">
            <v>23.583436394929372</v>
          </cell>
          <cell r="CM26">
            <v>0.35232945375809921</v>
          </cell>
          <cell r="CN26">
            <v>0.35232945375809926</v>
          </cell>
          <cell r="CO26">
            <v>0.10307864807900002</v>
          </cell>
          <cell r="CP26">
            <v>0.10307864807900001</v>
          </cell>
          <cell r="CQ26">
            <v>0.15640362659205004</v>
          </cell>
          <cell r="CR26">
            <v>0.10307864807900002</v>
          </cell>
          <cell r="CS26">
            <v>0.10307864807900002</v>
          </cell>
        </row>
        <row r="27">
          <cell r="AM27" t="str">
            <v>HID 400W-Retro</v>
          </cell>
          <cell r="AN27" t="str">
            <v>Exterior Lighting: Façade</v>
          </cell>
          <cell r="AO27" t="str">
            <v>HID 400W</v>
          </cell>
          <cell r="AP27" t="str">
            <v>Retro</v>
          </cell>
          <cell r="AQ27" t="str">
            <v>Exterior Lighting: Façade - HID 400W - Retro</v>
          </cell>
          <cell r="AR27" t="str">
            <v>HID 400W</v>
          </cell>
          <cell r="AS27" t="str">
            <v>LED 82W</v>
          </cell>
          <cell r="AT27" t="str">
            <v>Exterior Lighting: Façade - HID 400W to LED 82W - Retro</v>
          </cell>
          <cell r="AU27">
            <v>4300</v>
          </cell>
          <cell r="AV27">
            <v>7563</v>
          </cell>
          <cell r="AW27">
            <v>455.66666666666669</v>
          </cell>
          <cell r="AX27">
            <v>81.964285714285708</v>
          </cell>
          <cell r="AY27">
            <v>0.8201222698296583</v>
          </cell>
          <cell r="AZ27">
            <v>1959.3666666666666</v>
          </cell>
          <cell r="BA27">
            <v>352.44642857142856</v>
          </cell>
          <cell r="BB27">
            <v>1606.9202380952379</v>
          </cell>
          <cell r="BC27">
            <v>28.431060000000002</v>
          </cell>
          <cell r="BD27" t="str">
            <v>N/A</v>
          </cell>
          <cell r="BE27">
            <v>276.78352800000005</v>
          </cell>
          <cell r="BF27">
            <v>328.64658006207537</v>
          </cell>
          <cell r="BG27">
            <v>328.64658006207537</v>
          </cell>
          <cell r="BH27">
            <v>16000</v>
          </cell>
          <cell r="BI27">
            <v>70000</v>
          </cell>
          <cell r="BJ27">
            <v>3.7209302325581395</v>
          </cell>
          <cell r="BK27">
            <v>16.279069767441861</v>
          </cell>
          <cell r="BL27">
            <v>8.3333333333333329E-2</v>
          </cell>
          <cell r="BM27">
            <v>0.33</v>
          </cell>
          <cell r="BN27">
            <v>10.833333333333332</v>
          </cell>
          <cell r="BO27">
            <v>42.9</v>
          </cell>
          <cell r="BP27">
            <v>42.9</v>
          </cell>
          <cell r="BQ27">
            <v>371.54658006207535</v>
          </cell>
          <cell r="BR27">
            <v>28.431060000000002</v>
          </cell>
          <cell r="BS27">
            <v>10.833333333333332</v>
          </cell>
          <cell r="BT27">
            <v>39.264393333333331</v>
          </cell>
          <cell r="BU27">
            <v>3.7209302325581395</v>
          </cell>
          <cell r="BV27" t="str">
            <v>S-All-Lgt-Streetlight-All-All-U</v>
          </cell>
          <cell r="BW27" t="str">
            <v>R</v>
          </cell>
          <cell r="BX27">
            <v>0.99423123587061035</v>
          </cell>
          <cell r="BY27">
            <v>0.81539117789775128</v>
          </cell>
          <cell r="BZ27">
            <v>0.1798777301703417</v>
          </cell>
          <cell r="CA27">
            <v>0.8201222698296583</v>
          </cell>
          <cell r="CB27" t="str">
            <v>Exterior Lighting: Façade - HID 400W</v>
          </cell>
          <cell r="CC27" t="str">
            <v>HID 400W</v>
          </cell>
          <cell r="CD27" t="str">
            <v>Retro</v>
          </cell>
          <cell r="CE27" t="str">
            <v>BuildingFacade</v>
          </cell>
          <cell r="CF27" t="str">
            <v>HID</v>
          </cell>
          <cell r="CG27">
            <v>26.479843587764876</v>
          </cell>
          <cell r="CH27">
            <v>0.30927835051546387</v>
          </cell>
          <cell r="CI27">
            <v>8.1896423467314037</v>
          </cell>
          <cell r="CJ27">
            <v>6.7165080704944486</v>
          </cell>
          <cell r="CK27">
            <v>28.880984703126131</v>
          </cell>
          <cell r="CL27">
            <v>6.6777621196626242</v>
          </cell>
          <cell r="CM27">
            <v>0.23121656648153727</v>
          </cell>
          <cell r="CN27">
            <v>0.23121656648153732</v>
          </cell>
          <cell r="CO27">
            <v>1.7972880058664389E-2</v>
          </cell>
          <cell r="CP27">
            <v>1.7972880058664386E-2</v>
          </cell>
          <cell r="CQ27">
            <v>0.15640362659205004</v>
          </cell>
          <cell r="CR27">
            <v>1.7972880058664389E-2</v>
          </cell>
          <cell r="CS27">
            <v>1.7972880058664389E-2</v>
          </cell>
        </row>
        <row r="28">
          <cell r="AM28" t="str">
            <v>HID 150W-New</v>
          </cell>
          <cell r="AN28" t="str">
            <v>Exterior Lighting: Walkway</v>
          </cell>
          <cell r="AO28" t="str">
            <v>HID 150W</v>
          </cell>
          <cell r="AP28" t="str">
            <v>New</v>
          </cell>
          <cell r="AQ28" t="str">
            <v>Exterior Lighting: Walkway - HID 150W - New</v>
          </cell>
          <cell r="AR28" t="str">
            <v>HID 150W</v>
          </cell>
          <cell r="AS28" t="str">
            <v>LED 28W</v>
          </cell>
          <cell r="AT28" t="str">
            <v>Exterior Lighting: Walkway - HID 150W to LED 28W - New</v>
          </cell>
          <cell r="AU28">
            <v>4300</v>
          </cell>
          <cell r="AV28">
            <v>2911.8333333333335</v>
          </cell>
          <cell r="AW28">
            <v>178.25</v>
          </cell>
          <cell r="AX28">
            <v>27.581632653061224</v>
          </cell>
          <cell r="AY28">
            <v>0.84526433294215297</v>
          </cell>
          <cell r="AZ28">
            <v>766.47499999999991</v>
          </cell>
          <cell r="BA28">
            <v>118.60102040816327</v>
          </cell>
          <cell r="BB28">
            <v>647.87397959183659</v>
          </cell>
          <cell r="BC28">
            <v>30.999173333333335</v>
          </cell>
          <cell r="BD28" t="str">
            <v>N/A</v>
          </cell>
          <cell r="BE28">
            <v>178.58874399999999</v>
          </cell>
          <cell r="BF28">
            <v>185.259506250687</v>
          </cell>
          <cell r="BG28">
            <v>6.6707622506870052</v>
          </cell>
          <cell r="BH28">
            <v>24000</v>
          </cell>
          <cell r="BI28">
            <v>70000</v>
          </cell>
          <cell r="BJ28">
            <v>5.5813953488372094</v>
          </cell>
          <cell r="BK28">
            <v>16.279069767441861</v>
          </cell>
          <cell r="BL28">
            <v>8.3333333333333329E-2</v>
          </cell>
          <cell r="BM28">
            <v>0.25</v>
          </cell>
          <cell r="BN28">
            <v>8.3333333333333321</v>
          </cell>
          <cell r="BO28">
            <v>25</v>
          </cell>
          <cell r="BP28">
            <v>0</v>
          </cell>
          <cell r="BQ28">
            <v>6.6707622506870052</v>
          </cell>
          <cell r="BR28">
            <v>30.999173333333335</v>
          </cell>
          <cell r="BS28">
            <v>8.3333333333333321</v>
          </cell>
          <cell r="BT28">
            <v>39.332506666666667</v>
          </cell>
          <cell r="BU28">
            <v>5.5813953488372094</v>
          </cell>
          <cell r="BV28" t="str">
            <v>S-All-Lgt-Streetlight-All-All-U</v>
          </cell>
          <cell r="BW28" t="str">
            <v>L</v>
          </cell>
          <cell r="BX28">
            <v>4.4274470933414148E-2</v>
          </cell>
          <cell r="BY28">
            <v>3.742363113989905E-2</v>
          </cell>
          <cell r="BZ28">
            <v>0.15473566705784697</v>
          </cell>
          <cell r="CA28">
            <v>0.84526433294215297</v>
          </cell>
          <cell r="CB28" t="str">
            <v>Exterior Lighting: Walkway - HID 150W</v>
          </cell>
          <cell r="CC28" t="str">
            <v>HID 150W</v>
          </cell>
          <cell r="CD28" t="str">
            <v>New</v>
          </cell>
          <cell r="CE28" t="str">
            <v>Walkway/Area</v>
          </cell>
          <cell r="CF28" t="str">
            <v>HID</v>
          </cell>
          <cell r="CG28">
            <v>20.017342078658384</v>
          </cell>
          <cell r="CH28">
            <v>0.67010309278350511</v>
          </cell>
          <cell r="CI28">
            <v>13.413682836214379</v>
          </cell>
          <cell r="CJ28">
            <v>11.338107674850354</v>
          </cell>
          <cell r="CK28">
            <v>48.753863001856523</v>
          </cell>
          <cell r="CL28">
            <v>0.50198871869008188</v>
          </cell>
          <cell r="CM28">
            <v>1.0296388589166081E-2</v>
          </cell>
          <cell r="CN28">
            <v>1.0296388589166082E-2</v>
          </cell>
          <cell r="CO28">
            <v>7.5252077622521077E-2</v>
          </cell>
          <cell r="CP28">
            <v>7.5252077622521077E-2</v>
          </cell>
          <cell r="CQ28">
            <v>0.11823275637785145</v>
          </cell>
          <cell r="CR28">
            <v>7.5252077622521077E-2</v>
          </cell>
          <cell r="CS28">
            <v>7.5252077622521077E-2</v>
          </cell>
        </row>
        <row r="29">
          <cell r="AM29" t="str">
            <v>CFL 26W-New</v>
          </cell>
          <cell r="AN29" t="str">
            <v>Exterior Lighting: Walkway</v>
          </cell>
          <cell r="AO29" t="str">
            <v>CFL 26W</v>
          </cell>
          <cell r="AP29" t="str">
            <v>New</v>
          </cell>
          <cell r="AQ29" t="str">
            <v>Exterior Lighting: Walkway - CFL 26W - New</v>
          </cell>
          <cell r="AR29" t="str">
            <v>CFL 26W</v>
          </cell>
          <cell r="AS29" t="str">
            <v>LED 12W</v>
          </cell>
          <cell r="AT29" t="str">
            <v>Exterior Lighting: Walkway - CFL 26W to LED 12W - New</v>
          </cell>
          <cell r="AU29">
            <v>4300</v>
          </cell>
          <cell r="AV29">
            <v>1000</v>
          </cell>
          <cell r="AW29">
            <v>26</v>
          </cell>
          <cell r="AX29">
            <v>10.133333333333333</v>
          </cell>
          <cell r="AY29">
            <v>0.61025641025641031</v>
          </cell>
          <cell r="AZ29">
            <v>111.8</v>
          </cell>
          <cell r="BA29">
            <v>43.573333333333331</v>
          </cell>
          <cell r="BB29">
            <v>68.226666666666659</v>
          </cell>
          <cell r="BC29">
            <v>1.45017</v>
          </cell>
          <cell r="BD29">
            <v>5.4510599869194873</v>
          </cell>
          <cell r="BE29" t="str">
            <v>Fixture form factors vary widely; see comments at right.</v>
          </cell>
          <cell r="BG29">
            <v>4.0008899869194874</v>
          </cell>
          <cell r="BH29">
            <v>10000</v>
          </cell>
          <cell r="BI29">
            <v>28708</v>
          </cell>
          <cell r="BJ29">
            <v>2.3255813953488373</v>
          </cell>
          <cell r="BK29">
            <v>6.6762790697674417</v>
          </cell>
          <cell r="BL29">
            <v>8.3333333333333329E-2</v>
          </cell>
          <cell r="BM29">
            <v>0.25</v>
          </cell>
          <cell r="BN29">
            <v>8.3333333333333321</v>
          </cell>
          <cell r="BO29">
            <v>25</v>
          </cell>
          <cell r="BP29">
            <v>0</v>
          </cell>
          <cell r="BQ29">
            <v>4.0008899869194874</v>
          </cell>
          <cell r="BR29">
            <v>1.45017</v>
          </cell>
          <cell r="BS29">
            <v>8.3333333333333321</v>
          </cell>
          <cell r="BT29">
            <v>9.7835033333333321</v>
          </cell>
          <cell r="BU29">
            <v>2.3255813953488373</v>
          </cell>
          <cell r="BV29" t="str">
            <v>S-All-Lgt-Streetlight-All-All-U</v>
          </cell>
          <cell r="BW29" t="str">
            <v>L</v>
          </cell>
          <cell r="BX29">
            <v>0.2521569319487072</v>
          </cell>
          <cell r="BY29">
            <v>0.15388038411228797</v>
          </cell>
          <cell r="BZ29">
            <v>0.38974358974358975</v>
          </cell>
          <cell r="CA29">
            <v>0.61025641025641031</v>
          </cell>
          <cell r="CB29" t="str">
            <v>Exterior Lighting: Walkway - CFL 26W</v>
          </cell>
          <cell r="CC29" t="str">
            <v>CFL 26W</v>
          </cell>
          <cell r="CD29" t="str">
            <v>New</v>
          </cell>
          <cell r="CE29" t="str">
            <v>Walkway/Area</v>
          </cell>
          <cell r="CF29" t="str">
            <v>CFL</v>
          </cell>
          <cell r="CG29">
            <v>4.2717310139836036</v>
          </cell>
          <cell r="CH29">
            <v>0.20618556701030927</v>
          </cell>
          <cell r="CI29">
            <v>0.88076928123373266</v>
          </cell>
          <cell r="CJ29">
            <v>0.53749509982981636</v>
          </cell>
          <cell r="CK29">
            <v>2.3112289292682102</v>
          </cell>
          <cell r="CL29">
            <v>0.13553311531055059</v>
          </cell>
          <cell r="CM29">
            <v>5.8641146964815635E-2</v>
          </cell>
          <cell r="CN29">
            <v>5.8641146964815628E-2</v>
          </cell>
          <cell r="CO29">
            <v>3.3875741585912798E-2</v>
          </cell>
          <cell r="CP29">
            <v>3.3875741585912798E-2</v>
          </cell>
          <cell r="CQ29">
            <v>2.523104867286587E-2</v>
          </cell>
          <cell r="CR29">
            <v>3.3875741585912798E-2</v>
          </cell>
          <cell r="CS29">
            <v>3.3875741585912798E-2</v>
          </cell>
        </row>
        <row r="30">
          <cell r="AM30" t="str">
            <v>INC 75W-New</v>
          </cell>
          <cell r="AN30" t="str">
            <v>Exterior Lighting: Walkway</v>
          </cell>
          <cell r="AO30" t="str">
            <v>INC 75W</v>
          </cell>
          <cell r="AP30" t="str">
            <v>New</v>
          </cell>
          <cell r="AQ30" t="str">
            <v>Exterior Lighting: Walkway - INC 75W - New</v>
          </cell>
          <cell r="AR30" t="str">
            <v>INC 75W</v>
          </cell>
          <cell r="AS30" t="str">
            <v>LED 12W</v>
          </cell>
          <cell r="AT30" t="str">
            <v>Exterior Lighting: Walkway - INC 75W to LED 12W - New</v>
          </cell>
          <cell r="AU30">
            <v>4300</v>
          </cell>
          <cell r="AV30">
            <v>1000</v>
          </cell>
          <cell r="AW30">
            <v>75</v>
          </cell>
          <cell r="AX30">
            <v>10.133333333333333</v>
          </cell>
          <cell r="AY30">
            <v>0.86488888888888904</v>
          </cell>
          <cell r="AZ30">
            <v>322.5</v>
          </cell>
          <cell r="BA30">
            <v>43.573333333333331</v>
          </cell>
          <cell r="BB30">
            <v>278.92666666666668</v>
          </cell>
          <cell r="BC30">
            <v>0.67205999999999988</v>
          </cell>
          <cell r="BD30">
            <v>5.4510599869194873</v>
          </cell>
          <cell r="BG30">
            <v>4.7789999869194872</v>
          </cell>
          <cell r="BH30">
            <v>1000</v>
          </cell>
          <cell r="BI30">
            <v>28708</v>
          </cell>
          <cell r="BJ30">
            <v>0.23255813953488372</v>
          </cell>
          <cell r="BK30">
            <v>6.6762790697674417</v>
          </cell>
          <cell r="BL30">
            <v>8.3333333333333329E-2</v>
          </cell>
          <cell r="BM30">
            <v>0.25</v>
          </cell>
          <cell r="BN30">
            <v>8.3333333333333321</v>
          </cell>
          <cell r="BO30">
            <v>25</v>
          </cell>
          <cell r="BP30">
            <v>0</v>
          </cell>
          <cell r="BQ30">
            <v>4.7789999869194872</v>
          </cell>
          <cell r="BR30">
            <v>0.67205999999999988</v>
          </cell>
          <cell r="BS30">
            <v>8.3333333333333321</v>
          </cell>
          <cell r="BT30">
            <v>9.0053933333333323</v>
          </cell>
          <cell r="BU30">
            <v>0.23255813953488372</v>
          </cell>
          <cell r="BV30" t="str">
            <v>S-All-Lgt-Streetlight-All-All-U</v>
          </cell>
          <cell r="BW30" t="str">
            <v>L</v>
          </cell>
          <cell r="BX30">
            <v>7.367420329269507E-2</v>
          </cell>
          <cell r="BY30">
            <v>6.3719999825593163E-2</v>
          </cell>
          <cell r="BZ30">
            <v>0.1351111111111111</v>
          </cell>
          <cell r="CA30">
            <v>0.86488888888888904</v>
          </cell>
          <cell r="CB30" t="str">
            <v>Exterior Lighting: Walkway - INC 75W</v>
          </cell>
          <cell r="CC30" t="str">
            <v>INC 75W</v>
          </cell>
          <cell r="CD30" t="str">
            <v>New</v>
          </cell>
          <cell r="CE30" t="str">
            <v>Walkway/Area</v>
          </cell>
          <cell r="CF30" t="str">
            <v>Incandescent</v>
          </cell>
          <cell r="CG30">
            <v>3.7289401276903824</v>
          </cell>
          <cell r="CH30">
            <v>0.12371134020618556</v>
          </cell>
          <cell r="CI30">
            <v>0.46131218074520192</v>
          </cell>
          <cell r="CJ30">
            <v>0.39898377943562802</v>
          </cell>
          <cell r="CK30">
            <v>1.7156302515732005</v>
          </cell>
          <cell r="CL30">
            <v>2.9394812076628269E-2</v>
          </cell>
          <cell r="CM30">
            <v>1.7133535649463971E-2</v>
          </cell>
          <cell r="CN30">
            <v>1.7133535649463971E-2</v>
          </cell>
          <cell r="CO30">
            <v>6.150829076602693E-3</v>
          </cell>
          <cell r="CP30">
            <v>6.1508290766026921E-3</v>
          </cell>
          <cell r="CQ30">
            <v>2.2025045479682405E-2</v>
          </cell>
          <cell r="CR30">
            <v>6.150829076602693E-3</v>
          </cell>
          <cell r="CS30">
            <v>6.150829076602693E-3</v>
          </cell>
        </row>
        <row r="31">
          <cell r="AM31" t="str">
            <v>HID 150W-NR</v>
          </cell>
          <cell r="AN31" t="str">
            <v>Exterior Lighting: Walkway</v>
          </cell>
          <cell r="AO31" t="str">
            <v>HID 150W</v>
          </cell>
          <cell r="AP31" t="str">
            <v>NR</v>
          </cell>
          <cell r="AQ31" t="str">
            <v>Exterior Lighting: Walkway - HID 150W - NR</v>
          </cell>
          <cell r="AR31" t="str">
            <v>HID 150W</v>
          </cell>
          <cell r="AS31" t="str">
            <v>LED 29W</v>
          </cell>
          <cell r="AT31" t="str">
            <v>Exterior Lighting: Walkway - HID 150W to LED 29W - NR</v>
          </cell>
          <cell r="AU31">
            <v>4300</v>
          </cell>
          <cell r="AV31">
            <v>3355.916666666667</v>
          </cell>
          <cell r="AW31">
            <v>178.25</v>
          </cell>
          <cell r="AX31">
            <v>29.374149659863942</v>
          </cell>
          <cell r="AY31">
            <v>0.83520813655055293</v>
          </cell>
          <cell r="AZ31">
            <v>766.47499999999991</v>
          </cell>
          <cell r="BA31">
            <v>126.30884353741496</v>
          </cell>
          <cell r="BB31">
            <v>640.16615646258492</v>
          </cell>
          <cell r="BC31">
            <v>30.999173333333335</v>
          </cell>
          <cell r="BD31">
            <v>125.15165086401556</v>
          </cell>
          <cell r="BE31">
            <v>178.58874399999999</v>
          </cell>
          <cell r="BF31">
            <v>185.259506250687</v>
          </cell>
          <cell r="BG31">
            <v>154.26033291735365</v>
          </cell>
          <cell r="BH31">
            <v>24000</v>
          </cell>
          <cell r="BI31">
            <v>60000</v>
          </cell>
          <cell r="BJ31">
            <v>5.5813953488372094</v>
          </cell>
          <cell r="BK31">
            <v>13.953488372093023</v>
          </cell>
          <cell r="BL31">
            <v>8.3333333333333329E-2</v>
          </cell>
          <cell r="BM31">
            <v>0.25</v>
          </cell>
          <cell r="BN31">
            <v>8.3333333333333321</v>
          </cell>
          <cell r="BO31">
            <v>25</v>
          </cell>
          <cell r="BP31">
            <v>0</v>
          </cell>
          <cell r="BQ31">
            <v>154.26033291735365</v>
          </cell>
          <cell r="BR31">
            <v>30.999173333333335</v>
          </cell>
          <cell r="BS31">
            <v>8.3333333333333321</v>
          </cell>
          <cell r="BT31">
            <v>39.332506666666667</v>
          </cell>
          <cell r="BU31">
            <v>5.5813953488372094</v>
          </cell>
          <cell r="BV31" t="str">
            <v>S-All-Lgt-Streetlight-All-All-U</v>
          </cell>
          <cell r="BW31" t="str">
            <v>L</v>
          </cell>
          <cell r="BX31">
            <v>1.0361676025017872</v>
          </cell>
          <cell r="BY31">
            <v>0.86541561243957166</v>
          </cell>
          <cell r="BZ31">
            <v>0.16479186344944707</v>
          </cell>
          <cell r="CA31">
            <v>0.83520813655055293</v>
          </cell>
          <cell r="CB31" t="str">
            <v>Exterior Lighting: Walkway - HID 150W</v>
          </cell>
          <cell r="CC31" t="str">
            <v>HID 150W</v>
          </cell>
          <cell r="CD31" t="str">
            <v>NR</v>
          </cell>
          <cell r="CE31" t="str">
            <v>Walkway/Area</v>
          </cell>
          <cell r="CF31" t="str">
            <v>HID</v>
          </cell>
          <cell r="CG31">
            <v>20.017342078658384</v>
          </cell>
          <cell r="CH31">
            <v>0.67010309278350511</v>
          </cell>
          <cell r="CI31">
            <v>13.413682836214379</v>
          </cell>
          <cell r="CJ31">
            <v>11.203217045914748</v>
          </cell>
          <cell r="CK31">
            <v>48.173833297433418</v>
          </cell>
          <cell r="CL31">
            <v>11.608410546772639</v>
          </cell>
          <cell r="CM31">
            <v>0.24096920988413653</v>
          </cell>
          <cell r="CN31">
            <v>0.24096920988413659</v>
          </cell>
          <cell r="CO31">
            <v>7.5252077622521091E-2</v>
          </cell>
          <cell r="CP31">
            <v>7.5252077622521063E-2</v>
          </cell>
          <cell r="CQ31">
            <v>0.11823275637785145</v>
          </cell>
          <cell r="CR31">
            <v>7.5252077622521091E-2</v>
          </cell>
          <cell r="CS31">
            <v>7.5252077622521091E-2</v>
          </cell>
          <cell r="CT31">
            <v>0.17916666666666667</v>
          </cell>
          <cell r="CW31">
            <v>18.147676927115327</v>
          </cell>
        </row>
        <row r="32">
          <cell r="AM32" t="str">
            <v>CFL 26W-NR</v>
          </cell>
          <cell r="AN32" t="str">
            <v>Exterior Lighting: Walkway</v>
          </cell>
          <cell r="AO32" t="str">
            <v>CFL 26W</v>
          </cell>
          <cell r="AP32" t="str">
            <v>NR</v>
          </cell>
          <cell r="AQ32" t="str">
            <v>Exterior Lighting: Walkway - CFL 26W - NR</v>
          </cell>
          <cell r="AR32" t="str">
            <v>CFL 26W</v>
          </cell>
          <cell r="AS32" t="str">
            <v>LED 12W</v>
          </cell>
          <cell r="AT32" t="str">
            <v>Exterior Lighting: Walkway - CFL 26W to LED 12W - NR</v>
          </cell>
          <cell r="AU32">
            <v>4300</v>
          </cell>
          <cell r="AV32">
            <v>1000</v>
          </cell>
          <cell r="AW32">
            <v>26</v>
          </cell>
          <cell r="AX32">
            <v>10.133333333333333</v>
          </cell>
          <cell r="AY32">
            <v>0.61025641025641031</v>
          </cell>
          <cell r="AZ32">
            <v>111.8</v>
          </cell>
          <cell r="BA32">
            <v>43.573333333333331</v>
          </cell>
          <cell r="BB32">
            <v>68.226666666666659</v>
          </cell>
          <cell r="BC32">
            <v>1.45017</v>
          </cell>
          <cell r="BD32">
            <v>5.4510599869194873</v>
          </cell>
          <cell r="BE32" t="str">
            <v>Fixture form factors vary widely; see comments at right.</v>
          </cell>
          <cell r="BG32">
            <v>4.0008899869194874</v>
          </cell>
          <cell r="BH32">
            <v>10000</v>
          </cell>
          <cell r="BI32">
            <v>28708</v>
          </cell>
          <cell r="BJ32">
            <v>2.3255813953488373</v>
          </cell>
          <cell r="BK32">
            <v>6.6762790697674417</v>
          </cell>
          <cell r="BL32">
            <v>8.3333333333333329E-2</v>
          </cell>
          <cell r="BM32">
            <v>0.25</v>
          </cell>
          <cell r="BN32">
            <v>8.3333333333333321</v>
          </cell>
          <cell r="BO32">
            <v>25</v>
          </cell>
          <cell r="BP32">
            <v>0</v>
          </cell>
          <cell r="BQ32">
            <v>4.0008899869194874</v>
          </cell>
          <cell r="BR32">
            <v>1.45017</v>
          </cell>
          <cell r="BS32">
            <v>8.3333333333333321</v>
          </cell>
          <cell r="BT32">
            <v>9.7835033333333321</v>
          </cell>
          <cell r="BU32">
            <v>2.3255813953488373</v>
          </cell>
          <cell r="BV32" t="str">
            <v>S-All-Lgt-Streetlight-All-All-U</v>
          </cell>
          <cell r="BW32" t="str">
            <v>L</v>
          </cell>
          <cell r="BX32">
            <v>0.2521569319487072</v>
          </cell>
          <cell r="BY32">
            <v>0.15388038411228797</v>
          </cell>
          <cell r="BZ32">
            <v>0.38974358974358975</v>
          </cell>
          <cell r="CA32">
            <v>0.61025641025641031</v>
          </cell>
          <cell r="CB32" t="str">
            <v>Exterior Lighting: Walkway - CFL 26W</v>
          </cell>
          <cell r="CC32" t="str">
            <v>CFL 26W</v>
          </cell>
          <cell r="CD32" t="str">
            <v>NR</v>
          </cell>
          <cell r="CE32" t="str">
            <v>Walkway/Area</v>
          </cell>
          <cell r="CF32" t="str">
            <v>CFL</v>
          </cell>
          <cell r="CG32">
            <v>4.2717310139836036</v>
          </cell>
          <cell r="CH32">
            <v>0.20618556701030927</v>
          </cell>
          <cell r="CI32">
            <v>0.88076928123373266</v>
          </cell>
          <cell r="CJ32">
            <v>0.53749509982981636</v>
          </cell>
          <cell r="CK32">
            <v>2.3112289292682102</v>
          </cell>
          <cell r="CL32">
            <v>0.13553311531055059</v>
          </cell>
          <cell r="CM32">
            <v>5.8641146964815635E-2</v>
          </cell>
          <cell r="CN32">
            <v>5.8641146964815628E-2</v>
          </cell>
          <cell r="CO32">
            <v>3.3875741585912798E-2</v>
          </cell>
          <cell r="CP32">
            <v>3.3875741585912798E-2</v>
          </cell>
          <cell r="CQ32">
            <v>2.523104867286587E-2</v>
          </cell>
          <cell r="CR32">
            <v>3.3875741585912798E-2</v>
          </cell>
          <cell r="CS32">
            <v>3.3875741585912798E-2</v>
          </cell>
          <cell r="CT32">
            <v>0.17916666666666667</v>
          </cell>
          <cell r="CW32">
            <v>0.87066843225857238</v>
          </cell>
        </row>
        <row r="33">
          <cell r="AM33" t="str">
            <v>INC 75W-NR</v>
          </cell>
          <cell r="AN33" t="str">
            <v>Exterior Lighting: Walkway</v>
          </cell>
          <cell r="AO33" t="str">
            <v>INC 75W</v>
          </cell>
          <cell r="AP33" t="str">
            <v>NR</v>
          </cell>
          <cell r="AQ33" t="str">
            <v>Exterior Lighting: Walkway - INC 75W - NR</v>
          </cell>
          <cell r="AR33" t="str">
            <v>INC 75W</v>
          </cell>
          <cell r="AS33" t="str">
            <v>LED 12W</v>
          </cell>
          <cell r="AT33" t="str">
            <v>Exterior Lighting: Walkway - INC 75W to LED 12W - NR</v>
          </cell>
          <cell r="AU33">
            <v>4300</v>
          </cell>
          <cell r="AV33">
            <v>1000</v>
          </cell>
          <cell r="AW33">
            <v>75</v>
          </cell>
          <cell r="AX33">
            <v>10.133333333333333</v>
          </cell>
          <cell r="AY33">
            <v>0.86488888888888904</v>
          </cell>
          <cell r="AZ33">
            <v>322.5</v>
          </cell>
          <cell r="BA33">
            <v>43.573333333333331</v>
          </cell>
          <cell r="BB33">
            <v>278.92666666666668</v>
          </cell>
          <cell r="BC33">
            <v>0.67205999999999988</v>
          </cell>
          <cell r="BD33">
            <v>5.4510599869194873</v>
          </cell>
          <cell r="BG33">
            <v>4.7789999869194872</v>
          </cell>
          <cell r="BH33">
            <v>1000</v>
          </cell>
          <cell r="BI33">
            <v>28708</v>
          </cell>
          <cell r="BJ33">
            <v>0.23255813953488372</v>
          </cell>
          <cell r="BK33">
            <v>6.6762790697674417</v>
          </cell>
          <cell r="BL33">
            <v>8.3333333333333329E-2</v>
          </cell>
          <cell r="BM33">
            <v>0.25</v>
          </cell>
          <cell r="BN33">
            <v>8.3333333333333321</v>
          </cell>
          <cell r="BO33">
            <v>25</v>
          </cell>
          <cell r="BP33">
            <v>0</v>
          </cell>
          <cell r="BQ33">
            <v>4.7789999869194872</v>
          </cell>
          <cell r="BR33">
            <v>0.67205999999999988</v>
          </cell>
          <cell r="BS33">
            <v>8.3333333333333321</v>
          </cell>
          <cell r="BT33">
            <v>9.0053933333333323</v>
          </cell>
          <cell r="BU33">
            <v>0.23255813953488372</v>
          </cell>
          <cell r="BV33" t="str">
            <v>S-All-Lgt-Streetlight-All-All-U</v>
          </cell>
          <cell r="BW33" t="str">
            <v>L</v>
          </cell>
          <cell r="BX33">
            <v>7.367420329269507E-2</v>
          </cell>
          <cell r="BY33">
            <v>6.3719999825593163E-2</v>
          </cell>
          <cell r="BZ33">
            <v>0.1351111111111111</v>
          </cell>
          <cell r="CA33">
            <v>0.86488888888888904</v>
          </cell>
          <cell r="CB33" t="str">
            <v>Exterior Lighting: Walkway - INC 75W</v>
          </cell>
          <cell r="CC33" t="str">
            <v>INC 75W</v>
          </cell>
          <cell r="CD33" t="str">
            <v>NR</v>
          </cell>
          <cell r="CE33" t="str">
            <v>Walkway/Area</v>
          </cell>
          <cell r="CF33" t="str">
            <v>Incandescent</v>
          </cell>
          <cell r="CG33">
            <v>3.7289401276903824</v>
          </cell>
          <cell r="CH33">
            <v>0.12371134020618556</v>
          </cell>
          <cell r="CI33">
            <v>0.46131218074520192</v>
          </cell>
          <cell r="CJ33">
            <v>0.39898377943562802</v>
          </cell>
          <cell r="CK33">
            <v>1.7156302515732005</v>
          </cell>
          <cell r="CL33">
            <v>2.9394812076628269E-2</v>
          </cell>
          <cell r="CM33">
            <v>1.7133535649463971E-2</v>
          </cell>
          <cell r="CN33">
            <v>1.7133535649463971E-2</v>
          </cell>
          <cell r="CO33">
            <v>6.150829076602693E-3</v>
          </cell>
          <cell r="CP33">
            <v>6.1508290766026921E-3</v>
          </cell>
          <cell r="CQ33">
            <v>2.2025045479682405E-2</v>
          </cell>
          <cell r="CR33">
            <v>6.150829076602693E-3</v>
          </cell>
          <cell r="CS33">
            <v>6.150829076602693E-3</v>
          </cell>
          <cell r="CT33">
            <v>1</v>
          </cell>
          <cell r="CW33">
            <v>0.64629906737346599</v>
          </cell>
        </row>
        <row r="34">
          <cell r="AM34" t="str">
            <v>HID 150W-Retro</v>
          </cell>
          <cell r="AN34" t="str">
            <v>Exterior Lighting: Walkway</v>
          </cell>
          <cell r="AO34" t="str">
            <v>HID 150W</v>
          </cell>
          <cell r="AP34" t="str">
            <v>Retro</v>
          </cell>
          <cell r="AQ34" t="str">
            <v>Exterior Lighting: Walkway - HID 150W - Retro</v>
          </cell>
          <cell r="AR34" t="str">
            <v>HID 150W</v>
          </cell>
          <cell r="AS34" t="str">
            <v>LED 29W</v>
          </cell>
          <cell r="AT34" t="str">
            <v>Exterior Lighting: Walkway - HID 150W to LED 29W - Retro</v>
          </cell>
          <cell r="AU34">
            <v>4300</v>
          </cell>
          <cell r="AV34">
            <v>3355.916666666667</v>
          </cell>
          <cell r="AW34">
            <v>178.25</v>
          </cell>
          <cell r="AX34">
            <v>29.374149659863942</v>
          </cell>
          <cell r="AY34">
            <v>0.83520813655055293</v>
          </cell>
          <cell r="AZ34">
            <v>766.47499999999991</v>
          </cell>
          <cell r="BA34">
            <v>126.30884353741496</v>
          </cell>
          <cell r="BB34">
            <v>640.16615646258492</v>
          </cell>
          <cell r="BC34">
            <v>30.999173333333335</v>
          </cell>
          <cell r="BD34">
            <v>125.15165086401556</v>
          </cell>
          <cell r="BE34">
            <v>178.58874399999999</v>
          </cell>
          <cell r="BF34">
            <v>185.259506250687</v>
          </cell>
          <cell r="BG34">
            <v>185.259506250687</v>
          </cell>
          <cell r="BH34">
            <v>24000</v>
          </cell>
          <cell r="BI34">
            <v>60000</v>
          </cell>
          <cell r="BJ34">
            <v>5.5813953488372094</v>
          </cell>
          <cell r="BK34">
            <v>13.953488372093023</v>
          </cell>
          <cell r="BL34">
            <v>8.3333333333333329E-2</v>
          </cell>
          <cell r="BM34">
            <v>0.25</v>
          </cell>
          <cell r="BN34">
            <v>8.3333333333333321</v>
          </cell>
          <cell r="BO34">
            <v>25</v>
          </cell>
          <cell r="BP34">
            <v>25</v>
          </cell>
          <cell r="BQ34">
            <v>210.259506250687</v>
          </cell>
          <cell r="BR34">
            <v>30.999173333333335</v>
          </cell>
          <cell r="BS34">
            <v>8.3333333333333321</v>
          </cell>
          <cell r="BT34">
            <v>39.332506666666667</v>
          </cell>
          <cell r="BU34">
            <v>5.5813953488372094</v>
          </cell>
          <cell r="BV34" t="str">
            <v>S-All-Lgt-Streetlight-All-All-U</v>
          </cell>
          <cell r="BW34" t="str">
            <v>R</v>
          </cell>
          <cell r="BX34">
            <v>1.4123143933036013</v>
          </cell>
          <cell r="BY34">
            <v>1.1795764726546254</v>
          </cell>
          <cell r="BZ34">
            <v>0.16479186344944707</v>
          </cell>
          <cell r="CA34">
            <v>0.83520813655055293</v>
          </cell>
          <cell r="CB34" t="str">
            <v>Exterior Lighting: Walkway - HID 150W</v>
          </cell>
          <cell r="CC34" t="str">
            <v>HID 150W</v>
          </cell>
          <cell r="CD34" t="str">
            <v>Retro</v>
          </cell>
          <cell r="CE34" t="str">
            <v>Walkway/Area</v>
          </cell>
          <cell r="CF34" t="str">
            <v>HID</v>
          </cell>
          <cell r="CG34">
            <v>20.017342078658384</v>
          </cell>
          <cell r="CH34">
            <v>0.67010309278350511</v>
          </cell>
          <cell r="CI34">
            <v>13.413682836214379</v>
          </cell>
          <cell r="CJ34">
            <v>11.203217045914748</v>
          </cell>
          <cell r="CK34">
            <v>48.173833297433418</v>
          </cell>
          <cell r="CL34">
            <v>15.822464685249653</v>
          </cell>
          <cell r="CM34">
            <v>0.32844520774502356</v>
          </cell>
          <cell r="CN34">
            <v>0.32844520774502362</v>
          </cell>
          <cell r="CO34">
            <v>7.5252077622521091E-2</v>
          </cell>
          <cell r="CP34">
            <v>7.5252077622521077E-2</v>
          </cell>
          <cell r="CQ34">
            <v>0.11823275637785145</v>
          </cell>
          <cell r="CR34">
            <v>7.5252077622521091E-2</v>
          </cell>
          <cell r="CS34">
            <v>7.5252077622521091E-2</v>
          </cell>
        </row>
        <row r="35">
          <cell r="AM35" t="str">
            <v>CFL 26W-Retro</v>
          </cell>
          <cell r="AN35" t="str">
            <v>Exterior Lighting: Walkway</v>
          </cell>
          <cell r="AO35" t="str">
            <v>CFL 26W</v>
          </cell>
          <cell r="AP35" t="str">
            <v>Retro</v>
          </cell>
          <cell r="AQ35" t="str">
            <v>Exterior Lighting: Walkway - CFL 26W - Retro</v>
          </cell>
          <cell r="AR35" t="str">
            <v>CFL 26W</v>
          </cell>
          <cell r="AS35" t="str">
            <v>LED 12W</v>
          </cell>
          <cell r="AT35" t="str">
            <v>Exterior Lighting: Walkway - CFL 26W to LED 12W - Retro</v>
          </cell>
          <cell r="AU35">
            <v>4300</v>
          </cell>
          <cell r="AV35">
            <v>1000</v>
          </cell>
          <cell r="AW35">
            <v>26</v>
          </cell>
          <cell r="AX35">
            <v>10.133333333333333</v>
          </cell>
          <cell r="AY35">
            <v>0.61025641025641031</v>
          </cell>
          <cell r="AZ35">
            <v>111.8</v>
          </cell>
          <cell r="BA35">
            <v>43.573333333333331</v>
          </cell>
          <cell r="BB35">
            <v>68.226666666666659</v>
          </cell>
          <cell r="BC35">
            <v>1.45017</v>
          </cell>
          <cell r="BD35">
            <v>5.4510599869194873</v>
          </cell>
          <cell r="BE35" t="str">
            <v>Fixture form factors vary widely; see comments at right.</v>
          </cell>
          <cell r="BG35">
            <v>5.4510599869194873</v>
          </cell>
          <cell r="BH35">
            <v>10000</v>
          </cell>
          <cell r="BI35">
            <v>28708</v>
          </cell>
          <cell r="BJ35">
            <v>2.3255813953488373</v>
          </cell>
          <cell r="BK35">
            <v>6.6762790697674417</v>
          </cell>
          <cell r="BL35">
            <v>8.3333333333333329E-2</v>
          </cell>
          <cell r="BM35">
            <v>0.25</v>
          </cell>
          <cell r="BN35">
            <v>8.3333333333333321</v>
          </cell>
          <cell r="BO35">
            <v>25</v>
          </cell>
          <cell r="BP35">
            <v>25</v>
          </cell>
          <cell r="BQ35">
            <v>30.451059986919489</v>
          </cell>
          <cell r="BR35">
            <v>1.45017</v>
          </cell>
          <cell r="BS35">
            <v>8.3333333333333321</v>
          </cell>
          <cell r="BT35">
            <v>9.7835033333333321</v>
          </cell>
          <cell r="BU35">
            <v>2.3255813953488373</v>
          </cell>
          <cell r="BV35" t="str">
            <v>S-All-Lgt-Streetlight-All-All-U</v>
          </cell>
          <cell r="BW35" t="str">
            <v>R</v>
          </cell>
          <cell r="BX35">
            <v>1.9191844529571107</v>
          </cell>
          <cell r="BY35">
            <v>1.1711946148815189</v>
          </cell>
          <cell r="BZ35">
            <v>0.38974358974358975</v>
          </cell>
          <cell r="CA35">
            <v>0.61025641025641031</v>
          </cell>
          <cell r="CB35" t="str">
            <v>Exterior Lighting: Walkway - CFL 26W</v>
          </cell>
          <cell r="CC35" t="str">
            <v>CFL 26W</v>
          </cell>
          <cell r="CD35" t="str">
            <v>Retro</v>
          </cell>
          <cell r="CE35" t="str">
            <v>Walkway/Area</v>
          </cell>
          <cell r="CF35" t="str">
            <v>CFL</v>
          </cell>
          <cell r="CG35">
            <v>4.2717310139836036</v>
          </cell>
          <cell r="CH35">
            <v>0.20618556701030927</v>
          </cell>
          <cell r="CI35">
            <v>0.88076928123373266</v>
          </cell>
          <cell r="CJ35">
            <v>0.53749509982981636</v>
          </cell>
          <cell r="CK35">
            <v>2.3112289292682102</v>
          </cell>
          <cell r="CL35">
            <v>1.0315522391340137</v>
          </cell>
          <cell r="CM35">
            <v>0.44632196580397926</v>
          </cell>
          <cell r="CN35">
            <v>0.44632196580397926</v>
          </cell>
          <cell r="CO35">
            <v>3.3875741585912798E-2</v>
          </cell>
          <cell r="CP35">
            <v>3.3875741585912798E-2</v>
          </cell>
          <cell r="CQ35">
            <v>2.523104867286587E-2</v>
          </cell>
          <cell r="CR35">
            <v>3.3875741585912798E-2</v>
          </cell>
          <cell r="CS35">
            <v>3.3875741585912798E-2</v>
          </cell>
        </row>
        <row r="36">
          <cell r="AM36" t="str">
            <v>INC 75W-Retro</v>
          </cell>
          <cell r="AN36" t="str">
            <v>Exterior Lighting: Walkway</v>
          </cell>
          <cell r="AO36" t="str">
            <v>INC 75W</v>
          </cell>
          <cell r="AP36" t="str">
            <v>Retro</v>
          </cell>
          <cell r="AQ36" t="str">
            <v>Exterior Lighting: Walkway - INC 75W - Retro</v>
          </cell>
          <cell r="AR36" t="str">
            <v>INC 75W</v>
          </cell>
          <cell r="AS36" t="str">
            <v>LED 12W</v>
          </cell>
          <cell r="AT36" t="str">
            <v>Exterior Lighting: Walkway - INC 75W to LED 12W - Retro</v>
          </cell>
          <cell r="AU36">
            <v>4300</v>
          </cell>
          <cell r="AV36">
            <v>1000</v>
          </cell>
          <cell r="AW36">
            <v>75</v>
          </cell>
          <cell r="AX36">
            <v>10.133333333333333</v>
          </cell>
          <cell r="AY36">
            <v>0.86488888888888904</v>
          </cell>
          <cell r="AZ36">
            <v>322.5</v>
          </cell>
          <cell r="BA36">
            <v>43.573333333333331</v>
          </cell>
          <cell r="BB36">
            <v>278.92666666666668</v>
          </cell>
          <cell r="BC36">
            <v>0.67205999999999988</v>
          </cell>
          <cell r="BD36">
            <v>5.4510599869194873</v>
          </cell>
          <cell r="BG36">
            <v>5.4510599869194873</v>
          </cell>
          <cell r="BH36">
            <v>1000</v>
          </cell>
          <cell r="BI36">
            <v>28708</v>
          </cell>
          <cell r="BJ36">
            <v>0.23255813953488372</v>
          </cell>
          <cell r="BK36">
            <v>6.6762790697674417</v>
          </cell>
          <cell r="BL36">
            <v>8.3333333333333329E-2</v>
          </cell>
          <cell r="BM36">
            <v>0.25</v>
          </cell>
          <cell r="BN36">
            <v>8.3333333333333321</v>
          </cell>
          <cell r="BO36">
            <v>25</v>
          </cell>
          <cell r="BP36">
            <v>25</v>
          </cell>
          <cell r="BQ36">
            <v>30.451059986919489</v>
          </cell>
          <cell r="BR36">
            <v>0.67205999999999988</v>
          </cell>
          <cell r="BS36">
            <v>8.3333333333333321</v>
          </cell>
          <cell r="BT36">
            <v>9.0053933333333323</v>
          </cell>
          <cell r="BU36">
            <v>0.23255813953488372</v>
          </cell>
          <cell r="BV36" t="str">
            <v>S-All-Lgt-Streetlight-All-All-U</v>
          </cell>
          <cell r="BW36" t="str">
            <v>R</v>
          </cell>
          <cell r="BX36">
            <v>0.46944080144274641</v>
          </cell>
          <cell r="BY36">
            <v>0.40601413315892654</v>
          </cell>
          <cell r="BZ36">
            <v>0.1351111111111111</v>
          </cell>
          <cell r="CA36">
            <v>0.86488888888888904</v>
          </cell>
          <cell r="CB36" t="str">
            <v>Exterior Lighting: Walkway - INC 75W</v>
          </cell>
          <cell r="CC36" t="str">
            <v>INC 75W</v>
          </cell>
          <cell r="CD36" t="str">
            <v>Retro</v>
          </cell>
          <cell r="CE36" t="str">
            <v>Walkway/Area</v>
          </cell>
          <cell r="CF36" t="str">
            <v>Incandescent</v>
          </cell>
          <cell r="CG36">
            <v>3.7289401276903824</v>
          </cell>
          <cell r="CH36">
            <v>0.12371134020618556</v>
          </cell>
          <cell r="CI36">
            <v>0.46131218074520192</v>
          </cell>
          <cell r="CJ36">
            <v>0.39898377943562802</v>
          </cell>
          <cell r="CK36">
            <v>1.7156302515732005</v>
          </cell>
          <cell r="CL36">
            <v>0.18729926518091719</v>
          </cell>
          <cell r="CM36">
            <v>0.10917227940528987</v>
          </cell>
          <cell r="CN36">
            <v>0.10917227940528988</v>
          </cell>
          <cell r="CO36">
            <v>6.150829076602693E-3</v>
          </cell>
          <cell r="CP36">
            <v>6.1508290766026921E-3</v>
          </cell>
          <cell r="CQ36">
            <v>2.2025045479682405E-2</v>
          </cell>
          <cell r="CR36">
            <v>6.150829076602693E-3</v>
          </cell>
          <cell r="CS36">
            <v>6.150829076602693E-3</v>
          </cell>
        </row>
      </sheetData>
      <sheetData sheetId="13">
        <row r="10">
          <cell r="A10" t="str">
            <v>HPS 250WParkingLot</v>
          </cell>
          <cell r="B10" t="str">
            <v>Pole Mount</v>
          </cell>
          <cell r="C10" t="str">
            <v>HID</v>
          </cell>
          <cell r="D10">
            <v>250</v>
          </cell>
          <cell r="E10">
            <v>1.5</v>
          </cell>
          <cell r="F10">
            <v>0.33</v>
          </cell>
          <cell r="G10">
            <v>0.7</v>
          </cell>
          <cell r="H10">
            <v>0.77</v>
          </cell>
          <cell r="I10">
            <v>0.7142857142857143</v>
          </cell>
        </row>
        <row r="11">
          <cell r="A11" t="str">
            <v>MH 400WParkingLot</v>
          </cell>
          <cell r="B11" t="str">
            <v>Pole Mount</v>
          </cell>
          <cell r="C11" t="str">
            <v>HID</v>
          </cell>
          <cell r="D11">
            <v>400</v>
          </cell>
          <cell r="E11">
            <v>1.5</v>
          </cell>
          <cell r="F11">
            <v>0.24</v>
          </cell>
          <cell r="G11">
            <v>0.25</v>
          </cell>
          <cell r="H11">
            <v>0.2</v>
          </cell>
          <cell r="I11">
            <v>0.25510204081632654</v>
          </cell>
        </row>
        <row r="12">
          <cell r="A12" t="str">
            <v>MH 1000WParkingLot</v>
          </cell>
          <cell r="B12" t="str">
            <v>Pole Mount</v>
          </cell>
          <cell r="C12" t="str">
            <v>HID</v>
          </cell>
          <cell r="D12">
            <v>1000</v>
          </cell>
          <cell r="E12">
            <v>3.5</v>
          </cell>
          <cell r="F12">
            <v>0.45</v>
          </cell>
          <cell r="G12">
            <v>0.03</v>
          </cell>
          <cell r="H12">
            <v>0.03</v>
          </cell>
          <cell r="I12">
            <v>3.0612244897959183E-2</v>
          </cell>
        </row>
        <row r="13">
          <cell r="B13" t="str">
            <v>Pole Mount</v>
          </cell>
          <cell r="C13" t="str">
            <v>LED</v>
          </cell>
          <cell r="G13">
            <v>0.02</v>
          </cell>
        </row>
        <row r="17">
          <cell r="B17" t="str">
            <v>Façade</v>
          </cell>
        </row>
        <row r="18">
          <cell r="B18" t="str">
            <v>Fixture Type</v>
          </cell>
          <cell r="C18" t="str">
            <v>Lamp Type</v>
          </cell>
          <cell r="D18" t="str">
            <v>Lamp Watts</v>
          </cell>
          <cell r="E18" t="str">
            <v>Lamps per Fixture</v>
          </cell>
          <cell r="F18" t="str">
            <v>Fixtures per KSF Indoor Space</v>
          </cell>
          <cell r="G18" t="str">
            <v>Fraction of Watts</v>
          </cell>
          <cell r="H18" t="str">
            <v>Fraction of Fixtures</v>
          </cell>
          <cell r="I18" t="str">
            <v>Fraction Watts Non-LED</v>
          </cell>
        </row>
        <row r="19">
          <cell r="A19" t="str">
            <v>HID 150WBuildingFacade</v>
          </cell>
          <cell r="B19" t="str">
            <v>Wall Pack</v>
          </cell>
          <cell r="C19" t="str">
            <v>HID</v>
          </cell>
          <cell r="D19">
            <v>150</v>
          </cell>
          <cell r="E19">
            <v>1</v>
          </cell>
          <cell r="F19">
            <v>0.4</v>
          </cell>
          <cell r="G19">
            <v>0.68</v>
          </cell>
          <cell r="I19">
            <v>0.69387755102040827</v>
          </cell>
        </row>
        <row r="20">
          <cell r="A20" t="str">
            <v>HID 400WBuildingFacade</v>
          </cell>
          <cell r="B20" t="str">
            <v>Wall Pack</v>
          </cell>
          <cell r="C20" t="str">
            <v>HID</v>
          </cell>
          <cell r="D20">
            <v>400</v>
          </cell>
          <cell r="E20">
            <v>1</v>
          </cell>
          <cell r="F20">
            <v>0.3</v>
          </cell>
          <cell r="G20">
            <v>0.3</v>
          </cell>
          <cell r="I20">
            <v>0.30927835051546387</v>
          </cell>
        </row>
        <row r="21">
          <cell r="C21" t="str">
            <v>LED</v>
          </cell>
          <cell r="G21">
            <v>0.02</v>
          </cell>
        </row>
        <row r="25">
          <cell r="B25" t="str">
            <v>Walkway</v>
          </cell>
        </row>
        <row r="26">
          <cell r="B26" t="str">
            <v>Fixture Type</v>
          </cell>
          <cell r="C26" t="str">
            <v>Lamp Type</v>
          </cell>
          <cell r="D26" t="str">
            <v>Lamp Watts</v>
          </cell>
          <cell r="E26" t="str">
            <v>Lamps per Fixture</v>
          </cell>
          <cell r="F26" t="str">
            <v>Fixtures per KSF Indoor Space</v>
          </cell>
          <cell r="G26" t="str">
            <v>Fraction of Watts</v>
          </cell>
          <cell r="H26" t="str">
            <v>Fraction of Fixtures</v>
          </cell>
          <cell r="I26" t="str">
            <v>Fraction Watts Non-LED</v>
          </cell>
        </row>
        <row r="27">
          <cell r="A27" t="str">
            <v>HID 150WWalkway/Area</v>
          </cell>
          <cell r="B27" t="str">
            <v>Various</v>
          </cell>
          <cell r="C27" t="str">
            <v>HID</v>
          </cell>
          <cell r="D27">
            <v>150</v>
          </cell>
          <cell r="E27">
            <v>1</v>
          </cell>
          <cell r="F27">
            <v>0.5</v>
          </cell>
          <cell r="G27">
            <v>0.65</v>
          </cell>
          <cell r="I27">
            <v>0.67010309278350511</v>
          </cell>
        </row>
        <row r="28">
          <cell r="A28" t="str">
            <v>CFL 26WWalkway/Area</v>
          </cell>
          <cell r="B28" t="str">
            <v>Various</v>
          </cell>
          <cell r="C28" t="str">
            <v>CFL</v>
          </cell>
          <cell r="D28">
            <v>26</v>
          </cell>
          <cell r="E28">
            <v>1</v>
          </cell>
          <cell r="F28">
            <v>0.5</v>
          </cell>
          <cell r="G28">
            <v>0.2</v>
          </cell>
          <cell r="I28">
            <v>0.20618556701030927</v>
          </cell>
        </row>
        <row r="29">
          <cell r="A29" t="str">
            <v>INC 75WWalkway/Area</v>
          </cell>
          <cell r="B29" t="str">
            <v>Various</v>
          </cell>
          <cell r="C29" t="str">
            <v>INC</v>
          </cell>
          <cell r="D29">
            <v>75</v>
          </cell>
          <cell r="E29">
            <v>1</v>
          </cell>
          <cell r="F29">
            <v>0.5</v>
          </cell>
          <cell r="G29">
            <v>0.12</v>
          </cell>
          <cell r="I29">
            <v>0.12371134020618556</v>
          </cell>
        </row>
        <row r="30">
          <cell r="C30" t="str">
            <v>LED</v>
          </cell>
          <cell r="G30">
            <v>0.03</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oleObject" Target="../embeddings/Microsoft_Office_Word_97_-_2003_Document1.doc"/><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A1:BD6"/>
  <sheetViews>
    <sheetView topLeftCell="P1" workbookViewId="0">
      <selection activeCell="AD26" sqref="AD26"/>
    </sheetView>
  </sheetViews>
  <sheetFormatPr defaultRowHeight="12.75"/>
  <cols>
    <col min="1" max="2" width="21.85546875" customWidth="1"/>
    <col min="3" max="3" width="40.28515625" bestFit="1" customWidth="1"/>
    <col min="4" max="4" width="12.28515625" bestFit="1" customWidth="1"/>
    <col min="5" max="5" width="30.5703125" bestFit="1" customWidth="1"/>
    <col min="6" max="8" width="11.85546875" customWidth="1"/>
    <col min="10" max="10" width="24.7109375" customWidth="1"/>
    <col min="11" max="11" width="9.5703125" bestFit="1" customWidth="1"/>
  </cols>
  <sheetData>
    <row r="1" spans="1:56" ht="15.75" thickBot="1">
      <c r="A1" s="81" t="s">
        <v>204</v>
      </c>
      <c r="B1" s="81" t="s">
        <v>205</v>
      </c>
      <c r="C1" s="81" t="s">
        <v>206</v>
      </c>
      <c r="D1" s="81" t="s">
        <v>207</v>
      </c>
      <c r="E1" s="81" t="s">
        <v>208</v>
      </c>
      <c r="F1" s="81" t="s">
        <v>209</v>
      </c>
      <c r="G1" s="81" t="s">
        <v>210</v>
      </c>
      <c r="H1" s="81" t="s">
        <v>211</v>
      </c>
      <c r="I1" s="81" t="s">
        <v>64</v>
      </c>
      <c r="J1" s="81" t="s">
        <v>65</v>
      </c>
      <c r="K1" s="85">
        <v>2016</v>
      </c>
      <c r="L1" s="109">
        <v>2017</v>
      </c>
      <c r="M1" s="109">
        <v>2018</v>
      </c>
      <c r="N1" s="109">
        <v>2019</v>
      </c>
      <c r="O1" s="109">
        <v>2020</v>
      </c>
      <c r="P1" s="109">
        <v>2021</v>
      </c>
      <c r="Q1" s="109">
        <v>2022</v>
      </c>
      <c r="R1" s="109">
        <v>2023</v>
      </c>
      <c r="S1" s="109">
        <v>2024</v>
      </c>
      <c r="T1" s="109">
        <v>2025</v>
      </c>
      <c r="U1" s="109">
        <v>2026</v>
      </c>
      <c r="V1" s="109">
        <v>2027</v>
      </c>
      <c r="W1" s="109">
        <v>2028</v>
      </c>
      <c r="X1" s="109">
        <v>2029</v>
      </c>
      <c r="Y1" s="109">
        <v>2030</v>
      </c>
      <c r="Z1" s="109">
        <v>2031</v>
      </c>
      <c r="AA1" s="109">
        <v>2032</v>
      </c>
      <c r="AB1" s="109">
        <v>2033</v>
      </c>
      <c r="AC1" s="109">
        <v>2034</v>
      </c>
      <c r="AD1" s="109">
        <v>2035</v>
      </c>
      <c r="AE1" s="111" t="s">
        <v>212</v>
      </c>
      <c r="AF1" s="112" t="s">
        <v>213</v>
      </c>
      <c r="AG1" s="113"/>
      <c r="AH1" s="113"/>
      <c r="AI1" s="113"/>
      <c r="AJ1" s="113"/>
      <c r="AK1" s="113"/>
      <c r="AL1" s="113"/>
      <c r="AM1" s="113"/>
      <c r="AN1" s="113"/>
      <c r="AO1" s="113"/>
      <c r="AP1" s="113"/>
      <c r="AQ1" s="114"/>
      <c r="AR1" s="115"/>
      <c r="AS1" s="112" t="s">
        <v>214</v>
      </c>
      <c r="AT1" s="113"/>
      <c r="AU1" s="113"/>
      <c r="AV1" s="113"/>
      <c r="AW1" s="113"/>
      <c r="AX1" s="113"/>
      <c r="AY1" s="113"/>
      <c r="AZ1" s="113"/>
      <c r="BA1" s="113"/>
      <c r="BB1" s="113"/>
      <c r="BC1" s="113"/>
      <c r="BD1" s="114"/>
    </row>
    <row r="2" spans="1:56" ht="15">
      <c r="A2" s="81"/>
      <c r="B2" s="81"/>
      <c r="C2" s="81"/>
      <c r="D2" s="81"/>
      <c r="E2" s="81"/>
      <c r="F2" s="81" t="s">
        <v>215</v>
      </c>
      <c r="G2" s="81" t="s">
        <v>62</v>
      </c>
      <c r="H2" s="81" t="s">
        <v>63</v>
      </c>
      <c r="I2" s="81">
        <v>1</v>
      </c>
      <c r="J2" s="81"/>
      <c r="K2" s="86" t="str">
        <f t="shared" ref="K2:AD2" si="0">CONCATENATE("aMW_",K$1)</f>
        <v>aMW_2016</v>
      </c>
      <c r="L2" s="110" t="str">
        <f t="shared" si="0"/>
        <v>aMW_2017</v>
      </c>
      <c r="M2" s="110" t="str">
        <f t="shared" si="0"/>
        <v>aMW_2018</v>
      </c>
      <c r="N2" s="110" t="str">
        <f t="shared" si="0"/>
        <v>aMW_2019</v>
      </c>
      <c r="O2" s="110" t="str">
        <f t="shared" si="0"/>
        <v>aMW_2020</v>
      </c>
      <c r="P2" s="110" t="str">
        <f t="shared" si="0"/>
        <v>aMW_2021</v>
      </c>
      <c r="Q2" s="110" t="str">
        <f t="shared" si="0"/>
        <v>aMW_2022</v>
      </c>
      <c r="R2" s="110" t="str">
        <f t="shared" si="0"/>
        <v>aMW_2023</v>
      </c>
      <c r="S2" s="110" t="str">
        <f t="shared" si="0"/>
        <v>aMW_2024</v>
      </c>
      <c r="T2" s="110" t="str">
        <f t="shared" si="0"/>
        <v>aMW_2025</v>
      </c>
      <c r="U2" s="110" t="str">
        <f t="shared" si="0"/>
        <v>aMW_2026</v>
      </c>
      <c r="V2" s="110" t="str">
        <f t="shared" si="0"/>
        <v>aMW_2027</v>
      </c>
      <c r="W2" s="110" t="str">
        <f t="shared" si="0"/>
        <v>aMW_2028</v>
      </c>
      <c r="X2" s="110" t="str">
        <f t="shared" si="0"/>
        <v>aMW_2029</v>
      </c>
      <c r="Y2" s="110" t="str">
        <f t="shared" si="0"/>
        <v>aMW_2030</v>
      </c>
      <c r="Z2" s="110" t="str">
        <f t="shared" si="0"/>
        <v>aMW_2031</v>
      </c>
      <c r="AA2" s="110" t="str">
        <f t="shared" si="0"/>
        <v>aMW_2032</v>
      </c>
      <c r="AB2" s="110" t="str">
        <f t="shared" si="0"/>
        <v>aMW_2033</v>
      </c>
      <c r="AC2" s="110" t="str">
        <f t="shared" si="0"/>
        <v>aMW_2034</v>
      </c>
      <c r="AD2" s="110" t="str">
        <f t="shared" si="0"/>
        <v>aMW_2035</v>
      </c>
      <c r="AE2" s="116" t="s">
        <v>212</v>
      </c>
      <c r="AF2" s="117" t="s">
        <v>216</v>
      </c>
      <c r="AG2" s="117" t="s">
        <v>217</v>
      </c>
      <c r="AH2" s="117" t="s">
        <v>218</v>
      </c>
      <c r="AI2" s="117" t="s">
        <v>219</v>
      </c>
      <c r="AJ2" s="117" t="s">
        <v>220</v>
      </c>
      <c r="AK2" s="117" t="s">
        <v>221</v>
      </c>
      <c r="AL2" s="117" t="s">
        <v>222</v>
      </c>
      <c r="AM2" s="117" t="s">
        <v>223</v>
      </c>
      <c r="AN2" s="117" t="s">
        <v>224</v>
      </c>
      <c r="AO2" s="117" t="s">
        <v>225</v>
      </c>
      <c r="AP2" s="117" t="s">
        <v>226</v>
      </c>
      <c r="AQ2" s="117" t="s">
        <v>227</v>
      </c>
      <c r="AR2" s="117"/>
      <c r="AS2" s="117" t="s">
        <v>216</v>
      </c>
      <c r="AT2" s="117" t="s">
        <v>217</v>
      </c>
      <c r="AU2" s="117" t="s">
        <v>218</v>
      </c>
      <c r="AV2" s="117" t="s">
        <v>219</v>
      </c>
      <c r="AW2" s="117" t="s">
        <v>220</v>
      </c>
      <c r="AX2" s="117" t="s">
        <v>221</v>
      </c>
      <c r="AY2" s="117" t="s">
        <v>222</v>
      </c>
      <c r="AZ2" s="117" t="s">
        <v>223</v>
      </c>
      <c r="BA2" s="117" t="s">
        <v>224</v>
      </c>
      <c r="BB2" s="117" t="s">
        <v>225</v>
      </c>
      <c r="BC2" s="117" t="s">
        <v>226</v>
      </c>
      <c r="BD2" s="117" t="s">
        <v>227</v>
      </c>
    </row>
    <row r="3" spans="1:56" ht="15">
      <c r="A3" s="97" t="str">
        <f>VLOOKUP(CONCATENATE(C3,"-",B3),ACHIEV,2,FALSE)</f>
        <v>LO20Fast</v>
      </c>
      <c r="B3" s="97" t="s">
        <v>41</v>
      </c>
      <c r="C3" s="97" t="str">
        <f>'7PSourceSummary'!$D$2</f>
        <v>LEC Exit Sign</v>
      </c>
      <c r="D3" s="97" t="s">
        <v>228</v>
      </c>
      <c r="E3" s="97" t="s">
        <v>229</v>
      </c>
      <c r="F3" s="299">
        <f>VLOOKUP(J3,MeasOut,14,FALSE)</f>
        <v>8.0422200304570753E-3</v>
      </c>
      <c r="G3" s="118">
        <f>VLOOKUP(J3,MeasOut,3,FALSE)</f>
        <v>64.032340478741247</v>
      </c>
      <c r="H3" s="118">
        <f>VLOOKUP(J3,MeasOut,11,FALSE)</f>
        <v>9.8774252761486263</v>
      </c>
      <c r="I3" s="24"/>
      <c r="J3" s="24" t="s">
        <v>577</v>
      </c>
      <c r="K3" s="291">
        <f>VLOOKUP(forRPM!$J3,'SC-New'!$D$54:$Y$55,COLUMN()-9,FALSE)</f>
        <v>4.8601314500107184E-2</v>
      </c>
      <c r="L3" s="291">
        <f>VLOOKUP(forRPM!$J3,'SC-New'!$D$54:$Y$55,COLUMN()-9,FALSE)</f>
        <v>7.1441508379652741E-2</v>
      </c>
      <c r="M3" s="291">
        <f>VLOOKUP(forRPM!$J3,'SC-New'!$D$54:$Y$55,COLUMN()-9,FALSE)</f>
        <v>7.9776952050748723E-2</v>
      </c>
      <c r="N3" s="291">
        <f>VLOOKUP(forRPM!$J3,'SC-New'!$D$54:$Y$55,COLUMN()-9,FALSE)</f>
        <v>9.331817517696217E-2</v>
      </c>
      <c r="O3" s="291">
        <f>VLOOKUP(forRPM!$J3,'SC-New'!$D$54:$Y$55,COLUMN()-9,FALSE)</f>
        <v>9.0067607630409524E-2</v>
      </c>
      <c r="P3" s="291">
        <f>VLOOKUP(forRPM!$J3,'SC-New'!$D$54:$Y$55,COLUMN()-9,FALSE)</f>
        <v>9.0284123726014825E-2</v>
      </c>
      <c r="Q3" s="291">
        <f>VLOOKUP(forRPM!$J3,'SC-New'!$D$54:$Y$55,COLUMN()-9,FALSE)</f>
        <v>0.10648835076341681</v>
      </c>
      <c r="R3" s="291">
        <f>VLOOKUP(forRPM!$J3,'SC-New'!$D$54:$Y$55,COLUMN()-9,FALSE)</f>
        <v>0.11234074305805025</v>
      </c>
      <c r="S3" s="291">
        <f>VLOOKUP(forRPM!$J3,'SC-New'!$D$54:$Y$55,COLUMN()-9,FALSE)</f>
        <v>0.12669125109074109</v>
      </c>
      <c r="T3" s="291">
        <f>VLOOKUP(forRPM!$J3,'SC-New'!$D$54:$Y$55,COLUMN()-9,FALSE)</f>
        <v>0.14055820087384621</v>
      </c>
      <c r="U3" s="291">
        <f>VLOOKUP(forRPM!$J3,'SC-New'!$D$54:$Y$55,COLUMN()-9,FALSE)</f>
        <v>0.15409005562104475</v>
      </c>
      <c r="V3" s="291">
        <f>VLOOKUP(forRPM!$J3,'SC-New'!$D$54:$Y$55,COLUMN()-9,FALSE)</f>
        <v>0.17752106020278294</v>
      </c>
      <c r="W3" s="291">
        <f>VLOOKUP(forRPM!$J3,'SC-New'!$D$54:$Y$55,COLUMN()-9,FALSE)</f>
        <v>0.19527201827138493</v>
      </c>
      <c r="X3" s="291">
        <f>VLOOKUP(forRPM!$J3,'SC-New'!$D$54:$Y$55,COLUMN()-9,FALSE)</f>
        <v>0.18895889329700682</v>
      </c>
      <c r="Y3" s="291">
        <f>VLOOKUP(forRPM!$J3,'SC-New'!$D$54:$Y$55,COLUMN()-9,FALSE)</f>
        <v>0.20039950345798563</v>
      </c>
      <c r="Z3" s="291">
        <f>VLOOKUP(forRPM!$J3,'SC-New'!$D$54:$Y$55,COLUMN()-9,FALSE)</f>
        <v>0.19518215102677763</v>
      </c>
      <c r="AA3" s="291">
        <f>VLOOKUP(forRPM!$J3,'SC-New'!$D$54:$Y$55,COLUMN()-9,FALSE)</f>
        <v>0.19191398984213479</v>
      </c>
      <c r="AB3" s="291">
        <f>VLOOKUP(forRPM!$J3,'SC-New'!$D$54:$Y$55,COLUMN()-9,FALSE)</f>
        <v>0.18268642109431238</v>
      </c>
      <c r="AC3" s="291">
        <f>VLOOKUP(forRPM!$J3,'SC-New'!$D$54:$Y$55,COLUMN()-9,FALSE)</f>
        <v>0.17919138085217995</v>
      </c>
      <c r="AD3" s="291">
        <f>VLOOKUP(forRPM!$J3,'SC-New'!$D$54:$Y$55,COLUMN()-9,FALSE)</f>
        <v>0.18138963395226157</v>
      </c>
      <c r="AE3" s="291">
        <f>VLOOKUP(forRPM!$J3,'SC-New'!$D$54:$Y$55,COLUMN()-9,FALSE)</f>
        <v>2.8061733348678208</v>
      </c>
      <c r="AF3" s="119">
        <f>VLOOKUP(CONCATENATE($J3),MeasOut,COLUMN()-17,FALSE)</f>
        <v>3.09246927553813</v>
      </c>
      <c r="AG3" s="119">
        <f>VLOOKUP(CONCATENATE($J3),MeasOut,COLUMN()-17,FALSE)</f>
        <v>2.9056976437778266</v>
      </c>
      <c r="AH3" s="119">
        <f>VLOOKUP(CONCATENATE($J3),MeasOut,COLUMN()-17,FALSE)</f>
        <v>3.2957332561309403</v>
      </c>
      <c r="AI3" s="119">
        <f>VLOOKUP(CONCATENATE($J3),MeasOut,COLUMN()-17,FALSE)</f>
        <v>3.0029033475869373</v>
      </c>
      <c r="AJ3" s="119">
        <f>VLOOKUP(CONCATENATE($J3),MeasOut,COLUMN()-17,FALSE)</f>
        <v>3.0799742419898797</v>
      </c>
      <c r="AK3" s="119">
        <f>VLOOKUP(CONCATENATE($J3),MeasOut,COLUMN()-17,FALSE)</f>
        <v>3.0701582382623864</v>
      </c>
      <c r="AL3" s="119">
        <f>VLOOKUP(CONCATENATE($J3),MeasOut,COLUMN()-17,FALSE)</f>
        <v>2.9396680233656092</v>
      </c>
      <c r="AM3" s="119">
        <f>VLOOKUP(CONCATENATE($J3),MeasOut,COLUMN()-17,FALSE)</f>
        <v>3.3534181436277097</v>
      </c>
      <c r="AN3" s="119">
        <f>VLOOKUP(CONCATENATE($J3),MeasOut,COLUMN()-17,FALSE)</f>
        <v>2.8883418495953119</v>
      </c>
      <c r="AO3" s="119">
        <f>VLOOKUP(CONCATENATE($J3),MeasOut,COLUMN()-17,FALSE)</f>
        <v>3.2814493551353769</v>
      </c>
      <c r="AP3" s="119">
        <f>VLOOKUP(CONCATENATE($J3),MeasOut,COLUMN()-17,FALSE)</f>
        <v>2.8358199617483346</v>
      </c>
      <c r="AQ3" s="119">
        <f>VLOOKUP(CONCATENATE($J3),MeasOut,COLUMN()-17,FALSE)</f>
        <v>2.887359643235345</v>
      </c>
      <c r="AR3" s="119">
        <f>VLOOKUP(CONCATENATE($J3),MeasOut,COLUMN()-17,FALSE)</f>
        <v>0</v>
      </c>
      <c r="AS3" s="119">
        <f>VLOOKUP(CONCATENATE($J3),MeasOut,COLUMN()-17,FALSE)</f>
        <v>2.4896664255251126</v>
      </c>
      <c r="AT3" s="119">
        <f>VLOOKUP(CONCATENATE($J3),MeasOut,COLUMN()-17,FALSE)</f>
        <v>2.2394662630637949</v>
      </c>
      <c r="AU3" s="119">
        <f>VLOOKUP(CONCATENATE($J3),MeasOut,COLUMN()-17,FALSE)</f>
        <v>2.2273977650955072</v>
      </c>
      <c r="AV3" s="119">
        <f>VLOOKUP(CONCATENATE($J3),MeasOut,COLUMN()-17,FALSE)</f>
        <v>2.2382061830998783</v>
      </c>
      <c r="AW3" s="119">
        <f>VLOOKUP(CONCATENATE($J3),MeasOut,COLUMN()-17,FALSE)</f>
        <v>2.2671197682381119</v>
      </c>
      <c r="AX3" s="119">
        <f>VLOOKUP(CONCATENATE($J3),MeasOut,COLUMN()-17,FALSE)</f>
        <v>2.1016925809952558</v>
      </c>
      <c r="AY3" s="119">
        <f>VLOOKUP(CONCATENATE($J3),MeasOut,COLUMN()-17,FALSE)</f>
        <v>2.3629687544481022</v>
      </c>
      <c r="AZ3" s="119">
        <f>VLOOKUP(CONCATENATE($J3),MeasOut,COLUMN()-17,FALSE)</f>
        <v>2.2519036163149622</v>
      </c>
      <c r="BA3" s="119">
        <f>VLOOKUP(CONCATENATE($J3),MeasOut,COLUMN()-17,FALSE)</f>
        <v>2.3551434299984124</v>
      </c>
      <c r="BB3" s="119">
        <f>VLOOKUP(CONCATENATE($J3),MeasOut,COLUMN()-17,FALSE)</f>
        <v>2.2093623685352228</v>
      </c>
      <c r="BC3" s="119">
        <f>VLOOKUP(CONCATENATE($J3),MeasOut,COLUMN()-17,FALSE)</f>
        <v>2.3236473942269944</v>
      </c>
      <c r="BD3" s="119">
        <f>VLOOKUP(CONCATENATE($J3),MeasOut,COLUMN()-17,FALSE)</f>
        <v>2.3327729492060971</v>
      </c>
    </row>
    <row r="4" spans="1:56" ht="15">
      <c r="A4" s="97" t="str">
        <f>VLOOKUP(CONCATENATE(C4,"-",B4),ACHIEV,2,FALSE)</f>
        <v>LO20Fast</v>
      </c>
      <c r="B4" s="97" t="s">
        <v>41</v>
      </c>
      <c r="C4" s="97" t="str">
        <f>'7PSourceSummary'!$D$2</f>
        <v>LEC Exit Sign</v>
      </c>
      <c r="D4" s="97" t="s">
        <v>228</v>
      </c>
      <c r="E4" s="97" t="s">
        <v>229</v>
      </c>
      <c r="F4" s="299">
        <f>VLOOKUP(J4,MeasOut,14,FALSE)</f>
        <v>4.008119645135289E-3</v>
      </c>
      <c r="G4" s="118">
        <f>VLOOKUP(J4,MeasOut,3,FALSE)</f>
        <v>31.912740614515091</v>
      </c>
      <c r="H4" s="118">
        <f>VLOOKUP(J4,MeasOut,11,FALSE)</f>
        <v>26.995982092312257</v>
      </c>
      <c r="J4" t="s">
        <v>578</v>
      </c>
      <c r="K4" s="291">
        <f>VLOOKUP(forRPM!$J4,'SC-New'!$D$54:$Y$55,COLUMN()-9,FALSE)</f>
        <v>9.9777862209123672E-3</v>
      </c>
      <c r="L4" s="291">
        <f>VLOOKUP(forRPM!$J4,'SC-New'!$D$54:$Y$55,COLUMN()-9,FALSE)</f>
        <v>1.4666848113956318E-2</v>
      </c>
      <c r="M4" s="291">
        <f>VLOOKUP(forRPM!$J4,'SC-New'!$D$54:$Y$55,COLUMN()-9,FALSE)</f>
        <v>1.6378103783933499E-2</v>
      </c>
      <c r="N4" s="291">
        <f>VLOOKUP(forRPM!$J4,'SC-New'!$D$54:$Y$55,COLUMN()-9,FALSE)</f>
        <v>1.9158099158806223E-2</v>
      </c>
      <c r="O4" s="291">
        <f>VLOOKUP(forRPM!$J4,'SC-New'!$D$54:$Y$55,COLUMN()-9,FALSE)</f>
        <v>1.8490761898286929E-2</v>
      </c>
      <c r="P4" s="291">
        <f>VLOOKUP(forRPM!$J4,'SC-New'!$D$54:$Y$55,COLUMN()-9,FALSE)</f>
        <v>1.8535212369175564E-2</v>
      </c>
      <c r="Q4" s="291">
        <f>VLOOKUP(forRPM!$J4,'SC-New'!$D$54:$Y$55,COLUMN()-9,FALSE)</f>
        <v>2.1861918959672592E-2</v>
      </c>
      <c r="R4" s="291">
        <f>VLOOKUP(forRPM!$J4,'SC-New'!$D$54:$Y$55,COLUMN()-9,FALSE)</f>
        <v>2.3063407433747473E-2</v>
      </c>
      <c r="S4" s="291">
        <f>VLOOKUP(forRPM!$J4,'SC-New'!$D$54:$Y$55,COLUMN()-9,FALSE)</f>
        <v>2.6009547940119147E-2</v>
      </c>
      <c r="T4" s="291">
        <f>VLOOKUP(forRPM!$J4,'SC-New'!$D$54:$Y$55,COLUMN()-9,FALSE)</f>
        <v>2.8856414571095664E-2</v>
      </c>
      <c r="U4" s="291">
        <f>VLOOKUP(forRPM!$J4,'SC-New'!$D$54:$Y$55,COLUMN()-9,FALSE)</f>
        <v>3.1634486630025008E-2</v>
      </c>
      <c r="V4" s="291">
        <f>VLOOKUP(forRPM!$J4,'SC-New'!$D$54:$Y$55,COLUMN()-9,FALSE)</f>
        <v>3.6444841186531636E-2</v>
      </c>
      <c r="W4" s="291">
        <f>VLOOKUP(forRPM!$J4,'SC-New'!$D$54:$Y$55,COLUMN()-9,FALSE)</f>
        <v>4.0089089632208953E-2</v>
      </c>
      <c r="X4" s="291">
        <f>VLOOKUP(forRPM!$J4,'SC-New'!$D$54:$Y$55,COLUMN()-9,FALSE)</f>
        <v>3.8793013342335994E-2</v>
      </c>
      <c r="Y4" s="291">
        <f>VLOOKUP(forRPM!$J4,'SC-New'!$D$54:$Y$55,COLUMN()-9,FALSE)</f>
        <v>4.1141755626308431E-2</v>
      </c>
      <c r="Z4" s="291">
        <f>VLOOKUP(forRPM!$J4,'SC-New'!$D$54:$Y$55,COLUMN()-9,FALSE)</f>
        <v>4.0070640004576913E-2</v>
      </c>
      <c r="AA4" s="291">
        <f>VLOOKUP(forRPM!$J4,'SC-New'!$D$54:$Y$55,COLUMN()-9,FALSE)</f>
        <v>3.9399690793197502E-2</v>
      </c>
      <c r="AB4" s="291">
        <f>VLOOKUP(forRPM!$J4,'SC-New'!$D$54:$Y$55,COLUMN()-9,FALSE)</f>
        <v>3.7505283013252774E-2</v>
      </c>
      <c r="AC4" s="291">
        <f>VLOOKUP(forRPM!$J4,'SC-New'!$D$54:$Y$55,COLUMN()-9,FALSE)</f>
        <v>3.6787755828480713E-2</v>
      </c>
      <c r="AD4" s="291">
        <f>VLOOKUP(forRPM!$J4,'SC-New'!$D$54:$Y$55,COLUMN()-9,FALSE)</f>
        <v>3.7239054311200219E-2</v>
      </c>
      <c r="AE4" s="291">
        <f>VLOOKUP(forRPM!$J4,'SC-New'!$D$54:$Y$55,COLUMN()-9,FALSE)</f>
        <v>0.57610371081782386</v>
      </c>
      <c r="AF4" s="119">
        <f>VLOOKUP(CONCATENATE($J4),MeasOut,COLUMN()-17,FALSE)</f>
        <v>1.5412394597909562</v>
      </c>
      <c r="AG4" s="119">
        <f>VLOOKUP(CONCATENATE($J4),MeasOut,COLUMN()-17,FALSE)</f>
        <v>1.4481553308343529</v>
      </c>
      <c r="AH4" s="119">
        <f>VLOOKUP(CONCATENATE($J4),MeasOut,COLUMN()-17,FALSE)</f>
        <v>1.6425431235401484</v>
      </c>
      <c r="AI4" s="119">
        <f>VLOOKUP(CONCATENATE($J4),MeasOut,COLUMN()-17,FALSE)</f>
        <v>1.4966011691204208</v>
      </c>
      <c r="AJ4" s="119">
        <f>VLOOKUP(CONCATENATE($J4),MeasOut,COLUMN()-17,FALSE)</f>
        <v>1.5350121258904039</v>
      </c>
      <c r="AK4" s="119">
        <f>VLOOKUP(CONCATENATE($J4),MeasOut,COLUMN()-17,FALSE)</f>
        <v>1.5301199795392864</v>
      </c>
      <c r="AL4" s="119">
        <f>VLOOKUP(CONCATENATE($J4),MeasOut,COLUMN()-17,FALSE)</f>
        <v>1.4650856492368396</v>
      </c>
      <c r="AM4" s="119">
        <f>VLOOKUP(CONCATENATE($J4),MeasOut,COLUMN()-17,FALSE)</f>
        <v>1.6712923905245882</v>
      </c>
      <c r="AN4" s="119">
        <f>VLOOKUP(CONCATENATE($J4),MeasOut,COLUMN()-17,FALSE)</f>
        <v>1.4395054680655637</v>
      </c>
      <c r="AO4" s="119">
        <f>VLOOKUP(CONCATENATE($J4),MeasOut,COLUMN()-17,FALSE)</f>
        <v>1.6354242454228296</v>
      </c>
      <c r="AP4" s="119">
        <f>VLOOKUP(CONCATENATE($J4),MeasOut,COLUMN()-17,FALSE)</f>
        <v>1.4133293612590083</v>
      </c>
      <c r="AQ4" s="119">
        <f>VLOOKUP(CONCATENATE($J4),MeasOut,COLUMN()-17,FALSE)</f>
        <v>1.4390159514156771</v>
      </c>
      <c r="AR4" s="119">
        <f>VLOOKUP(CONCATENATE($J4),MeasOut,COLUMN()-17,FALSE)</f>
        <v>0</v>
      </c>
      <c r="AS4" s="119">
        <f>VLOOKUP(CONCATENATE($J4),MeasOut,COLUMN()-17,FALSE)</f>
        <v>1.2408117251442339</v>
      </c>
      <c r="AT4" s="119">
        <f>VLOOKUP(CONCATENATE($J4),MeasOut,COLUMN()-17,FALSE)</f>
        <v>1.1161157851451571</v>
      </c>
      <c r="AU4" s="119">
        <f>VLOOKUP(CONCATENATE($J4),MeasOut,COLUMN()-17,FALSE)</f>
        <v>1.1101010300637519</v>
      </c>
      <c r="AV4" s="119">
        <f>VLOOKUP(CONCATENATE($J4),MeasOut,COLUMN()-17,FALSE)</f>
        <v>1.115487780534653</v>
      </c>
      <c r="AW4" s="119">
        <f>VLOOKUP(CONCATENATE($J4),MeasOut,COLUMN()-17,FALSE)</f>
        <v>1.1298978698091264</v>
      </c>
      <c r="AX4" s="119">
        <f>VLOOKUP(CONCATENATE($J4),MeasOut,COLUMN()-17,FALSE)</f>
        <v>1.0474514860349335</v>
      </c>
      <c r="AY4" s="119">
        <f>VLOOKUP(CONCATENATE($J4),MeasOut,COLUMN()-17,FALSE)</f>
        <v>1.1776675407631216</v>
      </c>
      <c r="AZ4" s="119">
        <f>VLOOKUP(CONCATENATE($J4),MeasOut,COLUMN()-17,FALSE)</f>
        <v>1.1223143720665172</v>
      </c>
      <c r="BA4" s="119">
        <f>VLOOKUP(CONCATENATE($J4),MeasOut,COLUMN()-17,FALSE)</f>
        <v>1.1737675185630854</v>
      </c>
      <c r="BB4" s="119">
        <f>VLOOKUP(CONCATENATE($J4),MeasOut,COLUMN()-17,FALSE)</f>
        <v>1.1011124638485383</v>
      </c>
      <c r="BC4" s="119">
        <f>VLOOKUP(CONCATENATE($J4),MeasOut,COLUMN()-17,FALSE)</f>
        <v>1.1580703753313391</v>
      </c>
      <c r="BD4" s="119">
        <f>VLOOKUP(CONCATENATE($J4),MeasOut,COLUMN()-17,FALSE)</f>
        <v>1.162618412570557</v>
      </c>
    </row>
    <row r="5" spans="1:56" ht="15">
      <c r="A5" s="97" t="str">
        <f>VLOOKUP(CONCATENATE(C5,"-",B5),ACHIEV,2,FALSE)</f>
        <v>LO20Fast</v>
      </c>
      <c r="B5" s="97" t="s">
        <v>181</v>
      </c>
      <c r="C5" s="97" t="str">
        <f>'7PSourceSummary'!$D$2</f>
        <v>LEC Exit Sign</v>
      </c>
      <c r="D5" s="97" t="s">
        <v>228</v>
      </c>
      <c r="E5" s="97" t="s">
        <v>229</v>
      </c>
      <c r="F5" s="299">
        <f>VLOOKUP(J5,MeasOut,14,FALSE)</f>
        <v>8.0422200304570753E-3</v>
      </c>
      <c r="G5" s="118">
        <f>VLOOKUP(J5,MeasOut,3,FALSE)</f>
        <v>64.032340478741247</v>
      </c>
      <c r="H5" s="118">
        <f>VLOOKUP(J5,MeasOut,11,FALSE)</f>
        <v>9.8774252761486263</v>
      </c>
      <c r="J5" s="24" t="s">
        <v>621</v>
      </c>
      <c r="K5" s="291">
        <f>VLOOKUP(forRPM!$J5,'SC-NR'!$D$85:$Y$86,COLUMN()-9,FALSE)</f>
        <v>0.19123874883241684</v>
      </c>
      <c r="L5" s="291">
        <f>VLOOKUP(forRPM!$J5,'SC-NR'!$D$85:$Y$86,COLUMN()-9,FALSE)</f>
        <v>0.32388244940164351</v>
      </c>
      <c r="M5" s="291">
        <f>VLOOKUP(forRPM!$J5,'SC-NR'!$D$85:$Y$86,COLUMN()-9,FALSE)</f>
        <v>0.41448741975885883</v>
      </c>
      <c r="N5" s="291">
        <f>VLOOKUP(forRPM!$J5,'SC-NR'!$D$85:$Y$86,COLUMN()-9,FALSE)</f>
        <v>0.48404686907931288</v>
      </c>
      <c r="O5" s="291">
        <f>VLOOKUP(forRPM!$J5,'SC-NR'!$D$85:$Y$86,COLUMN()-9,FALSE)</f>
        <v>0.54420560479075386</v>
      </c>
      <c r="P5" s="291">
        <f>VLOOKUP(forRPM!$J5,'SC-NR'!$D$85:$Y$86,COLUMN()-9,FALSE)</f>
        <v>0.5954960217499321</v>
      </c>
      <c r="Q5" s="291">
        <f>VLOOKUP(forRPM!$J5,'SC-NR'!$D$85:$Y$86,COLUMN()-9,FALSE)</f>
        <v>0.63868636100312226</v>
      </c>
      <c r="R5" s="291">
        <f>VLOOKUP(forRPM!$J5,'SC-NR'!$D$85:$Y$86,COLUMN()-9,FALSE)</f>
        <v>0.67464792774589666</v>
      </c>
      <c r="S5" s="291">
        <f>VLOOKUP(forRPM!$J5,'SC-NR'!$D$85:$Y$86,COLUMN()-9,FALSE)</f>
        <v>0.7042700550044716</v>
      </c>
      <c r="T5" s="291">
        <f>VLOOKUP(forRPM!$J5,'SC-NR'!$D$85:$Y$86,COLUMN()-9,FALSE)</f>
        <v>0.72840806395101965</v>
      </c>
      <c r="U5" s="291">
        <f>VLOOKUP(forRPM!$J5,'SC-NR'!$D$85:$Y$86,COLUMN()-9,FALSE)</f>
        <v>0.74785368861763868</v>
      </c>
      <c r="V5" s="291">
        <f>VLOOKUP(forRPM!$J5,'SC-NR'!$D$85:$Y$86,COLUMN()-9,FALSE)</f>
        <v>0.76215435554271771</v>
      </c>
      <c r="W5" s="291">
        <f>VLOOKUP(forRPM!$J5,'SC-NR'!$D$85:$Y$86,COLUMN()-9,FALSE)</f>
        <v>0.7724692664884002</v>
      </c>
      <c r="X5" s="291">
        <f>VLOOKUP(forRPM!$J5,'SC-NR'!$D$85:$Y$86,COLUMN()-9,FALSE)</f>
        <v>0.77969729649668107</v>
      </c>
      <c r="Y5" s="291">
        <f>VLOOKUP(forRPM!$J5,'SC-NR'!$D$85:$Y$86,COLUMN()-9,FALSE)</f>
        <v>0.78453545382344325</v>
      </c>
      <c r="Z5" s="291">
        <f>VLOOKUP(forRPM!$J5,'SC-NR'!$D$85:$Y$86,COLUMN()-9,FALSE)</f>
        <v>0.79982694074613925</v>
      </c>
      <c r="AA5" s="291">
        <f>VLOOKUP(forRPM!$J5,'SC-NR'!$D$85:$Y$86,COLUMN()-9,FALSE)</f>
        <v>0.81098689396916712</v>
      </c>
      <c r="AB5" s="291">
        <f>VLOOKUP(forRPM!$J5,'SC-NR'!$D$85:$Y$86,COLUMN()-9,FALSE)</f>
        <v>0.8191516782106808</v>
      </c>
      <c r="AC5" s="291">
        <f>VLOOKUP(forRPM!$J5,'SC-NR'!$D$85:$Y$86,COLUMN()-9,FALSE)</f>
        <v>0.82592317564007012</v>
      </c>
      <c r="AD5" s="291">
        <f>VLOOKUP(forRPM!$J5,'SC-NR'!$D$85:$Y$86,COLUMN()-9,FALSE)</f>
        <v>0.83060940182198262</v>
      </c>
      <c r="AE5" s="291">
        <f>VLOOKUP(forRPM!$J5,'SC-NR'!$D$85:$Y$86,COLUMN()-9,FALSE)</f>
        <v>16.751063411202892</v>
      </c>
      <c r="AF5" s="119">
        <f>VLOOKUP(CONCATENATE($J5),MeasOut,COLUMN()-17,FALSE)</f>
        <v>3.09246927553813</v>
      </c>
      <c r="AG5" s="119">
        <f>VLOOKUP(CONCATENATE($J5),MeasOut,COLUMN()-17,FALSE)</f>
        <v>2.9056976437778266</v>
      </c>
      <c r="AH5" s="119">
        <f>VLOOKUP(CONCATENATE($J5),MeasOut,COLUMN()-17,FALSE)</f>
        <v>3.2957332561309403</v>
      </c>
      <c r="AI5" s="119">
        <f>VLOOKUP(CONCATENATE($J5),MeasOut,COLUMN()-17,FALSE)</f>
        <v>3.0029033475869373</v>
      </c>
      <c r="AJ5" s="119">
        <f>VLOOKUP(CONCATENATE($J5),MeasOut,COLUMN()-17,FALSE)</f>
        <v>3.0799742419898797</v>
      </c>
      <c r="AK5" s="119">
        <f>VLOOKUP(CONCATENATE($J5),MeasOut,COLUMN()-17,FALSE)</f>
        <v>3.0701582382623864</v>
      </c>
      <c r="AL5" s="119">
        <f>VLOOKUP(CONCATENATE($J5),MeasOut,COLUMN()-17,FALSE)</f>
        <v>2.9396680233656092</v>
      </c>
      <c r="AM5" s="119">
        <f>VLOOKUP(CONCATENATE($J5),MeasOut,COLUMN()-17,FALSE)</f>
        <v>3.3534181436277097</v>
      </c>
      <c r="AN5" s="119">
        <f>VLOOKUP(CONCATENATE($J5),MeasOut,COLUMN()-17,FALSE)</f>
        <v>2.8883418495953119</v>
      </c>
      <c r="AO5" s="119">
        <f>VLOOKUP(CONCATENATE($J5),MeasOut,COLUMN()-17,FALSE)</f>
        <v>3.2814493551353769</v>
      </c>
      <c r="AP5" s="119">
        <f>VLOOKUP(CONCATENATE($J5),MeasOut,COLUMN()-17,FALSE)</f>
        <v>2.8358199617483346</v>
      </c>
      <c r="AQ5" s="119">
        <f>VLOOKUP(CONCATENATE($J5),MeasOut,COLUMN()-17,FALSE)</f>
        <v>2.887359643235345</v>
      </c>
      <c r="AR5" s="119">
        <f>VLOOKUP(CONCATENATE($J5),MeasOut,COLUMN()-17,FALSE)</f>
        <v>0</v>
      </c>
      <c r="AS5" s="119">
        <f>VLOOKUP(CONCATENATE($J5),MeasOut,COLUMN()-17,FALSE)</f>
        <v>2.4896664255251126</v>
      </c>
      <c r="AT5" s="119">
        <f>VLOOKUP(CONCATENATE($J5),MeasOut,COLUMN()-17,FALSE)</f>
        <v>2.2394662630637949</v>
      </c>
      <c r="AU5" s="119">
        <f>VLOOKUP(CONCATENATE($J5),MeasOut,COLUMN()-17,FALSE)</f>
        <v>2.2273977650955072</v>
      </c>
      <c r="AV5" s="119">
        <f>VLOOKUP(CONCATENATE($J5),MeasOut,COLUMN()-17,FALSE)</f>
        <v>2.2382061830998783</v>
      </c>
      <c r="AW5" s="119">
        <f>VLOOKUP(CONCATENATE($J5),MeasOut,COLUMN()-17,FALSE)</f>
        <v>2.2671197682381119</v>
      </c>
      <c r="AX5" s="119">
        <f>VLOOKUP(CONCATENATE($J5),MeasOut,COLUMN()-17,FALSE)</f>
        <v>2.1016925809952558</v>
      </c>
      <c r="AY5" s="119">
        <f>VLOOKUP(CONCATENATE($J5),MeasOut,COLUMN()-17,FALSE)</f>
        <v>2.3629687544481022</v>
      </c>
      <c r="AZ5" s="119">
        <f>VLOOKUP(CONCATENATE($J5),MeasOut,COLUMN()-17,FALSE)</f>
        <v>2.2519036163149622</v>
      </c>
      <c r="BA5" s="119">
        <f>VLOOKUP(CONCATENATE($J5),MeasOut,COLUMN()-17,FALSE)</f>
        <v>2.3551434299984124</v>
      </c>
      <c r="BB5" s="119">
        <f>VLOOKUP(CONCATENATE($J5),MeasOut,COLUMN()-17,FALSE)</f>
        <v>2.2093623685352228</v>
      </c>
      <c r="BC5" s="119">
        <f>VLOOKUP(CONCATENATE($J5),MeasOut,COLUMN()-17,FALSE)</f>
        <v>2.3236473942269944</v>
      </c>
      <c r="BD5" s="119">
        <f>VLOOKUP(CONCATENATE($J5),MeasOut,COLUMN()-17,FALSE)</f>
        <v>2.3327729492060971</v>
      </c>
    </row>
    <row r="6" spans="1:56" ht="15">
      <c r="A6" s="97" t="str">
        <f>VLOOKUP(CONCATENATE(C6,"-",B6),ACHIEV,2,FALSE)</f>
        <v>LO20Fast</v>
      </c>
      <c r="B6" s="97" t="s">
        <v>181</v>
      </c>
      <c r="C6" s="97" t="str">
        <f>'7PSourceSummary'!$D$2</f>
        <v>LEC Exit Sign</v>
      </c>
      <c r="D6" s="97" t="s">
        <v>228</v>
      </c>
      <c r="E6" s="97" t="s">
        <v>229</v>
      </c>
      <c r="F6" s="299">
        <f>VLOOKUP(J6,MeasOut,14,FALSE)</f>
        <v>4.008119645135289E-3</v>
      </c>
      <c r="G6" s="118">
        <f>VLOOKUP(J6,MeasOut,3,FALSE)</f>
        <v>31.912740614515091</v>
      </c>
      <c r="H6" s="118">
        <f>VLOOKUP(J6,MeasOut,11,FALSE)</f>
        <v>26.995982092312257</v>
      </c>
      <c r="J6" t="s">
        <v>622</v>
      </c>
      <c r="K6" s="291">
        <f>VLOOKUP(forRPM!$J6,'SC-NR'!$D$85:$Y$86,COLUMN()-9,FALSE)</f>
        <v>3.9261064698165773E-2</v>
      </c>
      <c r="L6" s="291">
        <f>VLOOKUP(forRPM!$J6,'SC-NR'!$D$85:$Y$86,COLUMN()-9,FALSE)</f>
        <v>6.6492642721174541E-2</v>
      </c>
      <c r="M6" s="291">
        <f>VLOOKUP(forRPM!$J6,'SC-NR'!$D$85:$Y$86,COLUMN()-9,FALSE)</f>
        <v>8.5093724483570152E-2</v>
      </c>
      <c r="N6" s="291">
        <f>VLOOKUP(forRPM!$J6,'SC-NR'!$D$85:$Y$86,COLUMN()-9,FALSE)</f>
        <v>9.9374188337327612E-2</v>
      </c>
      <c r="O6" s="291">
        <f>VLOOKUP(forRPM!$J6,'SC-NR'!$D$85:$Y$86,COLUMN()-9,FALSE)</f>
        <v>0.1117246979978801</v>
      </c>
      <c r="P6" s="291">
        <f>VLOOKUP(forRPM!$J6,'SC-NR'!$D$85:$Y$86,COLUMN()-9,FALSE)</f>
        <v>0.12225455343211965</v>
      </c>
      <c r="Q6" s="291">
        <f>VLOOKUP(forRPM!$J6,'SC-NR'!$D$85:$Y$86,COLUMN()-9,FALSE)</f>
        <v>0.13112147352079467</v>
      </c>
      <c r="R6" s="291">
        <f>VLOOKUP(forRPM!$J6,'SC-NR'!$D$85:$Y$86,COLUMN()-9,FALSE)</f>
        <v>0.13850433607953644</v>
      </c>
      <c r="S6" s="291">
        <f>VLOOKUP(forRPM!$J6,'SC-NR'!$D$85:$Y$86,COLUMN()-9,FALSE)</f>
        <v>0.14458572001399911</v>
      </c>
      <c r="T6" s="291">
        <f>VLOOKUP(forRPM!$J6,'SC-NR'!$D$85:$Y$86,COLUMN()-9,FALSE)</f>
        <v>0.14954122164074213</v>
      </c>
      <c r="U6" s="291">
        <f>VLOOKUP(forRPM!$J6,'SC-NR'!$D$85:$Y$86,COLUMN()-9,FALSE)</f>
        <v>0.15353338291973792</v>
      </c>
      <c r="V6" s="291">
        <f>VLOOKUP(forRPM!$J6,'SC-NR'!$D$85:$Y$86,COLUMN()-9,FALSE)</f>
        <v>0.15646929111198646</v>
      </c>
      <c r="W6" s="291">
        <f>VLOOKUP(forRPM!$J6,'SC-NR'!$D$85:$Y$86,COLUMN()-9,FALSE)</f>
        <v>0.15858692882122041</v>
      </c>
      <c r="X6" s="291">
        <f>VLOOKUP(forRPM!$J6,'SC-NR'!$D$85:$Y$86,COLUMN()-9,FALSE)</f>
        <v>0.16007083391643767</v>
      </c>
      <c r="Y6" s="291">
        <f>VLOOKUP(forRPM!$J6,'SC-NR'!$D$85:$Y$86,COLUMN()-9,FALSE)</f>
        <v>0.16106410127980228</v>
      </c>
      <c r="Z6" s="291">
        <f>VLOOKUP(forRPM!$J6,'SC-NR'!$D$85:$Y$86,COLUMN()-9,FALSE)</f>
        <v>0.16420342352003101</v>
      </c>
      <c r="AA6" s="291">
        <f>VLOOKUP(forRPM!$J6,'SC-NR'!$D$85:$Y$86,COLUMN()-9,FALSE)</f>
        <v>0.16649454730217703</v>
      </c>
      <c r="AB6" s="291">
        <f>VLOOKUP(forRPM!$J6,'SC-NR'!$D$85:$Y$86,COLUMN()-9,FALSE)</f>
        <v>0.16817076681474843</v>
      </c>
      <c r="AC6" s="291">
        <f>VLOOKUP(forRPM!$J6,'SC-NR'!$D$85:$Y$86,COLUMN()-9,FALSE)</f>
        <v>0.16956094636937249</v>
      </c>
      <c r="AD6" s="291">
        <f>VLOOKUP(forRPM!$J6,'SC-NR'!$D$85:$Y$86,COLUMN()-9,FALSE)</f>
        <v>0.17052302246766118</v>
      </c>
      <c r="AE6" s="291">
        <f>VLOOKUP(forRPM!$J6,'SC-NR'!$D$85:$Y$86,COLUMN()-9,FALSE)</f>
        <v>3.4389713819275616</v>
      </c>
      <c r="AF6" s="119">
        <f>VLOOKUP(CONCATENATE($J6),MeasOut,COLUMN()-17,FALSE)</f>
        <v>1.5412394597909562</v>
      </c>
      <c r="AG6" s="119">
        <f>VLOOKUP(CONCATENATE($J6),MeasOut,COLUMN()-17,FALSE)</f>
        <v>1.4481553308343529</v>
      </c>
      <c r="AH6" s="119">
        <f>VLOOKUP(CONCATENATE($J6),MeasOut,COLUMN()-17,FALSE)</f>
        <v>1.6425431235401484</v>
      </c>
      <c r="AI6" s="119">
        <f>VLOOKUP(CONCATENATE($J6),MeasOut,COLUMN()-17,FALSE)</f>
        <v>1.4966011691204208</v>
      </c>
      <c r="AJ6" s="119">
        <f>VLOOKUP(CONCATENATE($J6),MeasOut,COLUMN()-17,FALSE)</f>
        <v>1.5350121258904039</v>
      </c>
      <c r="AK6" s="119">
        <f>VLOOKUP(CONCATENATE($J6),MeasOut,COLUMN()-17,FALSE)</f>
        <v>1.5301199795392864</v>
      </c>
      <c r="AL6" s="119">
        <f>VLOOKUP(CONCATENATE($J6),MeasOut,COLUMN()-17,FALSE)</f>
        <v>1.4650856492368396</v>
      </c>
      <c r="AM6" s="119">
        <f>VLOOKUP(CONCATENATE($J6),MeasOut,COLUMN()-17,FALSE)</f>
        <v>1.6712923905245882</v>
      </c>
      <c r="AN6" s="119">
        <f>VLOOKUP(CONCATENATE($J6),MeasOut,COLUMN()-17,FALSE)</f>
        <v>1.4395054680655637</v>
      </c>
      <c r="AO6" s="119">
        <f>VLOOKUP(CONCATENATE($J6),MeasOut,COLUMN()-17,FALSE)</f>
        <v>1.6354242454228296</v>
      </c>
      <c r="AP6" s="119">
        <f>VLOOKUP(CONCATENATE($J6),MeasOut,COLUMN()-17,FALSE)</f>
        <v>1.4133293612590083</v>
      </c>
      <c r="AQ6" s="119">
        <f>VLOOKUP(CONCATENATE($J6),MeasOut,COLUMN()-17,FALSE)</f>
        <v>1.4390159514156771</v>
      </c>
      <c r="AR6" s="119">
        <f>VLOOKUP(CONCATENATE($J6),MeasOut,COLUMN()-17,FALSE)</f>
        <v>0</v>
      </c>
      <c r="AS6" s="119">
        <f>VLOOKUP(CONCATENATE($J6),MeasOut,COLUMN()-17,FALSE)</f>
        <v>1.2408117251442339</v>
      </c>
      <c r="AT6" s="119">
        <f>VLOOKUP(CONCATENATE($J6),MeasOut,COLUMN()-17,FALSE)</f>
        <v>1.1161157851451571</v>
      </c>
      <c r="AU6" s="119">
        <f>VLOOKUP(CONCATENATE($J6),MeasOut,COLUMN()-17,FALSE)</f>
        <v>1.1101010300637519</v>
      </c>
      <c r="AV6" s="119">
        <f>VLOOKUP(CONCATENATE($J6),MeasOut,COLUMN()-17,FALSE)</f>
        <v>1.115487780534653</v>
      </c>
      <c r="AW6" s="119">
        <f>VLOOKUP(CONCATENATE($J6),MeasOut,COLUMN()-17,FALSE)</f>
        <v>1.1298978698091264</v>
      </c>
      <c r="AX6" s="119">
        <f>VLOOKUP(CONCATENATE($J6),MeasOut,COLUMN()-17,FALSE)</f>
        <v>1.0474514860349335</v>
      </c>
      <c r="AY6" s="119">
        <f>VLOOKUP(CONCATENATE($J6),MeasOut,COLUMN()-17,FALSE)</f>
        <v>1.1776675407631216</v>
      </c>
      <c r="AZ6" s="119">
        <f>VLOOKUP(CONCATENATE($J6),MeasOut,COLUMN()-17,FALSE)</f>
        <v>1.1223143720665172</v>
      </c>
      <c r="BA6" s="119">
        <f>VLOOKUP(CONCATENATE($J6),MeasOut,COLUMN()-17,FALSE)</f>
        <v>1.1737675185630854</v>
      </c>
      <c r="BB6" s="119">
        <f>VLOOKUP(CONCATENATE($J6),MeasOut,COLUMN()-17,FALSE)</f>
        <v>1.1011124638485383</v>
      </c>
      <c r="BC6" s="119">
        <f>VLOOKUP(CONCATENATE($J6),MeasOut,COLUMN()-17,FALSE)</f>
        <v>1.1580703753313391</v>
      </c>
      <c r="BD6" s="119">
        <f>VLOOKUP(CONCATENATE($J6),MeasOut,COLUMN()-17,FALSE)</f>
        <v>1.162618412570557</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dimension ref="B2:N31"/>
  <sheetViews>
    <sheetView workbookViewId="0">
      <selection activeCell="B48" sqref="B48"/>
    </sheetView>
  </sheetViews>
  <sheetFormatPr defaultRowHeight="12.75"/>
  <cols>
    <col min="2" max="4" width="17.85546875" customWidth="1"/>
    <col min="7" max="7" width="12.7109375" customWidth="1"/>
    <col min="10" max="10" width="14.5703125" customWidth="1"/>
    <col min="13" max="13" width="14.28515625" customWidth="1"/>
    <col min="15" max="15" width="20.85546875" customWidth="1"/>
    <col min="18" max="18" width="21" customWidth="1"/>
  </cols>
  <sheetData>
    <row r="2" spans="2:14">
      <c r="B2" s="123" t="s">
        <v>318</v>
      </c>
    </row>
    <row r="3" spans="2:14" ht="15.75" thickBot="1">
      <c r="B3" s="140" t="s">
        <v>285</v>
      </c>
      <c r="C3" s="140"/>
      <c r="D3" s="162">
        <v>4000000</v>
      </c>
      <c r="G3" s="55" t="s">
        <v>269</v>
      </c>
      <c r="H3" s="55"/>
      <c r="I3" s="55"/>
      <c r="J3" s="55"/>
      <c r="K3" s="55"/>
    </row>
    <row r="4" spans="2:14" ht="15">
      <c r="B4" s="55"/>
      <c r="C4" s="140" t="s">
        <v>287</v>
      </c>
      <c r="D4" s="140" t="s">
        <v>287</v>
      </c>
      <c r="G4" s="137" t="s">
        <v>270</v>
      </c>
      <c r="H4" s="137" t="s">
        <v>271</v>
      </c>
      <c r="I4" s="138"/>
      <c r="J4" s="139" t="s">
        <v>272</v>
      </c>
      <c r="K4" s="139"/>
      <c r="L4" s="138"/>
      <c r="M4" s="140" t="s">
        <v>273</v>
      </c>
      <c r="N4" s="140"/>
    </row>
    <row r="5" spans="2:14">
      <c r="B5" s="128" t="s">
        <v>252</v>
      </c>
      <c r="C5" s="125">
        <v>317182.39618441527</v>
      </c>
      <c r="D5" s="125">
        <v>320000</v>
      </c>
      <c r="G5">
        <v>1</v>
      </c>
      <c r="H5">
        <v>178</v>
      </c>
      <c r="J5" s="141"/>
      <c r="K5" s="141"/>
      <c r="M5" s="142">
        <v>1.2141867612293149</v>
      </c>
      <c r="N5" t="s">
        <v>274</v>
      </c>
    </row>
    <row r="6" spans="2:14">
      <c r="B6" s="128" t="s">
        <v>254</v>
      </c>
      <c r="C6" s="125">
        <v>704697.29462638684</v>
      </c>
      <c r="D6" s="125">
        <v>700000</v>
      </c>
      <c r="G6">
        <v>2</v>
      </c>
      <c r="H6">
        <v>128</v>
      </c>
      <c r="J6" s="143" t="s">
        <v>275</v>
      </c>
      <c r="K6" s="144">
        <v>2.0762081731709814</v>
      </c>
      <c r="M6">
        <v>3.3</v>
      </c>
      <c r="N6" t="s">
        <v>276</v>
      </c>
    </row>
    <row r="7" spans="2:14">
      <c r="B7" s="128" t="s">
        <v>256</v>
      </c>
      <c r="C7" s="125">
        <v>2631451.8864334417</v>
      </c>
      <c r="D7" s="125">
        <v>2630000</v>
      </c>
      <c r="G7">
        <v>3</v>
      </c>
      <c r="H7">
        <v>51</v>
      </c>
      <c r="J7" s="141" t="s">
        <v>277</v>
      </c>
      <c r="K7" s="148">
        <v>0.15493253574298674</v>
      </c>
      <c r="M7" s="149">
        <v>4006816.3120567393</v>
      </c>
      <c r="N7" t="s">
        <v>278</v>
      </c>
    </row>
    <row r="8" spans="2:14">
      <c r="B8" s="128" t="s">
        <v>258</v>
      </c>
      <c r="C8" s="125">
        <v>312500.61401004001</v>
      </c>
      <c r="D8" s="125">
        <v>310000</v>
      </c>
      <c r="G8">
        <v>4</v>
      </c>
      <c r="H8">
        <v>32</v>
      </c>
      <c r="J8" s="143" t="s">
        <v>279</v>
      </c>
      <c r="K8" s="144">
        <v>1.2141867612293149</v>
      </c>
    </row>
    <row r="9" spans="2:14">
      <c r="B9" s="128" t="s">
        <v>260</v>
      </c>
      <c r="C9" s="125">
        <v>34167.808745716444</v>
      </c>
      <c r="D9" s="125">
        <v>30000</v>
      </c>
      <c r="G9">
        <v>5</v>
      </c>
      <c r="H9">
        <v>17</v>
      </c>
      <c r="J9" s="141" t="s">
        <v>280</v>
      </c>
      <c r="K9" s="148">
        <v>1.25</v>
      </c>
    </row>
    <row r="10" spans="2:14" ht="15">
      <c r="B10" s="145" t="s">
        <v>294</v>
      </c>
      <c r="C10" s="146">
        <v>4000000</v>
      </c>
      <c r="D10" s="146">
        <v>3990000</v>
      </c>
      <c r="J10" s="141" t="s">
        <v>281</v>
      </c>
      <c r="K10" s="148">
        <v>3.2313742316253093</v>
      </c>
    </row>
    <row r="11" spans="2:14">
      <c r="J11" s="141" t="s">
        <v>282</v>
      </c>
      <c r="K11" s="148">
        <v>10.441779424812058</v>
      </c>
      <c r="M11" s="142">
        <v>2.0762081731709814</v>
      </c>
      <c r="N11" t="s">
        <v>274</v>
      </c>
    </row>
    <row r="12" spans="2:14">
      <c r="J12" s="141" t="s">
        <v>283</v>
      </c>
      <c r="K12" s="148">
        <v>37.950188278985301</v>
      </c>
      <c r="M12">
        <v>3.3</v>
      </c>
      <c r="N12" t="s">
        <v>276</v>
      </c>
    </row>
    <row r="13" spans="2:14">
      <c r="J13" s="141" t="s">
        <v>284</v>
      </c>
      <c r="K13" s="148">
        <v>5.4069189394570403</v>
      </c>
      <c r="M13" s="149">
        <v>6851486.9714642381</v>
      </c>
      <c r="N13" t="s">
        <v>278</v>
      </c>
    </row>
    <row r="14" spans="2:14">
      <c r="J14" s="141" t="s">
        <v>286</v>
      </c>
      <c r="K14" s="148">
        <v>33.39170902327082</v>
      </c>
    </row>
    <row r="15" spans="2:14">
      <c r="J15" s="141" t="s">
        <v>288</v>
      </c>
      <c r="K15" s="148">
        <v>1.4243391066545123E-2</v>
      </c>
    </row>
    <row r="16" spans="2:14">
      <c r="J16" s="141" t="s">
        <v>289</v>
      </c>
      <c r="K16" s="148">
        <v>33.405952414337364</v>
      </c>
    </row>
    <row r="17" spans="2:11">
      <c r="J17" s="141" t="s">
        <v>291</v>
      </c>
      <c r="K17" s="148">
        <v>903.15055532937697</v>
      </c>
    </row>
    <row r="18" spans="2:11">
      <c r="J18" s="141" t="s">
        <v>271</v>
      </c>
      <c r="K18" s="141">
        <v>435</v>
      </c>
    </row>
    <row r="19" spans="2:11" ht="13.5" thickBot="1">
      <c r="J19" s="154" t="s">
        <v>293</v>
      </c>
      <c r="K19" s="155">
        <v>0.3045113753480822</v>
      </c>
    </row>
    <row r="28" spans="2:11">
      <c r="B28" s="123" t="s">
        <v>319</v>
      </c>
    </row>
    <row r="29" spans="2:11">
      <c r="B29" s="163" t="s">
        <v>320</v>
      </c>
      <c r="C29" s="164"/>
      <c r="D29" s="165">
        <v>1.6E-2</v>
      </c>
      <c r="E29" s="164"/>
      <c r="F29" s="164"/>
      <c r="G29" s="166">
        <v>2948.090114029822</v>
      </c>
      <c r="H29" s="167">
        <v>1.6E-2</v>
      </c>
    </row>
    <row r="30" spans="2:11" ht="51">
      <c r="B30" s="168"/>
      <c r="C30" s="169">
        <v>2008</v>
      </c>
      <c r="D30" s="169">
        <v>2010</v>
      </c>
      <c r="E30" s="170" t="s">
        <v>321</v>
      </c>
      <c r="F30" s="170" t="s">
        <v>322</v>
      </c>
      <c r="G30" s="170" t="s">
        <v>323</v>
      </c>
      <c r="H30" s="171" t="s">
        <v>324</v>
      </c>
    </row>
    <row r="31" spans="2:11">
      <c r="B31" s="172" t="s">
        <v>325</v>
      </c>
      <c r="C31" s="173">
        <v>35.6</v>
      </c>
      <c r="D31" s="174">
        <v>36.748313600000003</v>
      </c>
      <c r="E31" s="175">
        <v>0.04</v>
      </c>
      <c r="F31" s="174">
        <v>1.4699325440000002</v>
      </c>
      <c r="G31" s="176">
        <v>0.49860502465805251</v>
      </c>
      <c r="H31" s="177">
        <v>2.0191638587906842</v>
      </c>
    </row>
  </sheetData>
  <pageMargins left="0.7" right="0.7" top="0.75" bottom="0.75" header="0.3" footer="0.3"/>
  <legacyDrawing r:id="rId1"/>
  <oleObjects>
    <oleObject progId="Word.Document.8" shapeId="8193" r:id="rId2"/>
  </oleObjects>
</worksheet>
</file>

<file path=xl/worksheets/sheet11.xml><?xml version="1.0" encoding="utf-8"?>
<worksheet xmlns="http://schemas.openxmlformats.org/spreadsheetml/2006/main" xmlns:r="http://schemas.openxmlformats.org/officeDocument/2006/relationships">
  <dimension ref="A5:AY67"/>
  <sheetViews>
    <sheetView topLeftCell="AD26" workbookViewId="0">
      <selection activeCell="N49" sqref="N49"/>
    </sheetView>
  </sheetViews>
  <sheetFormatPr defaultRowHeight="12.75"/>
  <cols>
    <col min="1" max="1" width="19.140625" customWidth="1"/>
    <col min="2" max="6" width="17.85546875" customWidth="1"/>
    <col min="7" max="7" width="16.5703125" customWidth="1"/>
    <col min="8" max="8" width="12.5703125" customWidth="1"/>
    <col min="9" max="9" width="20.5703125" customWidth="1"/>
    <col min="10" max="10" width="19.42578125" customWidth="1"/>
    <col min="11" max="11" width="31.5703125" customWidth="1"/>
    <col min="12" max="12" width="22.7109375" customWidth="1"/>
    <col min="13" max="13" width="18.5703125" customWidth="1"/>
    <col min="14" max="14" width="26.5703125" customWidth="1"/>
    <col min="15" max="15" width="16" customWidth="1"/>
    <col min="16" max="16" width="21.5703125" customWidth="1"/>
    <col min="17" max="17" width="10.7109375" customWidth="1"/>
    <col min="18" max="18" width="18.140625" customWidth="1"/>
    <col min="19" max="19" width="26.7109375" customWidth="1"/>
    <col min="20" max="20" width="33.140625" customWidth="1"/>
    <col min="21" max="21" width="33.5703125" customWidth="1"/>
    <col min="22" max="22" width="31.42578125" customWidth="1"/>
    <col min="23" max="23" width="19.140625" customWidth="1"/>
    <col min="24" max="24" width="19.42578125" customWidth="1"/>
    <col min="25" max="25" width="24.28515625" customWidth="1"/>
    <col min="26" max="26" width="20.85546875" customWidth="1"/>
    <col min="27" max="27" width="19.28515625" customWidth="1"/>
    <col min="28" max="28" width="15.28515625" customWidth="1"/>
    <col min="29" max="29" width="17.7109375" customWidth="1"/>
    <col min="30" max="30" width="15.140625" customWidth="1"/>
    <col min="31" max="31" width="12.7109375" customWidth="1"/>
    <col min="32" max="32" width="10.5703125" customWidth="1"/>
    <col min="33" max="33" width="8.85546875" customWidth="1"/>
    <col min="34" max="34" width="21.28515625" customWidth="1"/>
    <col min="35" max="35" width="10.5703125" customWidth="1"/>
    <col min="36" max="36" width="12.85546875" customWidth="1"/>
    <col min="37" max="37" width="16.42578125" customWidth="1"/>
    <col min="38" max="38" width="17" customWidth="1"/>
    <col min="39" max="39" width="34" customWidth="1"/>
    <col min="40" max="40" width="28.7109375" customWidth="1"/>
    <col min="41" max="41" width="18.7109375" customWidth="1"/>
    <col min="42" max="43" width="17.5703125" customWidth="1"/>
    <col min="44" max="44" width="13" customWidth="1"/>
    <col min="45" max="45" width="7.5703125" customWidth="1"/>
    <col min="46" max="46" width="17" customWidth="1"/>
    <col min="47" max="47" width="28.5703125" customWidth="1"/>
    <col min="48" max="48" width="33.5703125" customWidth="1"/>
    <col min="49" max="49" width="17.5703125" customWidth="1"/>
    <col min="50" max="50" width="16.7109375" customWidth="1"/>
    <col min="51" max="51" width="28.5703125" customWidth="1"/>
  </cols>
  <sheetData>
    <row r="5" spans="1:51">
      <c r="A5" s="123" t="s">
        <v>234</v>
      </c>
      <c r="B5" s="121"/>
      <c r="C5" s="121"/>
      <c r="D5" s="121"/>
    </row>
    <row r="6" spans="1:51" ht="36">
      <c r="A6" s="124" t="s">
        <v>235</v>
      </c>
      <c r="B6" s="124"/>
      <c r="C6" s="124"/>
      <c r="D6" s="124" t="s">
        <v>235</v>
      </c>
      <c r="E6" s="124"/>
      <c r="F6" s="124"/>
      <c r="G6" s="124" t="s">
        <v>235</v>
      </c>
      <c r="H6" s="124"/>
      <c r="I6" s="124"/>
      <c r="J6" s="124" t="s">
        <v>235</v>
      </c>
      <c r="K6" s="124"/>
      <c r="L6" s="124"/>
      <c r="M6" s="124" t="s">
        <v>235</v>
      </c>
      <c r="N6" s="124"/>
      <c r="O6" s="124"/>
      <c r="P6" s="124" t="s">
        <v>235</v>
      </c>
      <c r="Q6" s="124"/>
      <c r="R6" s="124"/>
      <c r="S6" s="124" t="s">
        <v>235</v>
      </c>
      <c r="T6" s="124"/>
      <c r="U6" s="124"/>
      <c r="V6" s="124" t="s">
        <v>235</v>
      </c>
      <c r="W6" s="124"/>
      <c r="X6" s="124"/>
      <c r="Y6" s="124" t="s">
        <v>235</v>
      </c>
      <c r="Z6" s="124"/>
      <c r="AA6" s="124"/>
      <c r="AB6" s="124" t="s">
        <v>235</v>
      </c>
      <c r="AC6" s="124"/>
      <c r="AD6" s="124"/>
      <c r="AE6" s="124" t="s">
        <v>235</v>
      </c>
      <c r="AF6" s="124"/>
      <c r="AG6" s="124"/>
      <c r="AH6" s="124" t="s">
        <v>235</v>
      </c>
      <c r="AI6" s="124"/>
      <c r="AJ6" s="124"/>
      <c r="AK6" s="124" t="s">
        <v>235</v>
      </c>
      <c r="AL6" s="124"/>
      <c r="AM6" s="124"/>
      <c r="AN6" s="124" t="s">
        <v>235</v>
      </c>
      <c r="AO6" s="124"/>
      <c r="AP6" s="124"/>
      <c r="AQ6" s="124" t="s">
        <v>235</v>
      </c>
      <c r="AR6" s="124"/>
      <c r="AS6" s="124"/>
      <c r="AT6" s="124" t="s">
        <v>235</v>
      </c>
      <c r="AU6" s="124"/>
      <c r="AV6" s="124"/>
      <c r="AW6" s="124" t="s">
        <v>235</v>
      </c>
      <c r="AX6" s="124"/>
      <c r="AY6" s="124"/>
    </row>
    <row r="10" spans="1:51">
      <c r="I10" t="s">
        <v>236</v>
      </c>
    </row>
    <row r="12" spans="1:51">
      <c r="A12" s="125" t="s">
        <v>237</v>
      </c>
      <c r="B12" s="125" t="s">
        <v>238</v>
      </c>
      <c r="I12" s="125" t="s">
        <v>237</v>
      </c>
      <c r="J12" s="125" t="s">
        <v>238</v>
      </c>
      <c r="R12" s="125" t="s">
        <v>237</v>
      </c>
      <c r="S12" s="125" t="s">
        <v>238</v>
      </c>
      <c r="W12" s="125" t="s">
        <v>237</v>
      </c>
      <c r="X12" s="125" t="s">
        <v>238</v>
      </c>
    </row>
    <row r="13" spans="1:51">
      <c r="A13" s="126" t="s">
        <v>239</v>
      </c>
      <c r="B13" s="125" t="s">
        <v>240</v>
      </c>
      <c r="I13" s="126" t="s">
        <v>239</v>
      </c>
      <c r="J13" s="125" t="s">
        <v>240</v>
      </c>
      <c r="R13" s="126" t="s">
        <v>239</v>
      </c>
      <c r="S13" s="125" t="s">
        <v>240</v>
      </c>
      <c r="W13" s="126" t="s">
        <v>239</v>
      </c>
      <c r="X13" s="125" t="s">
        <v>240</v>
      </c>
    </row>
    <row r="14" spans="1:51">
      <c r="A14" s="125" t="s">
        <v>241</v>
      </c>
      <c r="B14" s="125" t="s">
        <v>235</v>
      </c>
      <c r="I14" s="125" t="s">
        <v>241</v>
      </c>
      <c r="J14" s="125" t="s">
        <v>235</v>
      </c>
      <c r="R14" s="125" t="s">
        <v>241</v>
      </c>
      <c r="S14" s="125" t="s">
        <v>235</v>
      </c>
      <c r="W14" s="125" t="s">
        <v>241</v>
      </c>
      <c r="X14" s="125" t="s">
        <v>235</v>
      </c>
    </row>
    <row r="15" spans="1:51">
      <c r="A15" s="125"/>
      <c r="B15" s="125"/>
      <c r="I15" s="125"/>
      <c r="J15" s="125"/>
      <c r="R15" s="125"/>
      <c r="S15" s="125"/>
      <c r="W15" s="125"/>
      <c r="X15" s="125"/>
    </row>
    <row r="16" spans="1:51">
      <c r="A16" s="126"/>
      <c r="B16" s="125" t="s">
        <v>242</v>
      </c>
      <c r="C16" s="126"/>
      <c r="D16" s="126"/>
      <c r="E16" s="126"/>
      <c r="F16" s="126"/>
      <c r="I16" s="126"/>
      <c r="J16" s="125" t="s">
        <v>242</v>
      </c>
      <c r="K16" s="126"/>
      <c r="L16" s="126"/>
      <c r="M16" s="126"/>
      <c r="N16" s="126"/>
      <c r="R16" s="126"/>
      <c r="S16" s="125" t="s">
        <v>242</v>
      </c>
      <c r="T16" s="126"/>
      <c r="U16" s="126"/>
      <c r="W16" s="126"/>
      <c r="X16" s="125" t="s">
        <v>242</v>
      </c>
      <c r="Y16" s="126"/>
      <c r="Z16" s="126"/>
      <c r="AA16" s="126"/>
      <c r="AB16" s="126"/>
    </row>
    <row r="17" spans="1:28" ht="45">
      <c r="A17" s="126" t="s">
        <v>243</v>
      </c>
      <c r="B17" s="126" t="s">
        <v>244</v>
      </c>
      <c r="C17" s="126" t="s">
        <v>245</v>
      </c>
      <c r="D17" s="126" t="s">
        <v>246</v>
      </c>
      <c r="E17" s="126" t="s">
        <v>247</v>
      </c>
      <c r="F17" s="126" t="s">
        <v>248</v>
      </c>
      <c r="I17" s="127" t="s">
        <v>243</v>
      </c>
      <c r="J17" s="127" t="s">
        <v>244</v>
      </c>
      <c r="K17" s="127" t="s">
        <v>245</v>
      </c>
      <c r="L17" s="127" t="s">
        <v>246</v>
      </c>
      <c r="M17" s="127" t="s">
        <v>247</v>
      </c>
      <c r="N17" s="127" t="s">
        <v>248</v>
      </c>
      <c r="R17" s="125" t="s">
        <v>243</v>
      </c>
      <c r="S17" s="126" t="s">
        <v>244</v>
      </c>
      <c r="T17" s="126" t="s">
        <v>245</v>
      </c>
      <c r="U17" s="125" t="s">
        <v>249</v>
      </c>
      <c r="W17" s="126" t="s">
        <v>243</v>
      </c>
      <c r="X17" s="126" t="s">
        <v>244</v>
      </c>
      <c r="Y17" s="126" t="s">
        <v>245</v>
      </c>
      <c r="Z17" s="126" t="s">
        <v>249</v>
      </c>
      <c r="AA17" s="126" t="s">
        <v>250</v>
      </c>
      <c r="AB17" s="126" t="s">
        <v>251</v>
      </c>
    </row>
    <row r="18" spans="1:28" ht="15">
      <c r="A18" s="128" t="s">
        <v>252</v>
      </c>
      <c r="B18" s="125">
        <v>765491.85376233014</v>
      </c>
      <c r="C18" s="125">
        <v>30970.242673291388</v>
      </c>
      <c r="D18" s="129">
        <v>7.929559904610381E-2</v>
      </c>
      <c r="E18" s="125">
        <v>32991.073052898333</v>
      </c>
      <c r="F18" s="129">
        <v>7.715724915912768E-2</v>
      </c>
      <c r="I18" s="130" t="s">
        <v>252</v>
      </c>
      <c r="J18" s="131">
        <v>765491.85376233014</v>
      </c>
      <c r="K18" s="131">
        <v>30970.242673291388</v>
      </c>
      <c r="L18" s="132">
        <v>7.9295599046103796E-2</v>
      </c>
      <c r="M18" s="131">
        <v>32991.07305289834</v>
      </c>
      <c r="N18" s="132">
        <v>7.7157249159127694E-2</v>
      </c>
      <c r="R18" s="128" t="s">
        <v>253</v>
      </c>
      <c r="S18" s="125">
        <v>1418934.6092734372</v>
      </c>
      <c r="T18" s="125">
        <v>68117.92490312492</v>
      </c>
      <c r="U18" s="133">
        <v>1.532927782616367</v>
      </c>
      <c r="W18" s="128" t="s">
        <v>252</v>
      </c>
      <c r="X18" s="125">
        <v>765491.85376233014</v>
      </c>
      <c r="Y18" s="125">
        <v>30970.242673291388</v>
      </c>
      <c r="Z18" s="133">
        <v>1.8806834298391504</v>
      </c>
      <c r="AA18" s="134">
        <v>1.9630182952175161</v>
      </c>
      <c r="AB18" s="125">
        <v>13447.701093672096</v>
      </c>
    </row>
    <row r="19" spans="1:28">
      <c r="A19" s="128" t="s">
        <v>254</v>
      </c>
      <c r="B19" s="125">
        <v>4729618.8621353498</v>
      </c>
      <c r="C19" s="125">
        <v>68807.873603117303</v>
      </c>
      <c r="D19" s="129">
        <v>0.17617432365659672</v>
      </c>
      <c r="E19" s="125">
        <v>92461.577769018768</v>
      </c>
      <c r="F19" s="129">
        <v>0.2162427691312544</v>
      </c>
      <c r="I19" s="135">
        <v>18</v>
      </c>
      <c r="J19" s="125">
        <v>75396.97560836692</v>
      </c>
      <c r="K19" s="125">
        <v>2167.890487524553</v>
      </c>
      <c r="L19" s="129">
        <v>5.5506240841586597E-3</v>
      </c>
      <c r="M19" s="125">
        <v>4188.720867131502</v>
      </c>
      <c r="N19" s="129">
        <v>9.7962918358276835E-3</v>
      </c>
      <c r="R19" s="128" t="s">
        <v>255</v>
      </c>
      <c r="S19" s="125">
        <v>48818.266543580015</v>
      </c>
      <c r="T19" s="125">
        <v>2475.7639174298902</v>
      </c>
      <c r="U19" s="133">
        <v>1.7172003513392475</v>
      </c>
      <c r="W19" s="128" t="s">
        <v>254</v>
      </c>
      <c r="X19" s="125">
        <v>4729618.8621353498</v>
      </c>
      <c r="Y19" s="125">
        <v>68807.873603117303</v>
      </c>
      <c r="Z19" s="133">
        <v>2.5450613480403961</v>
      </c>
      <c r="AA19" s="134">
        <v>3.335040550032867</v>
      </c>
      <c r="AB19" s="125">
        <v>71546.907938605465</v>
      </c>
    </row>
    <row r="20" spans="1:28">
      <c r="A20" s="128" t="s">
        <v>256</v>
      </c>
      <c r="B20" s="125">
        <v>1497873.0110172173</v>
      </c>
      <c r="C20" s="125">
        <v>256939.55429528479</v>
      </c>
      <c r="D20" s="129">
        <v>0.65786297160836038</v>
      </c>
      <c r="E20" s="125">
        <v>268280.32639935287</v>
      </c>
      <c r="F20" s="129">
        <v>0.62743554764941034</v>
      </c>
      <c r="I20" s="135">
        <v>24</v>
      </c>
      <c r="J20" s="125">
        <v>690094.87815396325</v>
      </c>
      <c r="K20" s="125">
        <v>28802.352185766835</v>
      </c>
      <c r="L20" s="129">
        <v>7.3744974961945139E-2</v>
      </c>
      <c r="M20" s="125">
        <v>28802.352185766835</v>
      </c>
      <c r="N20" s="129">
        <v>6.7360957323299997E-2</v>
      </c>
      <c r="R20" s="128" t="s">
        <v>257</v>
      </c>
      <c r="S20" s="125">
        <v>329735.26326399471</v>
      </c>
      <c r="T20" s="125">
        <v>20058.657512111517</v>
      </c>
      <c r="U20" s="133">
        <v>2.1932823684562406</v>
      </c>
      <c r="W20" s="128" t="s">
        <v>256</v>
      </c>
      <c r="X20" s="125">
        <v>1497873.0110172173</v>
      </c>
      <c r="Y20" s="125">
        <v>256939.55429528479</v>
      </c>
      <c r="Z20" s="133">
        <v>1.9719934839466617</v>
      </c>
      <c r="AA20" s="134">
        <v>2.0741582829780971</v>
      </c>
      <c r="AB20" s="125">
        <v>113954.7965804173</v>
      </c>
    </row>
    <row r="21" spans="1:28" ht="15">
      <c r="A21" s="128" t="s">
        <v>258</v>
      </c>
      <c r="B21" s="125">
        <v>483910.51548431814</v>
      </c>
      <c r="C21" s="125">
        <v>30513.105291683405</v>
      </c>
      <c r="D21" s="129">
        <v>7.8125153502510009E-2</v>
      </c>
      <c r="E21" s="125">
        <v>30513.105291683405</v>
      </c>
      <c r="F21" s="129">
        <v>7.1361948847016451E-2</v>
      </c>
      <c r="I21" s="130" t="s">
        <v>254</v>
      </c>
      <c r="J21" s="131">
        <v>4729618.8621353507</v>
      </c>
      <c r="K21" s="131">
        <v>68807.873603117347</v>
      </c>
      <c r="L21" s="132">
        <v>0.1761743236565968</v>
      </c>
      <c r="M21" s="131">
        <v>92461.577769018797</v>
      </c>
      <c r="N21" s="132">
        <v>0.21624276913125443</v>
      </c>
      <c r="R21" s="128" t="s">
        <v>259</v>
      </c>
      <c r="S21" s="125">
        <v>3113794.2216756842</v>
      </c>
      <c r="T21" s="125">
        <v>150354.39078315944</v>
      </c>
      <c r="U21" s="133">
        <v>2.9805907775567788</v>
      </c>
      <c r="W21" s="128" t="s">
        <v>258</v>
      </c>
      <c r="X21" s="125">
        <v>483910.51548431814</v>
      </c>
      <c r="Y21" s="125">
        <v>30513.105291683405</v>
      </c>
      <c r="Z21" s="133">
        <v>2.3632033583275995</v>
      </c>
      <c r="AA21" s="134">
        <v>2.3632033583275995</v>
      </c>
      <c r="AB21" s="125">
        <v>26719.513771517268</v>
      </c>
    </row>
    <row r="22" spans="1:28">
      <c r="A22" s="128" t="s">
        <v>260</v>
      </c>
      <c r="B22" s="125">
        <v>92275.809431863716</v>
      </c>
      <c r="C22" s="125">
        <v>3336.2044716195383</v>
      </c>
      <c r="D22" s="129">
        <v>8.5419521864291102E-3</v>
      </c>
      <c r="E22" s="125">
        <v>3336.2044716195383</v>
      </c>
      <c r="F22" s="129">
        <v>7.8024852131910408E-3</v>
      </c>
      <c r="I22" s="135">
        <v>20</v>
      </c>
      <c r="J22" s="125">
        <v>204639.78151118074</v>
      </c>
      <c r="K22" s="125">
        <v>5627.0090880458811</v>
      </c>
      <c r="L22" s="129">
        <v>1.4407283184101973E-2</v>
      </c>
      <c r="M22" s="125">
        <v>10255.964622325409</v>
      </c>
      <c r="N22" s="129">
        <v>2.3985943605506373E-2</v>
      </c>
      <c r="R22" s="128" t="s">
        <v>261</v>
      </c>
      <c r="S22" s="125">
        <v>314214.09072316246</v>
      </c>
      <c r="T22" s="125">
        <v>25587.406605104803</v>
      </c>
      <c r="U22" s="133">
        <v>4.0282535678812259</v>
      </c>
      <c r="W22" s="128" t="s">
        <v>260</v>
      </c>
      <c r="X22" s="125">
        <v>92275.809431863716</v>
      </c>
      <c r="Y22" s="125">
        <v>3336.2044716195383</v>
      </c>
      <c r="Z22" s="133">
        <v>1.680305118404148</v>
      </c>
      <c r="AA22" s="134">
        <v>1.680305118404148</v>
      </c>
      <c r="AB22" s="125">
        <v>1447.1422048185734</v>
      </c>
    </row>
    <row r="23" spans="1:28">
      <c r="A23" s="128" t="s">
        <v>262</v>
      </c>
      <c r="B23" s="125">
        <v>7569170.0518310796</v>
      </c>
      <c r="C23" s="125">
        <v>390566.98033499642</v>
      </c>
      <c r="D23" s="129">
        <v>1</v>
      </c>
      <c r="E23" s="125">
        <v>427582.28698457294</v>
      </c>
      <c r="F23" s="129">
        <v>1</v>
      </c>
      <c r="I23" s="135">
        <v>30</v>
      </c>
      <c r="J23" s="125">
        <v>37277.329614273935</v>
      </c>
      <c r="K23" s="125">
        <v>621.28882690456555</v>
      </c>
      <c r="L23" s="129">
        <v>1.5907356693893445E-3</v>
      </c>
      <c r="M23" s="125">
        <v>1242.5776538091311</v>
      </c>
      <c r="N23" s="129">
        <v>2.9060550252727442E-3</v>
      </c>
      <c r="R23" s="128" t="s">
        <v>263</v>
      </c>
      <c r="S23" s="125">
        <v>518879.37707038206</v>
      </c>
      <c r="T23" s="125">
        <v>32143.728198068125</v>
      </c>
      <c r="U23" s="133">
        <v>2.7256926300611246</v>
      </c>
      <c r="W23" s="128" t="s">
        <v>262</v>
      </c>
      <c r="X23" s="125">
        <v>7569170.0518310824</v>
      </c>
      <c r="Y23" s="125">
        <v>390566.98033499654</v>
      </c>
      <c r="Z23" s="133">
        <v>2.0945175339928022</v>
      </c>
      <c r="AA23" s="134">
        <v>2.3200418439220911</v>
      </c>
      <c r="AB23" s="125">
        <v>227116.06158903078</v>
      </c>
    </row>
    <row r="24" spans="1:28">
      <c r="I24" s="135">
        <v>40</v>
      </c>
      <c r="J24" s="125">
        <v>324378.89258937683</v>
      </c>
      <c r="K24" s="125">
        <v>8109.4723147344148</v>
      </c>
      <c r="L24" s="129">
        <v>2.0763333110696586E-2</v>
      </c>
      <c r="M24" s="125">
        <v>8109.4723147344148</v>
      </c>
      <c r="N24" s="129">
        <v>1.8965875251579355E-2</v>
      </c>
      <c r="R24" s="128" t="s">
        <v>264</v>
      </c>
      <c r="S24" s="125">
        <v>129822.16184429001</v>
      </c>
      <c r="T24" s="125">
        <v>7841.3021230397853</v>
      </c>
      <c r="U24" s="133">
        <v>4.3059525448960549</v>
      </c>
    </row>
    <row r="25" spans="1:28">
      <c r="I25" s="135">
        <v>60</v>
      </c>
      <c r="J25" s="125">
        <v>4163322.8584205192</v>
      </c>
      <c r="K25" s="125">
        <v>54450.103373432481</v>
      </c>
      <c r="L25" s="129">
        <v>0.13941297169240888</v>
      </c>
      <c r="M25" s="125">
        <v>72853.563178149838</v>
      </c>
      <c r="N25" s="129">
        <v>0.17038489524889594</v>
      </c>
      <c r="R25" s="128" t="s">
        <v>265</v>
      </c>
      <c r="S25" s="125">
        <v>1128287.8756969655</v>
      </c>
      <c r="T25" s="125">
        <v>43853.169124636035</v>
      </c>
      <c r="U25" s="133">
        <v>1.5114933580776317</v>
      </c>
    </row>
    <row r="26" spans="1:28" ht="15">
      <c r="I26" s="130" t="s">
        <v>256</v>
      </c>
      <c r="J26" s="131">
        <v>1497873.0110172178</v>
      </c>
      <c r="K26" s="131">
        <v>256939.55429528479</v>
      </c>
      <c r="L26" s="132">
        <v>0.65786297160836027</v>
      </c>
      <c r="M26" s="131">
        <v>268280.32639935287</v>
      </c>
      <c r="N26" s="132">
        <v>0.62743554764941023</v>
      </c>
      <c r="R26" s="128" t="s">
        <v>266</v>
      </c>
      <c r="S26" s="125">
        <v>324949.71269323211</v>
      </c>
      <c r="T26" s="125">
        <v>25553.772598849308</v>
      </c>
      <c r="U26" s="133">
        <v>1.1275250331708215</v>
      </c>
    </row>
    <row r="27" spans="1:28">
      <c r="I27" s="135">
        <v>1</v>
      </c>
      <c r="J27" s="125">
        <v>6467.0607130195676</v>
      </c>
      <c r="K27" s="125">
        <v>2893.4196315891795</v>
      </c>
      <c r="L27" s="129">
        <v>7.4082546074617991E-3</v>
      </c>
      <c r="M27" s="125">
        <v>2893.4196315891795</v>
      </c>
      <c r="N27" s="129">
        <v>6.7669305293125322E-3</v>
      </c>
      <c r="R27" s="128" t="s">
        <v>267</v>
      </c>
      <c r="S27" s="125">
        <v>241734.47304635058</v>
      </c>
      <c r="T27" s="125">
        <v>14580.864569472833</v>
      </c>
      <c r="U27" s="133">
        <v>1.1959294985234707</v>
      </c>
    </row>
    <row r="28" spans="1:28">
      <c r="I28" s="135">
        <v>2</v>
      </c>
      <c r="J28" s="125">
        <v>71317.32744601708</v>
      </c>
      <c r="K28" s="125">
        <v>27023.379333947694</v>
      </c>
      <c r="L28" s="129">
        <v>6.9190127928298609E-2</v>
      </c>
      <c r="M28" s="125">
        <v>33105.071133713231</v>
      </c>
      <c r="N28" s="129">
        <v>7.7423860018101379E-2</v>
      </c>
      <c r="R28" s="128" t="s">
        <v>262</v>
      </c>
      <c r="S28" s="125">
        <v>7569170.0518310834</v>
      </c>
      <c r="T28" s="125">
        <v>390566.98033499677</v>
      </c>
      <c r="U28" s="133">
        <v>2.0945175339928022</v>
      </c>
    </row>
    <row r="29" spans="1:28">
      <c r="I29" s="135">
        <v>3</v>
      </c>
      <c r="J29" s="125">
        <v>29485.983962861508</v>
      </c>
      <c r="K29" s="125">
        <v>9271.5390031373772</v>
      </c>
      <c r="L29" s="129">
        <v>2.3738665760185379E-2</v>
      </c>
      <c r="M29" s="125">
        <v>9271.5390031373772</v>
      </c>
      <c r="N29" s="129">
        <v>2.1683636776730863E-2</v>
      </c>
    </row>
    <row r="30" spans="1:28">
      <c r="A30" s="136" t="s">
        <v>237</v>
      </c>
      <c r="B30" s="136" t="s">
        <v>238</v>
      </c>
      <c r="C30" s="55"/>
      <c r="D30" s="55"/>
      <c r="E30" s="55"/>
      <c r="F30" s="55"/>
      <c r="I30" s="135">
        <v>4</v>
      </c>
      <c r="J30" s="125">
        <v>108388.45519892222</v>
      </c>
      <c r="K30" s="125">
        <v>27906.255229878803</v>
      </c>
      <c r="L30" s="129">
        <v>7.1450625974431053E-2</v>
      </c>
      <c r="M30" s="125">
        <v>27906.255229878803</v>
      </c>
      <c r="N30" s="129">
        <v>6.5265227487979763E-2</v>
      </c>
      <c r="W30" s="55" t="s">
        <v>237</v>
      </c>
      <c r="X30" s="136" t="s">
        <v>238</v>
      </c>
      <c r="Y30" s="55"/>
      <c r="Z30" s="55"/>
      <c r="AA30" s="55"/>
      <c r="AB30" s="55"/>
    </row>
    <row r="31" spans="1:28">
      <c r="A31" s="136" t="s">
        <v>239</v>
      </c>
      <c r="B31" s="136" t="s">
        <v>240</v>
      </c>
      <c r="C31" s="55"/>
      <c r="D31" s="55"/>
      <c r="E31" s="55"/>
      <c r="F31" s="55"/>
      <c r="I31" s="135">
        <v>5</v>
      </c>
      <c r="J31" s="125">
        <v>177875.3186870949</v>
      </c>
      <c r="K31" s="125">
        <v>34866.46277399845</v>
      </c>
      <c r="L31" s="129">
        <v>8.9271404213671218E-2</v>
      </c>
      <c r="M31" s="125">
        <v>35458.725523963178</v>
      </c>
      <c r="N31" s="129">
        <v>8.2928424781175542E-2</v>
      </c>
      <c r="W31" s="136" t="s">
        <v>239</v>
      </c>
      <c r="X31" s="136" t="s">
        <v>240</v>
      </c>
      <c r="Y31" s="55"/>
      <c r="Z31" s="55"/>
      <c r="AA31" s="55"/>
      <c r="AB31" s="55"/>
    </row>
    <row r="32" spans="1:28">
      <c r="A32" s="136" t="s">
        <v>241</v>
      </c>
      <c r="B32" s="136" t="s">
        <v>235</v>
      </c>
      <c r="C32" s="55"/>
      <c r="D32" s="55"/>
      <c r="E32" s="55"/>
      <c r="F32" s="55"/>
      <c r="I32" s="135">
        <v>10</v>
      </c>
      <c r="J32" s="125">
        <v>1091541.1398367207</v>
      </c>
      <c r="K32" s="125">
        <v>152387.5478276707</v>
      </c>
      <c r="L32" s="129">
        <v>0.39017007453360519</v>
      </c>
      <c r="M32" s="125">
        <v>157054.36538200852</v>
      </c>
      <c r="N32" s="129">
        <v>0.36730793150857294</v>
      </c>
      <c r="W32" s="136" t="s">
        <v>241</v>
      </c>
      <c r="X32" s="136" t="s">
        <v>235</v>
      </c>
      <c r="Y32" s="55"/>
      <c r="Z32" s="55"/>
      <c r="AA32" s="55"/>
      <c r="AB32" s="55"/>
    </row>
    <row r="33" spans="1:38">
      <c r="A33" s="125"/>
      <c r="B33" s="125"/>
      <c r="I33" s="135" t="s">
        <v>268</v>
      </c>
      <c r="J33" s="125">
        <v>12797.725172581881</v>
      </c>
      <c r="K33" s="125">
        <v>2590.9504950625937</v>
      </c>
      <c r="L33" s="129">
        <v>6.6338185907069969E-3</v>
      </c>
      <c r="M33" s="125">
        <v>2590.9504950625937</v>
      </c>
      <c r="N33" s="129">
        <v>6.0595365475372793E-3</v>
      </c>
      <c r="W33" s="125"/>
      <c r="X33" s="125"/>
    </row>
    <row r="34" spans="1:38" ht="15.75" thickBot="1">
      <c r="A34" s="125"/>
      <c r="B34" s="125" t="s">
        <v>242</v>
      </c>
      <c r="C34" s="125"/>
      <c r="D34" s="125"/>
      <c r="E34" s="125"/>
      <c r="F34" s="125"/>
      <c r="I34" s="130" t="s">
        <v>258</v>
      </c>
      <c r="J34" s="131">
        <v>483910.51548431814</v>
      </c>
      <c r="K34" s="131">
        <v>30513.105291683405</v>
      </c>
      <c r="L34" s="132">
        <v>7.8125153502510009E-2</v>
      </c>
      <c r="M34" s="131">
        <v>30513.105291683405</v>
      </c>
      <c r="N34" s="132">
        <v>7.1361948847016451E-2</v>
      </c>
      <c r="W34" s="125"/>
      <c r="X34" s="125" t="s">
        <v>242</v>
      </c>
      <c r="Y34" s="125"/>
      <c r="Z34" s="125"/>
      <c r="AA34" s="125"/>
      <c r="AB34" s="125"/>
      <c r="AE34" s="55" t="s">
        <v>269</v>
      </c>
      <c r="AF34" s="55"/>
      <c r="AG34" s="55"/>
      <c r="AH34" s="55"/>
      <c r="AI34" s="55"/>
    </row>
    <row r="35" spans="1:38" ht="45">
      <c r="A35" s="127" t="s">
        <v>243</v>
      </c>
      <c r="B35" s="127" t="s">
        <v>244</v>
      </c>
      <c r="C35" s="127" t="s">
        <v>245</v>
      </c>
      <c r="D35" s="127" t="s">
        <v>246</v>
      </c>
      <c r="E35" s="127" t="s">
        <v>247</v>
      </c>
      <c r="F35" s="127" t="s">
        <v>248</v>
      </c>
      <c r="I35" s="135" t="s">
        <v>268</v>
      </c>
      <c r="J35" s="125">
        <v>483910.51548431814</v>
      </c>
      <c r="K35" s="125">
        <v>30513.105291683405</v>
      </c>
      <c r="L35" s="129">
        <v>7.8125153502510009E-2</v>
      </c>
      <c r="M35" s="125">
        <v>30513.105291683405</v>
      </c>
      <c r="N35" s="129">
        <v>7.1361948847016451E-2</v>
      </c>
      <c r="W35" s="127" t="s">
        <v>243</v>
      </c>
      <c r="X35" s="127" t="s">
        <v>244</v>
      </c>
      <c r="Y35" s="127" t="s">
        <v>245</v>
      </c>
      <c r="Z35" s="127" t="s">
        <v>249</v>
      </c>
      <c r="AA35" s="127" t="s">
        <v>250</v>
      </c>
      <c r="AB35" s="127" t="s">
        <v>251</v>
      </c>
      <c r="AE35" s="137" t="s">
        <v>270</v>
      </c>
      <c r="AF35" s="137" t="s">
        <v>271</v>
      </c>
      <c r="AG35" s="138"/>
      <c r="AH35" s="139" t="s">
        <v>272</v>
      </c>
      <c r="AI35" s="139"/>
      <c r="AJ35" s="138"/>
      <c r="AK35" s="140" t="s">
        <v>273</v>
      </c>
      <c r="AL35" s="140"/>
    </row>
    <row r="36" spans="1:38" ht="15">
      <c r="A36" s="128" t="s">
        <v>252</v>
      </c>
      <c r="B36" s="125">
        <v>765491.85376233014</v>
      </c>
      <c r="C36" s="125">
        <v>30970.242673291388</v>
      </c>
      <c r="D36" s="129">
        <v>7.929559904610381E-2</v>
      </c>
      <c r="E36" s="125">
        <v>32991.073052898333</v>
      </c>
      <c r="F36" s="129">
        <v>7.715724915912768E-2</v>
      </c>
      <c r="I36" s="130" t="s">
        <v>260</v>
      </c>
      <c r="J36" s="131">
        <v>92275.809431863716</v>
      </c>
      <c r="K36" s="131">
        <v>3336.2044716195383</v>
      </c>
      <c r="L36" s="132">
        <v>8.5419521864291102E-3</v>
      </c>
      <c r="M36" s="131">
        <v>3336.2044716195383</v>
      </c>
      <c r="N36" s="132">
        <v>7.8024852131910391E-3</v>
      </c>
      <c r="W36" s="128" t="s">
        <v>252</v>
      </c>
      <c r="X36" s="125">
        <v>765491.85376233014</v>
      </c>
      <c r="Y36" s="125">
        <v>30970.242673291388</v>
      </c>
      <c r="Z36" s="133">
        <v>1.8806834298391504</v>
      </c>
      <c r="AA36" s="134">
        <v>1.9630182952175161</v>
      </c>
      <c r="AB36" s="125">
        <v>13447.701093672096</v>
      </c>
      <c r="AE36">
        <v>1</v>
      </c>
      <c r="AF36">
        <v>178</v>
      </c>
      <c r="AH36" s="141"/>
      <c r="AI36" s="141"/>
      <c r="AK36" s="142">
        <v>1.2141867612293149</v>
      </c>
      <c r="AL36" t="s">
        <v>274</v>
      </c>
    </row>
    <row r="37" spans="1:38">
      <c r="A37" s="128" t="s">
        <v>254</v>
      </c>
      <c r="B37" s="125">
        <v>4729618.8621353498</v>
      </c>
      <c r="C37" s="125">
        <v>68807.873603117303</v>
      </c>
      <c r="D37" s="129">
        <v>0.17617432365659672</v>
      </c>
      <c r="E37" s="125">
        <v>92461.577769018768</v>
      </c>
      <c r="F37" s="129">
        <v>0.2162427691312544</v>
      </c>
      <c r="I37" s="135">
        <v>40</v>
      </c>
      <c r="J37" s="125">
        <v>92275.809431863716</v>
      </c>
      <c r="K37" s="125">
        <v>3336.2044716195383</v>
      </c>
      <c r="L37" s="129">
        <v>8.5419521864291102E-3</v>
      </c>
      <c r="M37" s="125">
        <v>3336.2044716195383</v>
      </c>
      <c r="N37" s="129">
        <v>7.8024852131910391E-3</v>
      </c>
      <c r="W37" s="128" t="s">
        <v>254</v>
      </c>
      <c r="X37" s="125">
        <v>4729618.8621353498</v>
      </c>
      <c r="Y37" s="125">
        <v>68807.873603117303</v>
      </c>
      <c r="Z37" s="133">
        <v>2.5450613480403961</v>
      </c>
      <c r="AA37" s="134">
        <v>3.335040550032867</v>
      </c>
      <c r="AB37" s="125">
        <v>71546.907938605465</v>
      </c>
      <c r="AE37">
        <v>2</v>
      </c>
      <c r="AF37">
        <v>128</v>
      </c>
      <c r="AH37" s="143" t="s">
        <v>275</v>
      </c>
      <c r="AI37" s="144">
        <v>2.0762081731709814</v>
      </c>
      <c r="AK37">
        <v>3.3</v>
      </c>
      <c r="AL37" t="s">
        <v>276</v>
      </c>
    </row>
    <row r="38" spans="1:38" ht="15">
      <c r="A38" s="128" t="s">
        <v>256</v>
      </c>
      <c r="B38" s="125">
        <v>1497873.0110172173</v>
      </c>
      <c r="C38" s="125">
        <v>256939.55429528479</v>
      </c>
      <c r="D38" s="129">
        <v>0.65786297160836038</v>
      </c>
      <c r="E38" s="125">
        <v>268280.32639935287</v>
      </c>
      <c r="F38" s="129">
        <v>0.62743554764941034</v>
      </c>
      <c r="I38" s="145" t="s">
        <v>262</v>
      </c>
      <c r="J38" s="146">
        <v>7569170.0518310824</v>
      </c>
      <c r="K38" s="146">
        <v>390566.98033499648</v>
      </c>
      <c r="L38" s="147">
        <v>1</v>
      </c>
      <c r="M38" s="146">
        <v>427582.286984573</v>
      </c>
      <c r="N38" s="147">
        <v>1</v>
      </c>
      <c r="W38" s="128" t="s">
        <v>256</v>
      </c>
      <c r="X38" s="125">
        <v>1497873.0110172173</v>
      </c>
      <c r="Y38" s="125">
        <v>256939.55429528479</v>
      </c>
      <c r="Z38" s="133">
        <v>1.9719934839466617</v>
      </c>
      <c r="AA38" s="134">
        <v>2.0741582829780971</v>
      </c>
      <c r="AB38" s="125">
        <v>113954.7965804173</v>
      </c>
      <c r="AE38">
        <v>3</v>
      </c>
      <c r="AF38">
        <v>51</v>
      </c>
      <c r="AH38" s="141" t="s">
        <v>277</v>
      </c>
      <c r="AI38" s="148">
        <v>0.15493253574298674</v>
      </c>
      <c r="AK38" s="149">
        <v>4006816.3120567393</v>
      </c>
      <c r="AL38" t="s">
        <v>278</v>
      </c>
    </row>
    <row r="39" spans="1:38">
      <c r="A39" s="128" t="s">
        <v>258</v>
      </c>
      <c r="B39" s="125">
        <v>483910.51548431814</v>
      </c>
      <c r="C39" s="125">
        <v>30513.105291683405</v>
      </c>
      <c r="D39" s="129">
        <v>7.8125153502510009E-2</v>
      </c>
      <c r="E39" s="125">
        <v>30513.105291683405</v>
      </c>
      <c r="F39" s="129">
        <v>7.1361948847016451E-2</v>
      </c>
      <c r="W39" s="128" t="s">
        <v>258</v>
      </c>
      <c r="X39" s="125">
        <v>483910.51548431814</v>
      </c>
      <c r="Y39" s="125">
        <v>30513.105291683405</v>
      </c>
      <c r="Z39" s="133">
        <v>2.3632033583275995</v>
      </c>
      <c r="AA39" s="134">
        <v>2.3632033583275995</v>
      </c>
      <c r="AB39" s="125">
        <v>26719.513771517268</v>
      </c>
      <c r="AE39">
        <v>4</v>
      </c>
      <c r="AF39">
        <v>32</v>
      </c>
      <c r="AH39" s="143" t="s">
        <v>279</v>
      </c>
      <c r="AI39" s="144">
        <v>1.2141867612293149</v>
      </c>
    </row>
    <row r="40" spans="1:38">
      <c r="A40" s="128" t="s">
        <v>260</v>
      </c>
      <c r="B40" s="125">
        <v>92275.809431863716</v>
      </c>
      <c r="C40" s="125">
        <v>3336.2044716195383</v>
      </c>
      <c r="D40" s="129">
        <v>8.5419521864291102E-3</v>
      </c>
      <c r="E40" s="125">
        <v>3336.2044716195383</v>
      </c>
      <c r="F40" s="129">
        <v>7.8024852131910408E-3</v>
      </c>
      <c r="W40" s="128" t="s">
        <v>260</v>
      </c>
      <c r="X40" s="125">
        <v>92275.809431863716</v>
      </c>
      <c r="Y40" s="125">
        <v>3336.2044716195383</v>
      </c>
      <c r="Z40" s="133">
        <v>1.680305118404148</v>
      </c>
      <c r="AA40" s="134">
        <v>1.680305118404148</v>
      </c>
      <c r="AB40" s="125">
        <v>1447.1422048185734</v>
      </c>
      <c r="AE40">
        <v>5</v>
      </c>
      <c r="AF40">
        <v>17</v>
      </c>
      <c r="AH40" s="141" t="s">
        <v>280</v>
      </c>
      <c r="AI40" s="148">
        <v>1.25</v>
      </c>
    </row>
    <row r="41" spans="1:38" ht="15">
      <c r="A41" s="145" t="s">
        <v>262</v>
      </c>
      <c r="B41" s="146">
        <v>7569170.0518310796</v>
      </c>
      <c r="C41" s="146">
        <v>390566.98033499642</v>
      </c>
      <c r="D41" s="147">
        <v>1</v>
      </c>
      <c r="E41" s="146">
        <v>427582.28698457294</v>
      </c>
      <c r="F41" s="147">
        <v>1</v>
      </c>
      <c r="W41" s="145" t="s">
        <v>262</v>
      </c>
      <c r="X41" s="146">
        <v>7569170.0518310824</v>
      </c>
      <c r="Y41" s="146">
        <v>390566.98033499654</v>
      </c>
      <c r="Z41" s="150">
        <v>2.0945175339928022</v>
      </c>
      <c r="AA41" s="151">
        <v>2.3200418439220911</v>
      </c>
      <c r="AB41" s="146">
        <v>227116.06158903078</v>
      </c>
      <c r="AH41" s="141" t="s">
        <v>281</v>
      </c>
      <c r="AI41" s="148">
        <v>3.2313742316253093</v>
      </c>
    </row>
    <row r="42" spans="1:38">
      <c r="AH42" s="141" t="s">
        <v>282</v>
      </c>
      <c r="AI42" s="148">
        <v>10.441779424812058</v>
      </c>
      <c r="AK42" s="142">
        <v>2.0762081731709814</v>
      </c>
      <c r="AL42" t="s">
        <v>274</v>
      </c>
    </row>
    <row r="43" spans="1:38">
      <c r="AH43" s="141" t="s">
        <v>283</v>
      </c>
      <c r="AI43" s="148">
        <v>37.950188278985301</v>
      </c>
      <c r="AK43">
        <v>3.3</v>
      </c>
      <c r="AL43" t="s">
        <v>276</v>
      </c>
    </row>
    <row r="44" spans="1:38">
      <c r="AH44" s="141" t="s">
        <v>284</v>
      </c>
      <c r="AI44" s="148">
        <v>5.4069189394570403</v>
      </c>
      <c r="AK44" s="149">
        <v>6851486.9714642381</v>
      </c>
      <c r="AL44" t="s">
        <v>278</v>
      </c>
    </row>
    <row r="45" spans="1:38" ht="15">
      <c r="B45" s="140" t="s">
        <v>285</v>
      </c>
      <c r="C45" s="140"/>
      <c r="D45" s="152">
        <v>4000000</v>
      </c>
      <c r="AH45" s="141" t="s">
        <v>286</v>
      </c>
      <c r="AI45" s="148">
        <v>33.39170902327082</v>
      </c>
    </row>
    <row r="46" spans="1:38" ht="45">
      <c r="B46" s="55"/>
      <c r="C46" s="140" t="s">
        <v>287</v>
      </c>
      <c r="D46" s="140" t="s">
        <v>287</v>
      </c>
      <c r="I46" s="127" t="s">
        <v>243</v>
      </c>
      <c r="J46" s="127" t="s">
        <v>246</v>
      </c>
      <c r="AH46" s="141" t="s">
        <v>288</v>
      </c>
      <c r="AI46" s="148">
        <v>1.4243391066545123E-2</v>
      </c>
    </row>
    <row r="47" spans="1:38" ht="15">
      <c r="B47" s="128" t="s">
        <v>252</v>
      </c>
      <c r="C47" s="125">
        <v>317182.39618441527</v>
      </c>
      <c r="D47" s="125">
        <v>320000</v>
      </c>
      <c r="I47" s="130" t="s">
        <v>252</v>
      </c>
      <c r="J47" s="132">
        <v>7.9295599046103796E-2</v>
      </c>
      <c r="L47" t="s">
        <v>256</v>
      </c>
      <c r="AH47" s="141" t="s">
        <v>289</v>
      </c>
      <c r="AI47" s="148">
        <v>33.405952414337364</v>
      </c>
    </row>
    <row r="48" spans="1:38">
      <c r="B48" s="128" t="s">
        <v>254</v>
      </c>
      <c r="C48" s="125">
        <v>704697.29462638684</v>
      </c>
      <c r="D48" s="125">
        <v>700000</v>
      </c>
      <c r="I48" s="135">
        <v>18</v>
      </c>
      <c r="J48" s="129">
        <v>5.5506240841586597E-3</v>
      </c>
      <c r="L48" t="s">
        <v>290</v>
      </c>
      <c r="M48" s="125">
        <f>SUM(K30:K31)</f>
        <v>62772.718003877249</v>
      </c>
      <c r="N48" s="153">
        <f>M48/(SUM($M$48:$M$49))</f>
        <v>0.29174865424744784</v>
      </c>
      <c r="AH48" s="141" t="s">
        <v>291</v>
      </c>
      <c r="AI48" s="148">
        <v>903.15055532937697</v>
      </c>
    </row>
    <row r="49" spans="2:35">
      <c r="B49" s="128" t="s">
        <v>256</v>
      </c>
      <c r="C49" s="125">
        <v>2631451.8864334417</v>
      </c>
      <c r="D49" s="125">
        <v>2630000</v>
      </c>
      <c r="I49" s="135">
        <v>24</v>
      </c>
      <c r="J49" s="129">
        <v>7.3744974961945139E-2</v>
      </c>
      <c r="L49" t="s">
        <v>292</v>
      </c>
      <c r="M49" s="125">
        <f>K32</f>
        <v>152387.5478276707</v>
      </c>
      <c r="N49" s="153">
        <f>M49/(SUM($M$48:$M$49))</f>
        <v>0.70825134575255211</v>
      </c>
      <c r="AH49" s="141" t="s">
        <v>271</v>
      </c>
      <c r="AI49" s="141">
        <v>435</v>
      </c>
    </row>
    <row r="50" spans="2:35" ht="15.75" thickBot="1">
      <c r="B50" s="128" t="s">
        <v>258</v>
      </c>
      <c r="C50" s="125">
        <v>312500.61401004001</v>
      </c>
      <c r="D50" s="125">
        <v>310000</v>
      </c>
      <c r="I50" s="130" t="s">
        <v>254</v>
      </c>
      <c r="J50" s="132">
        <v>0.1761743236565968</v>
      </c>
      <c r="AH50" s="154" t="s">
        <v>293</v>
      </c>
      <c r="AI50" s="155">
        <v>0.3045113753480822</v>
      </c>
    </row>
    <row r="51" spans="2:35">
      <c r="B51" s="128" t="s">
        <v>260</v>
      </c>
      <c r="C51" s="125">
        <v>34167.808745716444</v>
      </c>
      <c r="D51" s="125">
        <v>30000</v>
      </c>
      <c r="I51" s="135">
        <v>20</v>
      </c>
      <c r="J51" s="129">
        <v>1.4407283184101973E-2</v>
      </c>
    </row>
    <row r="52" spans="2:35" ht="15">
      <c r="B52" s="145" t="s">
        <v>294</v>
      </c>
      <c r="C52" s="146">
        <v>4000000</v>
      </c>
      <c r="D52" s="146">
        <v>3990000</v>
      </c>
      <c r="I52" s="135">
        <v>30</v>
      </c>
      <c r="J52" s="129">
        <v>1.5907356693893445E-3</v>
      </c>
    </row>
    <row r="53" spans="2:35">
      <c r="I53" s="135">
        <v>40</v>
      </c>
      <c r="J53" s="129">
        <v>2.0763333110696586E-2</v>
      </c>
    </row>
    <row r="54" spans="2:35">
      <c r="I54" s="156">
        <v>60</v>
      </c>
      <c r="J54" s="157">
        <v>0.13941297169240888</v>
      </c>
    </row>
    <row r="55" spans="2:35" ht="15">
      <c r="I55" s="130" t="s">
        <v>256</v>
      </c>
      <c r="J55" s="132">
        <v>0.65786297160836027</v>
      </c>
    </row>
    <row r="56" spans="2:35">
      <c r="I56" s="135">
        <v>1</v>
      </c>
      <c r="J56" s="129">
        <v>7.4082546074617991E-3</v>
      </c>
    </row>
    <row r="57" spans="2:35">
      <c r="I57" s="135">
        <v>2</v>
      </c>
      <c r="J57" s="129">
        <v>6.9190127928298609E-2</v>
      </c>
    </row>
    <row r="58" spans="2:35">
      <c r="I58" s="135">
        <v>3</v>
      </c>
      <c r="J58" s="129">
        <v>2.3738665760185379E-2</v>
      </c>
    </row>
    <row r="59" spans="2:35">
      <c r="I59" s="135">
        <v>4</v>
      </c>
      <c r="J59" s="129">
        <v>7.1450625974431053E-2</v>
      </c>
    </row>
    <row r="60" spans="2:35">
      <c r="I60" s="135">
        <v>5</v>
      </c>
      <c r="J60" s="129">
        <v>8.9271404213671218E-2</v>
      </c>
    </row>
    <row r="61" spans="2:35">
      <c r="I61" s="156">
        <v>10</v>
      </c>
      <c r="J61" s="157">
        <v>0.39017007453360519</v>
      </c>
    </row>
    <row r="62" spans="2:35">
      <c r="I62" s="135" t="s">
        <v>268</v>
      </c>
      <c r="J62" s="129">
        <v>6.6338185907069969E-3</v>
      </c>
    </row>
    <row r="63" spans="2:35" ht="15">
      <c r="I63" s="130" t="s">
        <v>258</v>
      </c>
      <c r="J63" s="132">
        <v>7.8125153502510009E-2</v>
      </c>
    </row>
    <row r="64" spans="2:35">
      <c r="I64" s="135" t="s">
        <v>268</v>
      </c>
      <c r="J64" s="129">
        <v>7.8125153502510009E-2</v>
      </c>
    </row>
    <row r="65" spans="9:10" ht="15">
      <c r="I65" s="130" t="s">
        <v>260</v>
      </c>
      <c r="J65" s="132">
        <v>8.5419521864291102E-3</v>
      </c>
    </row>
    <row r="66" spans="9:10">
      <c r="I66" s="135">
        <v>40</v>
      </c>
      <c r="J66" s="129">
        <v>8.5419521864291102E-3</v>
      </c>
    </row>
    <row r="67" spans="9:10" ht="15">
      <c r="I67" s="145" t="s">
        <v>262</v>
      </c>
      <c r="J67" s="147">
        <v>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dimension ref="B2:F13"/>
  <sheetViews>
    <sheetView workbookViewId="0">
      <selection activeCell="C39" sqref="C39"/>
    </sheetView>
  </sheetViews>
  <sheetFormatPr defaultRowHeight="12.75"/>
  <cols>
    <col min="3" max="3" width="67.7109375" customWidth="1"/>
    <col min="5" max="5" width="10.7109375" customWidth="1"/>
    <col min="6" max="6" width="100.85546875" customWidth="1"/>
  </cols>
  <sheetData>
    <row r="2" spans="2:6" ht="13.5" thickBot="1"/>
    <row r="3" spans="2:6" ht="15.75" thickBot="1">
      <c r="B3" s="217" t="s">
        <v>1</v>
      </c>
      <c r="C3" s="218" t="s">
        <v>522</v>
      </c>
      <c r="D3" s="218" t="s">
        <v>47</v>
      </c>
      <c r="E3" s="218" t="s">
        <v>523</v>
      </c>
      <c r="F3" s="218" t="s">
        <v>3</v>
      </c>
    </row>
    <row r="4" spans="2:6">
      <c r="B4" s="54">
        <f>ROW()-3</f>
        <v>1</v>
      </c>
      <c r="C4" t="s">
        <v>524</v>
      </c>
      <c r="D4" t="s">
        <v>525</v>
      </c>
      <c r="E4" s="219">
        <v>42077</v>
      </c>
      <c r="F4" t="s">
        <v>526</v>
      </c>
    </row>
    <row r="5" spans="2:6">
      <c r="B5" s="54">
        <f t="shared" ref="B5:B13" si="0">ROW()-3</f>
        <v>2</v>
      </c>
      <c r="C5" t="s">
        <v>527</v>
      </c>
      <c r="D5" t="s">
        <v>525</v>
      </c>
      <c r="E5" s="219">
        <v>42078</v>
      </c>
      <c r="F5" t="s">
        <v>526</v>
      </c>
    </row>
    <row r="6" spans="2:6">
      <c r="B6" s="54">
        <f t="shared" si="0"/>
        <v>3</v>
      </c>
      <c r="C6" t="s">
        <v>528</v>
      </c>
      <c r="D6" t="s">
        <v>525</v>
      </c>
      <c r="E6" s="219">
        <v>42084</v>
      </c>
      <c r="F6" t="s">
        <v>627</v>
      </c>
    </row>
    <row r="7" spans="2:6">
      <c r="B7" s="54">
        <f t="shared" si="0"/>
        <v>4</v>
      </c>
      <c r="C7" t="s">
        <v>529</v>
      </c>
      <c r="D7" t="s">
        <v>525</v>
      </c>
      <c r="E7" s="219">
        <v>42084</v>
      </c>
      <c r="F7" t="s">
        <v>627</v>
      </c>
    </row>
    <row r="8" spans="2:6">
      <c r="B8" s="54">
        <f t="shared" si="0"/>
        <v>5</v>
      </c>
      <c r="C8" t="s">
        <v>531</v>
      </c>
      <c r="D8" t="s">
        <v>525</v>
      </c>
      <c r="E8" s="219">
        <v>42084</v>
      </c>
      <c r="F8" t="s">
        <v>627</v>
      </c>
    </row>
    <row r="9" spans="2:6">
      <c r="B9" s="54">
        <f t="shared" si="0"/>
        <v>6</v>
      </c>
      <c r="C9" t="s">
        <v>530</v>
      </c>
      <c r="D9" t="s">
        <v>525</v>
      </c>
      <c r="E9" s="219">
        <v>42086</v>
      </c>
      <c r="F9" t="s">
        <v>628</v>
      </c>
    </row>
    <row r="10" spans="2:6">
      <c r="B10" s="54">
        <f t="shared" si="0"/>
        <v>7</v>
      </c>
      <c r="C10" t="s">
        <v>534</v>
      </c>
      <c r="D10" t="s">
        <v>525</v>
      </c>
      <c r="E10" s="219">
        <v>42086</v>
      </c>
      <c r="F10" t="s">
        <v>628</v>
      </c>
    </row>
    <row r="11" spans="2:6">
      <c r="B11" s="54">
        <f t="shared" si="0"/>
        <v>8</v>
      </c>
      <c r="C11" t="s">
        <v>532</v>
      </c>
      <c r="D11" t="s">
        <v>525</v>
      </c>
      <c r="E11" s="219">
        <v>42086</v>
      </c>
      <c r="F11" t="s">
        <v>628</v>
      </c>
    </row>
    <row r="12" spans="2:6">
      <c r="B12" s="54">
        <f t="shared" si="0"/>
        <v>9</v>
      </c>
      <c r="C12" t="s">
        <v>533</v>
      </c>
      <c r="D12" t="s">
        <v>525</v>
      </c>
      <c r="E12" s="219">
        <v>42086</v>
      </c>
      <c r="F12" t="s">
        <v>628</v>
      </c>
    </row>
    <row r="13" spans="2:6">
      <c r="B13" s="54">
        <f t="shared" si="0"/>
        <v>10</v>
      </c>
      <c r="C13" t="s">
        <v>629</v>
      </c>
      <c r="D13" t="s">
        <v>525</v>
      </c>
      <c r="E13" s="219">
        <v>42086</v>
      </c>
      <c r="F13" t="s">
        <v>628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5"/>
  <dimension ref="C1:F14"/>
  <sheetViews>
    <sheetView zoomScaleNormal="100" zoomScaleSheetLayoutView="90" workbookViewId="0">
      <selection activeCell="D22" sqref="D22"/>
    </sheetView>
  </sheetViews>
  <sheetFormatPr defaultRowHeight="15"/>
  <cols>
    <col min="1" max="1" width="4" style="1" customWidth="1"/>
    <col min="2" max="2" width="4.28515625" style="1" customWidth="1"/>
    <col min="3" max="3" width="28.140625" style="1" customWidth="1"/>
    <col min="4" max="4" width="73.42578125" style="1" customWidth="1"/>
    <col min="5" max="5" width="55.140625" style="1" customWidth="1"/>
    <col min="6" max="6" width="61.42578125" style="1" customWidth="1"/>
    <col min="7" max="16384" width="9.140625" style="1"/>
  </cols>
  <sheetData>
    <row r="1" spans="3:6" ht="15.75" thickBot="1"/>
    <row r="2" spans="3:6" ht="19.5" thickBot="1">
      <c r="C2" s="2" t="s">
        <v>0</v>
      </c>
      <c r="D2" s="53" t="str">
        <f>[1]MLIST!$B$74</f>
        <v>LEC Exit Sign</v>
      </c>
      <c r="E2" s="3"/>
      <c r="F2" s="4"/>
    </row>
    <row r="3" spans="3:6">
      <c r="C3" s="5" t="s">
        <v>1</v>
      </c>
      <c r="D3" s="5" t="s">
        <v>2</v>
      </c>
      <c r="E3" s="5" t="s">
        <v>3</v>
      </c>
      <c r="F3" s="5" t="s">
        <v>4</v>
      </c>
    </row>
    <row r="4" spans="3:6" ht="36.75" customHeight="1">
      <c r="C4" s="6" t="s">
        <v>5</v>
      </c>
      <c r="D4" s="7" t="s">
        <v>641</v>
      </c>
      <c r="E4" s="8"/>
      <c r="F4" s="9" t="s">
        <v>638</v>
      </c>
    </row>
    <row r="5" spans="3:6" ht="30">
      <c r="C5" s="6" t="s">
        <v>6</v>
      </c>
      <c r="D5" s="10" t="s">
        <v>631</v>
      </c>
      <c r="E5" s="11"/>
      <c r="F5" s="9"/>
    </row>
    <row r="6" spans="3:6" ht="30">
      <c r="C6" s="6" t="s">
        <v>45</v>
      </c>
      <c r="D6" s="10" t="s">
        <v>632</v>
      </c>
      <c r="E6" s="11" t="s">
        <v>639</v>
      </c>
      <c r="F6" s="9"/>
    </row>
    <row r="7" spans="3:6">
      <c r="C7" s="6" t="s">
        <v>7</v>
      </c>
      <c r="D7" s="10" t="s">
        <v>633</v>
      </c>
      <c r="E7" s="10"/>
      <c r="F7" s="9"/>
    </row>
    <row r="8" spans="3:6">
      <c r="C8" s="6" t="s">
        <v>8</v>
      </c>
      <c r="D8" s="300">
        <v>0.1</v>
      </c>
      <c r="E8" s="10"/>
      <c r="F8" s="9"/>
    </row>
    <row r="9" spans="3:6">
      <c r="C9" s="6" t="s">
        <v>46</v>
      </c>
      <c r="D9" s="300">
        <v>0.1</v>
      </c>
      <c r="E9" s="12"/>
      <c r="F9" s="9"/>
    </row>
    <row r="10" spans="3:6">
      <c r="C10" s="6" t="s">
        <v>9</v>
      </c>
      <c r="D10" s="10" t="s">
        <v>634</v>
      </c>
      <c r="E10" s="12"/>
      <c r="F10" s="9"/>
    </row>
    <row r="11" spans="3:6">
      <c r="C11" s="6" t="s">
        <v>10</v>
      </c>
      <c r="D11" s="10" t="s">
        <v>635</v>
      </c>
      <c r="E11" s="10" t="s">
        <v>640</v>
      </c>
      <c r="F11" s="9"/>
    </row>
    <row r="12" spans="3:6">
      <c r="C12" s="6" t="s">
        <v>11</v>
      </c>
      <c r="D12" s="301">
        <v>15</v>
      </c>
      <c r="E12" s="12"/>
      <c r="F12" s="9"/>
    </row>
    <row r="13" spans="3:6">
      <c r="C13" s="6" t="s">
        <v>12</v>
      </c>
      <c r="D13" s="13" t="s">
        <v>636</v>
      </c>
      <c r="E13" s="14"/>
      <c r="F13" s="9"/>
    </row>
    <row r="14" spans="3:6">
      <c r="C14" s="6" t="s">
        <v>13</v>
      </c>
      <c r="D14" s="13" t="s">
        <v>637</v>
      </c>
      <c r="E14" s="12" t="str">
        <f>'SC-New'!D44</f>
        <v>LO20Fast</v>
      </c>
      <c r="F14" s="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AC160"/>
  <sheetViews>
    <sheetView topLeftCell="A23" workbookViewId="0">
      <selection activeCell="C58" sqref="C58"/>
    </sheetView>
  </sheetViews>
  <sheetFormatPr defaultRowHeight="12.75"/>
  <cols>
    <col min="1" max="1" width="45.5703125" customWidth="1"/>
    <col min="2" max="2" width="18.7109375" customWidth="1"/>
    <col min="3" max="3" width="54.28515625" customWidth="1"/>
    <col min="4" max="4" width="16.28515625" customWidth="1"/>
    <col min="5" max="5" width="11" customWidth="1"/>
    <col min="10" max="10" width="9.28515625" bestFit="1" customWidth="1"/>
    <col min="23" max="23" width="10.7109375" customWidth="1"/>
    <col min="24" max="24" width="10" customWidth="1"/>
    <col min="25" max="25" width="12" customWidth="1"/>
    <col min="26" max="26" width="11" customWidth="1"/>
    <col min="27" max="27" width="14.42578125" customWidth="1"/>
  </cols>
  <sheetData>
    <row r="1" spans="1:29" ht="12.75" customHeight="1">
      <c r="A1" s="56" t="s">
        <v>48</v>
      </c>
      <c r="B1" s="248" t="s">
        <v>625</v>
      </c>
      <c r="C1" s="249"/>
      <c r="D1" s="249"/>
      <c r="E1" s="249"/>
      <c r="F1" s="249"/>
      <c r="G1" s="249"/>
      <c r="H1" s="249"/>
      <c r="I1" s="249"/>
      <c r="J1" s="249"/>
      <c r="K1" s="249"/>
      <c r="L1" s="249"/>
      <c r="M1" s="249"/>
      <c r="N1" s="249"/>
      <c r="O1" s="249"/>
      <c r="P1" s="249"/>
      <c r="Q1" s="249"/>
      <c r="R1" s="249"/>
      <c r="S1" s="250"/>
      <c r="T1" s="57"/>
      <c r="U1" s="57"/>
      <c r="V1" s="57"/>
      <c r="W1" s="57"/>
      <c r="X1" s="24"/>
      <c r="Y1" s="24"/>
      <c r="Z1" s="24"/>
      <c r="AA1" s="24"/>
      <c r="AB1" s="24"/>
      <c r="AC1" s="24"/>
    </row>
    <row r="2" spans="1:29">
      <c r="A2" s="58"/>
      <c r="B2" s="235"/>
      <c r="C2" s="236"/>
      <c r="D2" s="236"/>
      <c r="E2" s="236"/>
      <c r="F2" s="236"/>
      <c r="G2" s="236"/>
      <c r="H2" s="236"/>
      <c r="I2" s="236"/>
      <c r="J2" s="236"/>
      <c r="K2" s="236"/>
      <c r="L2" s="236"/>
      <c r="M2" s="236"/>
      <c r="N2" s="236"/>
      <c r="O2" s="236"/>
      <c r="P2" s="236"/>
      <c r="Q2" s="236"/>
      <c r="R2" s="236"/>
      <c r="S2" s="237"/>
      <c r="T2" s="59"/>
      <c r="U2" s="59"/>
      <c r="V2" s="59"/>
      <c r="W2" s="59"/>
      <c r="X2" s="24"/>
      <c r="Y2" s="24"/>
      <c r="Z2" s="24"/>
      <c r="AA2" s="24"/>
      <c r="AB2" s="24"/>
      <c r="AC2" s="24"/>
    </row>
    <row r="3" spans="1:29">
      <c r="A3" s="58"/>
      <c r="B3" s="235"/>
      <c r="C3" s="236"/>
      <c r="D3" s="236"/>
      <c r="E3" s="236"/>
      <c r="F3" s="236"/>
      <c r="G3" s="236"/>
      <c r="H3" s="236"/>
      <c r="I3" s="236"/>
      <c r="J3" s="236"/>
      <c r="K3" s="236"/>
      <c r="L3" s="236"/>
      <c r="M3" s="236"/>
      <c r="N3" s="236"/>
      <c r="O3" s="236"/>
      <c r="P3" s="236"/>
      <c r="Q3" s="236"/>
      <c r="R3" s="236"/>
      <c r="S3" s="237"/>
      <c r="T3" s="59"/>
      <c r="U3" s="59"/>
      <c r="V3" s="59"/>
      <c r="W3" s="59"/>
      <c r="X3" s="24"/>
      <c r="Y3" s="24"/>
      <c r="Z3" s="24"/>
      <c r="AA3" s="24"/>
      <c r="AB3" s="24"/>
      <c r="AC3" s="24"/>
    </row>
    <row r="4" spans="1:29">
      <c r="A4" s="58"/>
      <c r="B4" s="235"/>
      <c r="C4" s="236"/>
      <c r="D4" s="236"/>
      <c r="E4" s="236"/>
      <c r="F4" s="236"/>
      <c r="G4" s="236"/>
      <c r="H4" s="236"/>
      <c r="I4" s="236"/>
      <c r="J4" s="236"/>
      <c r="K4" s="236"/>
      <c r="L4" s="236"/>
      <c r="M4" s="236"/>
      <c r="N4" s="236"/>
      <c r="O4" s="236"/>
      <c r="P4" s="236"/>
      <c r="Q4" s="236"/>
      <c r="R4" s="236"/>
      <c r="S4" s="237"/>
      <c r="T4" s="59"/>
      <c r="U4" s="59"/>
      <c r="V4" s="59"/>
      <c r="W4" s="59"/>
      <c r="X4" s="24"/>
      <c r="Y4" s="24"/>
      <c r="Z4" s="24"/>
      <c r="AA4" s="24"/>
      <c r="AB4" s="24"/>
      <c r="AC4" s="24"/>
    </row>
    <row r="5" spans="1:29">
      <c r="A5" s="60" t="s">
        <v>49</v>
      </c>
      <c r="B5" s="235"/>
      <c r="C5" s="236"/>
      <c r="D5" s="238"/>
      <c r="E5" s="238"/>
      <c r="F5" s="238"/>
      <c r="G5" s="238"/>
      <c r="H5" s="238"/>
      <c r="I5" s="238"/>
      <c r="J5" s="238"/>
      <c r="K5" s="238"/>
      <c r="L5" s="238"/>
      <c r="M5" s="238"/>
      <c r="N5" s="238"/>
      <c r="O5" s="238"/>
      <c r="P5" s="238"/>
      <c r="Q5" s="238"/>
      <c r="R5" s="238"/>
      <c r="S5" s="239"/>
      <c r="T5" s="59"/>
      <c r="U5" s="59"/>
      <c r="V5" s="59"/>
      <c r="W5" s="59"/>
      <c r="X5" s="24"/>
      <c r="Y5" s="24"/>
      <c r="Z5" s="24"/>
      <c r="AA5" s="24"/>
      <c r="AB5" s="24"/>
      <c r="AC5" s="24"/>
    </row>
    <row r="6" spans="1:29">
      <c r="A6" s="251"/>
      <c r="B6" s="61"/>
      <c r="C6" s="61"/>
      <c r="D6" s="252"/>
      <c r="E6" s="62"/>
      <c r="F6" s="62"/>
      <c r="G6" s="62"/>
      <c r="H6" s="62"/>
      <c r="I6" s="62"/>
      <c r="J6" s="62"/>
      <c r="K6" s="62"/>
      <c r="L6" s="62"/>
      <c r="M6" s="62"/>
      <c r="N6" s="62"/>
      <c r="O6" s="62"/>
      <c r="P6" s="62"/>
      <c r="Q6" s="62"/>
      <c r="R6" s="62"/>
      <c r="S6" s="63"/>
      <c r="T6" s="59"/>
      <c r="U6" s="59"/>
      <c r="V6" s="59"/>
      <c r="W6" s="59"/>
      <c r="X6" s="24"/>
      <c r="Y6" s="24"/>
      <c r="Z6" s="24"/>
      <c r="AA6" s="24"/>
      <c r="AB6" s="24"/>
      <c r="AC6" s="24"/>
    </row>
    <row r="7" spans="1:29">
      <c r="A7" s="253"/>
      <c r="B7" s="254" t="s">
        <v>50</v>
      </c>
      <c r="C7" s="255" t="s">
        <v>41</v>
      </c>
      <c r="D7" s="256" t="s">
        <v>41</v>
      </c>
      <c r="E7" s="24"/>
      <c r="F7" s="24"/>
      <c r="G7" s="24"/>
      <c r="H7" s="24"/>
      <c r="I7" s="24"/>
      <c r="J7" s="24"/>
      <c r="K7" s="24"/>
      <c r="L7" s="24"/>
      <c r="M7" s="24"/>
      <c r="N7" s="24"/>
      <c r="O7" s="24"/>
      <c r="P7" s="24"/>
      <c r="Q7" s="24"/>
      <c r="R7" s="24"/>
      <c r="S7" s="24"/>
      <c r="T7" s="24"/>
      <c r="U7" s="24"/>
      <c r="V7" s="24"/>
      <c r="W7" s="24"/>
      <c r="X7" s="24"/>
      <c r="Y7" s="24"/>
      <c r="Z7" s="24"/>
      <c r="AA7" s="24"/>
      <c r="AB7" s="24"/>
      <c r="AC7" s="24"/>
    </row>
    <row r="8" spans="1:29">
      <c r="A8" s="257" t="s">
        <v>579</v>
      </c>
      <c r="B8" s="258" t="s">
        <v>51</v>
      </c>
      <c r="C8" s="259" t="str">
        <f>CONCATENATE([1]MLIST!$B$74,"-",C7)</f>
        <v>LEC Exit Sign-New</v>
      </c>
      <c r="D8" s="260" t="str">
        <f>[2]!switch_ForecastState</f>
        <v>Region</v>
      </c>
      <c r="E8" s="65"/>
      <c r="F8" s="24"/>
      <c r="G8" s="24"/>
      <c r="H8" s="24"/>
      <c r="I8" s="24"/>
      <c r="J8" s="24"/>
      <c r="K8" s="24"/>
      <c r="L8" s="24"/>
      <c r="M8" s="24"/>
      <c r="N8" s="24"/>
      <c r="O8" s="24"/>
      <c r="P8" s="24"/>
      <c r="Q8" s="24"/>
      <c r="R8" s="24"/>
      <c r="S8" s="24"/>
      <c r="T8" s="24"/>
      <c r="U8" s="24"/>
      <c r="V8" s="24"/>
      <c r="W8" s="24"/>
      <c r="X8" s="24"/>
      <c r="Y8" s="24"/>
      <c r="Z8" s="24"/>
      <c r="AA8" s="24"/>
      <c r="AB8" s="24"/>
      <c r="AC8" s="24"/>
    </row>
    <row r="9" spans="1:29">
      <c r="A9" s="257" t="str">
        <f>INDEX([1]ACHIEV!$A$19:$B$103,MATCH(C8,[1]ACHIEV!$B$19:$B$103,0),1)</f>
        <v>Lighting</v>
      </c>
      <c r="B9" s="261" t="s">
        <v>52</v>
      </c>
      <c r="C9" s="259">
        <f>[1]FILES!$H$4</f>
        <v>2035</v>
      </c>
      <c r="D9" s="260" t="str">
        <f>[2]!switch_ForecastScenario</f>
        <v>Base</v>
      </c>
      <c r="E9" s="66"/>
      <c r="F9" s="24"/>
      <c r="G9" s="24"/>
      <c r="H9" s="24"/>
      <c r="I9" s="24"/>
      <c r="J9" s="24"/>
      <c r="K9" s="24"/>
      <c r="L9" s="24"/>
      <c r="M9" s="24"/>
      <c r="N9" s="24"/>
      <c r="O9" s="24"/>
      <c r="P9" s="24"/>
      <c r="Q9" s="24"/>
      <c r="R9" s="24"/>
      <c r="S9" s="24"/>
      <c r="T9" s="24"/>
      <c r="U9" s="24"/>
      <c r="V9" s="24"/>
      <c r="W9" s="24"/>
      <c r="X9" s="24"/>
      <c r="Y9" s="24"/>
      <c r="Z9" s="24"/>
      <c r="AA9" s="24"/>
      <c r="AB9" s="24"/>
      <c r="AC9" s="24"/>
    </row>
    <row r="10" spans="1:29">
      <c r="A10" s="262"/>
      <c r="B10" s="263" t="s">
        <v>201</v>
      </c>
      <c r="C10" s="296">
        <f>MIN(SUM(E54:X55),SUM(Y54:Y55))</f>
        <v>3.3822770456856448</v>
      </c>
      <c r="D10" s="265"/>
      <c r="E10" s="24">
        <v>1</v>
      </c>
      <c r="F10" s="24">
        <f>E10+1</f>
        <v>2</v>
      </c>
      <c r="G10" s="24">
        <f t="shared" ref="G10:V11" si="0">F10+1</f>
        <v>3</v>
      </c>
      <c r="H10" s="24">
        <f t="shared" si="0"/>
        <v>4</v>
      </c>
      <c r="I10" s="24">
        <f t="shared" si="0"/>
        <v>5</v>
      </c>
      <c r="J10" s="24">
        <f t="shared" si="0"/>
        <v>6</v>
      </c>
      <c r="K10" s="24">
        <f t="shared" si="0"/>
        <v>7</v>
      </c>
      <c r="L10" s="24">
        <f t="shared" si="0"/>
        <v>8</v>
      </c>
      <c r="M10" s="24">
        <f t="shared" si="0"/>
        <v>9</v>
      </c>
      <c r="N10" s="24">
        <f t="shared" si="0"/>
        <v>10</v>
      </c>
      <c r="O10" s="24">
        <f t="shared" si="0"/>
        <v>11</v>
      </c>
      <c r="P10" s="24">
        <f t="shared" si="0"/>
        <v>12</v>
      </c>
      <c r="Q10" s="24">
        <f t="shared" si="0"/>
        <v>13</v>
      </c>
      <c r="R10" s="24">
        <f t="shared" si="0"/>
        <v>14</v>
      </c>
      <c r="S10" s="24">
        <f t="shared" si="0"/>
        <v>15</v>
      </c>
      <c r="T10" s="24">
        <f t="shared" si="0"/>
        <v>16</v>
      </c>
      <c r="U10" s="24">
        <f t="shared" si="0"/>
        <v>17</v>
      </c>
      <c r="V10" s="24">
        <f t="shared" si="0"/>
        <v>18</v>
      </c>
      <c r="W10" s="24">
        <f t="shared" ref="W10:X11" si="1">V10+1</f>
        <v>19</v>
      </c>
      <c r="X10" s="24">
        <f t="shared" si="1"/>
        <v>20</v>
      </c>
      <c r="Y10" s="24"/>
      <c r="Z10" s="24"/>
      <c r="AA10" s="24"/>
      <c r="AB10" s="24"/>
      <c r="AC10" s="24"/>
    </row>
    <row r="11" spans="1:29" ht="15">
      <c r="A11" s="266" t="s">
        <v>202</v>
      </c>
      <c r="B11" s="267"/>
      <c r="C11" s="64" t="str">
        <f>$C$8</f>
        <v>LEC Exit Sign-New</v>
      </c>
      <c r="D11" s="64"/>
      <c r="E11" s="64">
        <f>C9-20+1</f>
        <v>2016</v>
      </c>
      <c r="F11" s="64">
        <f>E11+1</f>
        <v>2017</v>
      </c>
      <c r="G11" s="64">
        <f t="shared" si="0"/>
        <v>2018</v>
      </c>
      <c r="H11" s="64">
        <f t="shared" si="0"/>
        <v>2019</v>
      </c>
      <c r="I11" s="64">
        <f t="shared" si="0"/>
        <v>2020</v>
      </c>
      <c r="J11" s="64">
        <f t="shared" si="0"/>
        <v>2021</v>
      </c>
      <c r="K11" s="64">
        <f t="shared" si="0"/>
        <v>2022</v>
      </c>
      <c r="L11" s="64">
        <f t="shared" si="0"/>
        <v>2023</v>
      </c>
      <c r="M11" s="64">
        <f t="shared" si="0"/>
        <v>2024</v>
      </c>
      <c r="N11" s="64">
        <f t="shared" si="0"/>
        <v>2025</v>
      </c>
      <c r="O11" s="64">
        <f t="shared" si="0"/>
        <v>2026</v>
      </c>
      <c r="P11" s="64">
        <f t="shared" si="0"/>
        <v>2027</v>
      </c>
      <c r="Q11" s="64">
        <f t="shared" si="0"/>
        <v>2028</v>
      </c>
      <c r="R11" s="64">
        <f t="shared" si="0"/>
        <v>2029</v>
      </c>
      <c r="S11" s="64">
        <f t="shared" si="0"/>
        <v>2030</v>
      </c>
      <c r="T11" s="64">
        <f t="shared" si="0"/>
        <v>2031</v>
      </c>
      <c r="U11" s="64">
        <f t="shared" si="0"/>
        <v>2032</v>
      </c>
      <c r="V11" s="64">
        <f t="shared" si="0"/>
        <v>2033</v>
      </c>
      <c r="W11" s="64">
        <f t="shared" si="1"/>
        <v>2034</v>
      </c>
      <c r="X11" s="64">
        <f t="shared" si="1"/>
        <v>2035</v>
      </c>
      <c r="Y11" s="67" t="s">
        <v>53</v>
      </c>
      <c r="Z11" s="67" t="s">
        <v>183</v>
      </c>
      <c r="AB11" s="24"/>
      <c r="AC11" s="24"/>
    </row>
    <row r="12" spans="1:29">
      <c r="A12" s="64"/>
      <c r="B12" s="64"/>
      <c r="C12" s="68"/>
      <c r="D12" s="64"/>
      <c r="E12" s="64" t="str">
        <f>CONCATENATE("Floor_",E11)</f>
        <v>Floor_2016</v>
      </c>
      <c r="F12" s="64" t="str">
        <f t="shared" ref="F12:X12" si="2">CONCATENATE("Floor_",F11)</f>
        <v>Floor_2017</v>
      </c>
      <c r="G12" s="64" t="str">
        <f t="shared" si="2"/>
        <v>Floor_2018</v>
      </c>
      <c r="H12" s="64" t="str">
        <f t="shared" si="2"/>
        <v>Floor_2019</v>
      </c>
      <c r="I12" s="64" t="str">
        <f t="shared" si="2"/>
        <v>Floor_2020</v>
      </c>
      <c r="J12" s="64" t="str">
        <f t="shared" si="2"/>
        <v>Floor_2021</v>
      </c>
      <c r="K12" s="64" t="str">
        <f t="shared" si="2"/>
        <v>Floor_2022</v>
      </c>
      <c r="L12" s="64" t="str">
        <f t="shared" si="2"/>
        <v>Floor_2023</v>
      </c>
      <c r="M12" s="64" t="str">
        <f t="shared" si="2"/>
        <v>Floor_2024</v>
      </c>
      <c r="N12" s="64" t="str">
        <f t="shared" si="2"/>
        <v>Floor_2025</v>
      </c>
      <c r="O12" s="64" t="str">
        <f t="shared" si="2"/>
        <v>Floor_2026</v>
      </c>
      <c r="P12" s="64" t="str">
        <f t="shared" si="2"/>
        <v>Floor_2027</v>
      </c>
      <c r="Q12" s="64" t="str">
        <f t="shared" si="2"/>
        <v>Floor_2028</v>
      </c>
      <c r="R12" s="64" t="str">
        <f t="shared" si="2"/>
        <v>Floor_2029</v>
      </c>
      <c r="S12" s="64" t="str">
        <f t="shared" si="2"/>
        <v>Floor_2030</v>
      </c>
      <c r="T12" s="64" t="str">
        <f t="shared" si="2"/>
        <v>Floor_2031</v>
      </c>
      <c r="U12" s="64" t="str">
        <f t="shared" si="2"/>
        <v>Floor_2032</v>
      </c>
      <c r="V12" s="64" t="str">
        <f t="shared" si="2"/>
        <v>Floor_2033</v>
      </c>
      <c r="W12" s="64" t="str">
        <f t="shared" si="2"/>
        <v>Floor_2034</v>
      </c>
      <c r="X12" s="64" t="str">
        <f t="shared" si="2"/>
        <v>Floor_2035</v>
      </c>
      <c r="Y12" s="69">
        <v>0.85</v>
      </c>
      <c r="Z12" s="67"/>
      <c r="AB12" s="24"/>
      <c r="AC12" s="24"/>
    </row>
    <row r="13" spans="1:29">
      <c r="B13" s="24"/>
      <c r="C13" s="24" t="s">
        <v>580</v>
      </c>
      <c r="D13" s="24">
        <v>1</v>
      </c>
      <c r="E13" s="65">
        <f>INDEX([2]!tbl_Forecast,MATCH($D$8&amp;$C13&amp;$D$7,[2]!rng_ForecastRowLookup,0),MATCH(E$11,[2]!rng_ForecastColumnLookup,0))</f>
        <v>7.8066550111953834</v>
      </c>
      <c r="F13" s="65">
        <f>INDEX([2]!tbl_Forecast,MATCH($D$8&amp;$C13&amp;$D$7,[2]!rng_ForecastRowLookup,0),MATCH(F$11,[2]!rng_ForecastColumnLookup,0))</f>
        <v>5.9496992573140863</v>
      </c>
      <c r="G13" s="65">
        <f>INDEX([2]!tbl_Forecast,MATCH($D$8&amp;$C13&amp;$D$7,[2]!rng_ForecastRowLookup,0),MATCH(G$11,[2]!rng_ForecastColumnLookup,0))</f>
        <v>5.890903545908837</v>
      </c>
      <c r="H13" s="65">
        <f>INDEX([2]!tbl_Forecast,MATCH($D$8&amp;$C13&amp;$D$7,[2]!rng_ForecastRowLookup,0),MATCH(H$11,[2]!rng_ForecastColumnLookup,0))</f>
        <v>6.8915688291332424</v>
      </c>
      <c r="I13" s="65">
        <f>INDEX([2]!tbl_Forecast,MATCH($D$8&amp;$C13&amp;$D$7,[2]!rng_ForecastRowLookup,0),MATCH(I$11,[2]!rng_ForecastColumnLookup,0))</f>
        <v>6.6410191533148355</v>
      </c>
      <c r="J13" s="65">
        <f>INDEX([2]!tbl_Forecast,MATCH($D$8&amp;$C13&amp;$D$7,[2]!rng_ForecastRowLookup,0),MATCH(J$11,[2]!rng_ForecastColumnLookup,0))</f>
        <v>5.4382226791221893</v>
      </c>
      <c r="K13" s="65">
        <f>INDEX([2]!tbl_Forecast,MATCH($D$8&amp;$C13&amp;$D$7,[2]!rng_ForecastRowLookup,0),MATCH(K$11,[2]!rng_ForecastColumnLookup,0))</f>
        <v>6.9236851515846078</v>
      </c>
      <c r="L13" s="65">
        <f>INDEX([2]!tbl_Forecast,MATCH($D$8&amp;$C13&amp;$D$7,[2]!rng_ForecastRowLookup,0),MATCH(L$11,[2]!rng_ForecastColumnLookup,0))</f>
        <v>6.040566884985755</v>
      </c>
      <c r="M13" s="65">
        <f>INDEX([2]!tbl_Forecast,MATCH($D$8&amp;$C13&amp;$D$7,[2]!rng_ForecastRowLookup,0),MATCH(M$11,[2]!rng_ForecastColumnLookup,0))</f>
        <v>5.8620040343764588</v>
      </c>
      <c r="N13" s="65">
        <f>INDEX([2]!tbl_Forecast,MATCH($D$8&amp;$C13&amp;$D$7,[2]!rng_ForecastRowLookup,0),MATCH(N$11,[2]!rng_ForecastColumnLookup,0))</f>
        <v>6.6048352977963205</v>
      </c>
      <c r="O13" s="65">
        <f>INDEX([2]!tbl_Forecast,MATCH($D$8&amp;$C13&amp;$D$7,[2]!rng_ForecastRowLookup,0),MATCH(O$11,[2]!rng_ForecastColumnLookup,0))</f>
        <v>6.6081856774849808</v>
      </c>
      <c r="P13" s="65">
        <f>INDEX([2]!tbl_Forecast,MATCH($D$8&amp;$C13&amp;$D$7,[2]!rng_ForecastRowLookup,0),MATCH(P$11,[2]!rng_ForecastColumnLookup,0))</f>
        <v>7.2276230030590352</v>
      </c>
      <c r="Q13" s="65">
        <f>INDEX([2]!tbl_Forecast,MATCH($D$8&amp;$C13&amp;$D$7,[2]!rng_ForecastRowLookup,0),MATCH(Q$11,[2]!rng_ForecastColumnLookup,0))</f>
        <v>7.9321378463678132</v>
      </c>
      <c r="R13" s="65">
        <f>INDEX([2]!tbl_Forecast,MATCH($D$8&amp;$C13&amp;$D$7,[2]!rng_ForecastRowLookup,0),MATCH(R$11,[2]!rng_ForecastColumnLookup,0))</f>
        <v>7.2590370336019197</v>
      </c>
      <c r="S13" s="65">
        <f>INDEX([2]!tbl_Forecast,MATCH($D$8&amp;$C13&amp;$D$7,[2]!rng_ForecastRowLookup,0),MATCH(S$11,[2]!rng_ForecastColumnLookup,0))</f>
        <v>7.9122271387396417</v>
      </c>
      <c r="T13" s="65">
        <f>INDEX([2]!tbl_Forecast,MATCH($D$8&amp;$C13&amp;$D$7,[2]!rng_ForecastRowLookup,0),MATCH(T$11,[2]!rng_ForecastColumnLookup,0))</f>
        <v>7.7623340380974311</v>
      </c>
      <c r="U13" s="65">
        <f>INDEX([2]!tbl_Forecast,MATCH($D$8&amp;$C13&amp;$D$7,[2]!rng_ForecastRowLookup,0),MATCH(U$11,[2]!rng_ForecastColumnLookup,0))</f>
        <v>7.6402299023279152</v>
      </c>
      <c r="V13" s="65">
        <f>INDEX([2]!tbl_Forecast,MATCH($D$8&amp;$C13&amp;$D$7,[2]!rng_ForecastRowLookup,0),MATCH(V$11,[2]!rng_ForecastColumnLookup,0))</f>
        <v>7.1724831299946894</v>
      </c>
      <c r="W13" s="65">
        <f>INDEX([2]!tbl_Forecast,MATCH($D$8&amp;$C13&amp;$D$7,[2]!rng_ForecastRowLookup,0),MATCH(W$11,[2]!rng_ForecastColumnLookup,0))</f>
        <v>7.0810470955732994</v>
      </c>
      <c r="X13" s="65">
        <f>INDEX([2]!tbl_Forecast,MATCH($D$8&amp;$C13&amp;$D$7,[2]!rng_ForecastRowLookup,0),MATCH(X$11,[2]!rng_ForecastColumnLookup,0))</f>
        <v>7.4281005850341701</v>
      </c>
      <c r="Y13" s="70"/>
      <c r="Z13" s="71">
        <f>SUM(E13:X13)</f>
        <v>138.07256529501262</v>
      </c>
      <c r="AB13" s="24"/>
      <c r="AC13" s="24"/>
    </row>
    <row r="14" spans="1:29">
      <c r="B14" s="24"/>
      <c r="C14" s="24" t="s">
        <v>581</v>
      </c>
      <c r="D14" s="24">
        <v>2</v>
      </c>
      <c r="E14" s="65">
        <f>INDEX([2]!tbl_Forecast,MATCH($D$8&amp;$C14&amp;$D$7,[2]!rng_ForecastRowLookup,0),MATCH(E$11,[2]!rng_ForecastColumnLookup,0))</f>
        <v>6.3306892326899415</v>
      </c>
      <c r="F14" s="65">
        <f>INDEX([2]!tbl_Forecast,MATCH($D$8&amp;$C14&amp;$D$7,[2]!rng_ForecastRowLookup,0),MATCH(F$11,[2]!rng_ForecastColumnLookup,0))</f>
        <v>4.6245517962703104</v>
      </c>
      <c r="G14" s="65">
        <f>INDEX([2]!tbl_Forecast,MATCH($D$8&amp;$C14&amp;$D$7,[2]!rng_ForecastRowLookup,0),MATCH(G$11,[2]!rng_ForecastColumnLookup,0))</f>
        <v>4.6954401235311058</v>
      </c>
      <c r="H14" s="65">
        <f>INDEX([2]!tbl_Forecast,MATCH($D$8&amp;$C14&amp;$D$7,[2]!rng_ForecastRowLookup,0),MATCH(H$11,[2]!rng_ForecastColumnLookup,0))</f>
        <v>5.5561738496820645</v>
      </c>
      <c r="I14" s="65">
        <f>INDEX([2]!tbl_Forecast,MATCH($D$8&amp;$C14&amp;$D$7,[2]!rng_ForecastRowLookup,0),MATCH(I$11,[2]!rng_ForecastColumnLookup,0))</f>
        <v>5.2903315868283292</v>
      </c>
      <c r="J14" s="65">
        <f>INDEX([2]!tbl_Forecast,MATCH($D$8&amp;$C14&amp;$D$7,[2]!rng_ForecastRowLookup,0),MATCH(J$11,[2]!rng_ForecastColumnLookup,0))</f>
        <v>4.0954748538564614</v>
      </c>
      <c r="K14" s="65">
        <f>INDEX([2]!tbl_Forecast,MATCH($D$8&amp;$C14&amp;$D$7,[2]!rng_ForecastRowLookup,0),MATCH(K$11,[2]!rng_ForecastColumnLookup,0))</f>
        <v>5.6166455086822502</v>
      </c>
      <c r="L14" s="65">
        <f>INDEX([2]!tbl_Forecast,MATCH($D$8&amp;$C14&amp;$D$7,[2]!rng_ForecastRowLookup,0),MATCH(L$11,[2]!rng_ForecastColumnLookup,0))</f>
        <v>4.8928421056079552</v>
      </c>
      <c r="M14" s="65">
        <f>INDEX([2]!tbl_Forecast,MATCH($D$8&amp;$C14&amp;$D$7,[2]!rng_ForecastRowLookup,0),MATCH(M$11,[2]!rng_ForecastColumnLookup,0))</f>
        <v>4.6489885594062974</v>
      </c>
      <c r="N14" s="65">
        <f>INDEX([2]!tbl_Forecast,MATCH($D$8&amp;$C14&amp;$D$7,[2]!rng_ForecastRowLookup,0),MATCH(N$11,[2]!rng_ForecastColumnLookup,0))</f>
        <v>5.3600762751998365</v>
      </c>
      <c r="O14" s="65">
        <f>INDEX([2]!tbl_Forecast,MATCH($D$8&amp;$C14&amp;$D$7,[2]!rng_ForecastRowLookup,0),MATCH(O$11,[2]!rng_ForecastColumnLookup,0))</f>
        <v>5.3451061612370649</v>
      </c>
      <c r="P14" s="65">
        <f>INDEX([2]!tbl_Forecast,MATCH($D$8&amp;$C14&amp;$D$7,[2]!rng_ForecastRowLookup,0),MATCH(P$11,[2]!rng_ForecastColumnLookup,0))</f>
        <v>5.7169042762389006</v>
      </c>
      <c r="Q14" s="65">
        <f>INDEX([2]!tbl_Forecast,MATCH($D$8&amp;$C14&amp;$D$7,[2]!rng_ForecastRowLookup,0),MATCH(Q$11,[2]!rng_ForecastColumnLookup,0))</f>
        <v>6.1644080859749115</v>
      </c>
      <c r="R14" s="65">
        <f>INDEX([2]!tbl_Forecast,MATCH($D$8&amp;$C14&amp;$D$7,[2]!rng_ForecastRowLookup,0),MATCH(R$11,[2]!rng_ForecastColumnLookup,0))</f>
        <v>5.8003829082546376</v>
      </c>
      <c r="S14" s="65">
        <f>INDEX([2]!tbl_Forecast,MATCH($D$8&amp;$C14&amp;$D$7,[2]!rng_ForecastRowLookup,0),MATCH(S$11,[2]!rng_ForecastColumnLookup,0))</f>
        <v>6.4331999103991837</v>
      </c>
      <c r="T14" s="65">
        <f>INDEX([2]!tbl_Forecast,MATCH($D$8&amp;$C14&amp;$D$7,[2]!rng_ForecastRowLookup,0),MATCH(T$11,[2]!rng_ForecastColumnLookup,0))</f>
        <v>6.1077443299386847</v>
      </c>
      <c r="U14" s="65">
        <f>INDEX([2]!tbl_Forecast,MATCH($D$8&amp;$C14&amp;$D$7,[2]!rng_ForecastRowLookup,0),MATCH(U$11,[2]!rng_ForecastColumnLookup,0))</f>
        <v>6.3133258324543373</v>
      </c>
      <c r="V14" s="65">
        <f>INDEX([2]!tbl_Forecast,MATCH($D$8&amp;$C14&amp;$D$7,[2]!rng_ForecastRowLookup,0),MATCH(V$11,[2]!rng_ForecastColumnLookup,0))</f>
        <v>5.5403053352108875</v>
      </c>
      <c r="W14" s="65">
        <f>INDEX([2]!tbl_Forecast,MATCH($D$8&amp;$C14&amp;$D$7,[2]!rng_ForecastRowLookup,0),MATCH(W$11,[2]!rng_ForecastColumnLookup,0))</f>
        <v>5.5266028757425794</v>
      </c>
      <c r="X14" s="65">
        <f>INDEX([2]!tbl_Forecast,MATCH($D$8&amp;$C14&amp;$D$7,[2]!rng_ForecastRowLookup,0),MATCH(X$11,[2]!rng_ForecastColumnLookup,0))</f>
        <v>5.9833355534459063</v>
      </c>
      <c r="Y14" s="70"/>
      <c r="Z14" s="71">
        <f>SUM(E14:X14)</f>
        <v>110.04252916065165</v>
      </c>
      <c r="AB14" s="24"/>
      <c r="AC14" s="24"/>
    </row>
    <row r="15" spans="1:29">
      <c r="B15" s="24"/>
      <c r="C15" s="24" t="s">
        <v>582</v>
      </c>
      <c r="D15" s="24">
        <v>3</v>
      </c>
      <c r="E15" s="65">
        <f>INDEX([2]!tbl_Forecast,MATCH($D$8&amp;$C15&amp;$D$7,[2]!rng_ForecastRowLookup,0),MATCH(E$11,[2]!rng_ForecastColumnLookup,0))</f>
        <v>1.6621196768024407</v>
      </c>
      <c r="F15" s="65">
        <f>INDEX([2]!tbl_Forecast,MATCH($D$8&amp;$C15&amp;$D$7,[2]!rng_ForecastRowLookup,0),MATCH(F$11,[2]!rng_ForecastColumnLookup,0))</f>
        <v>1.2170657423442173</v>
      </c>
      <c r="G15" s="65">
        <f>INDEX([2]!tbl_Forecast,MATCH($D$8&amp;$C15&amp;$D$7,[2]!rng_ForecastRowLookup,0),MATCH(G$11,[2]!rng_ForecastColumnLookup,0))</f>
        <v>1.2444333527444498</v>
      </c>
      <c r="H15" s="65">
        <f>INDEX([2]!tbl_Forecast,MATCH($D$8&amp;$C15&amp;$D$7,[2]!rng_ForecastRowLookup,0),MATCH(H$11,[2]!rng_ForecastColumnLookup,0))</f>
        <v>1.4586094503549032</v>
      </c>
      <c r="I15" s="65">
        <f>INDEX([2]!tbl_Forecast,MATCH($D$8&amp;$C15&amp;$D$7,[2]!rng_ForecastRowLookup,0),MATCH(I$11,[2]!rng_ForecastColumnLookup,0))</f>
        <v>1.4004070058555529</v>
      </c>
      <c r="J15" s="65">
        <f>INDEX([2]!tbl_Forecast,MATCH($D$8&amp;$C15&amp;$D$7,[2]!rng_ForecastRowLookup,0),MATCH(J$11,[2]!rng_ForecastColumnLookup,0))</f>
        <v>1.0787722980410579</v>
      </c>
      <c r="K15" s="65">
        <f>INDEX([2]!tbl_Forecast,MATCH($D$8&amp;$C15&amp;$D$7,[2]!rng_ForecastRowLookup,0),MATCH(K$11,[2]!rng_ForecastColumnLookup,0))</f>
        <v>1.4747976167420549</v>
      </c>
      <c r="L15" s="65">
        <f>INDEX([2]!tbl_Forecast,MATCH($D$8&amp;$C15&amp;$D$7,[2]!rng_ForecastRowLookup,0),MATCH(L$11,[2]!rng_ForecastColumnLookup,0))</f>
        <v>1.2896357804774434</v>
      </c>
      <c r="M15" s="65">
        <f>INDEX([2]!tbl_Forecast,MATCH($D$8&amp;$C15&amp;$D$7,[2]!rng_ForecastRowLookup,0),MATCH(M$11,[2]!rng_ForecastColumnLookup,0))</f>
        <v>1.2239291307589197</v>
      </c>
      <c r="N15" s="65">
        <f>INDEX([2]!tbl_Forecast,MATCH($D$8&amp;$C15&amp;$D$7,[2]!rng_ForecastRowLookup,0),MATCH(N$11,[2]!rng_ForecastColumnLookup,0))</f>
        <v>1.4012443744673324</v>
      </c>
      <c r="O15" s="65">
        <f>INDEX([2]!tbl_Forecast,MATCH($D$8&amp;$C15&amp;$D$7,[2]!rng_ForecastRowLookup,0),MATCH(O$11,[2]!rng_ForecastColumnLookup,0))</f>
        <v>1.3991315932028052</v>
      </c>
      <c r="P15" s="65">
        <f>INDEX([2]!tbl_Forecast,MATCH($D$8&amp;$C15&amp;$D$7,[2]!rng_ForecastRowLookup,0),MATCH(P$11,[2]!rng_ForecastColumnLookup,0))</f>
        <v>1.4996248899933684</v>
      </c>
      <c r="Q15" s="65">
        <f>INDEX([2]!tbl_Forecast,MATCH($D$8&amp;$C15&amp;$D$7,[2]!rng_ForecastRowLookup,0),MATCH(Q$11,[2]!rng_ForecastColumnLookup,0))</f>
        <v>1.6197763904689295</v>
      </c>
      <c r="R15" s="65">
        <f>INDEX([2]!tbl_Forecast,MATCH($D$8&amp;$C15&amp;$D$7,[2]!rng_ForecastRowLookup,0),MATCH(R$11,[2]!rng_ForecastColumnLookup,0))</f>
        <v>1.5187400891362097</v>
      </c>
      <c r="S15" s="65">
        <f>INDEX([2]!tbl_Forecast,MATCH($D$8&amp;$C15&amp;$D$7,[2]!rng_ForecastRowLookup,0),MATCH(S$11,[2]!rng_ForecastColumnLookup,0))</f>
        <v>1.6890757136254622</v>
      </c>
      <c r="T15" s="65">
        <f>INDEX([2]!tbl_Forecast,MATCH($D$8&amp;$C15&amp;$D$7,[2]!rng_ForecastRowLookup,0),MATCH(T$11,[2]!rng_ForecastColumnLookup,0))</f>
        <v>1.5972356158259797</v>
      </c>
      <c r="U15" s="65">
        <f>INDEX([2]!tbl_Forecast,MATCH($D$8&amp;$C15&amp;$D$7,[2]!rng_ForecastRowLookup,0),MATCH(U$11,[2]!rng_ForecastColumnLookup,0))</f>
        <v>1.640465747141107</v>
      </c>
      <c r="V15" s="65">
        <f>INDEX([2]!tbl_Forecast,MATCH($D$8&amp;$C15&amp;$D$7,[2]!rng_ForecastRowLookup,0),MATCH(V$11,[2]!rng_ForecastColumnLookup,0))</f>
        <v>1.4565955217811706</v>
      </c>
      <c r="W15" s="65">
        <f>INDEX([2]!tbl_Forecast,MATCH($D$8&amp;$C15&amp;$D$7,[2]!rng_ForecastRowLookup,0),MATCH(W$11,[2]!rng_ForecastColumnLookup,0))</f>
        <v>1.4531741906643101</v>
      </c>
      <c r="X15" s="65">
        <f>INDEX([2]!tbl_Forecast,MATCH($D$8&amp;$C15&amp;$D$7,[2]!rng_ForecastRowLookup,0),MATCH(X$11,[2]!rng_ForecastColumnLookup,0))</f>
        <v>1.5648660344158036</v>
      </c>
      <c r="Y15" s="70"/>
      <c r="Z15" s="71">
        <f>SUM(E15:X15)</f>
        <v>28.889700214843518</v>
      </c>
      <c r="AB15" s="24"/>
      <c r="AC15" s="24"/>
    </row>
    <row r="16" spans="1:29">
      <c r="B16" s="24"/>
      <c r="C16" s="24" t="s">
        <v>583</v>
      </c>
      <c r="D16" s="98">
        <v>4</v>
      </c>
      <c r="E16" s="65">
        <f>INDEX([2]!tbl_Forecast,MATCH($D$8&amp;$C16&amp;$D$7,[2]!rng_ForecastRowLookup,0),MATCH(E$11,[2]!rng_ForecastColumnLookup,0))</f>
        <v>1.799418169017593</v>
      </c>
      <c r="F16" s="65">
        <f>INDEX([2]!tbl_Forecast,MATCH($D$8&amp;$C16&amp;$D$7,[2]!rng_ForecastRowLookup,0),MATCH(F$11,[2]!rng_ForecastColumnLookup,0))</f>
        <v>1.485755176968429</v>
      </c>
      <c r="G16" s="65">
        <f>INDEX([2]!tbl_Forecast,MATCH($D$8&amp;$C16&amp;$D$7,[2]!rng_ForecastRowLookup,0),MATCH(G$11,[2]!rng_ForecastColumnLookup,0))</f>
        <v>0.89794362681754358</v>
      </c>
      <c r="H16" s="65">
        <f>INDEX([2]!tbl_Forecast,MATCH($D$8&amp;$C16&amp;$D$7,[2]!rng_ForecastRowLookup,0),MATCH(H$11,[2]!rng_ForecastColumnLookup,0))</f>
        <v>0.91201694404352718</v>
      </c>
      <c r="I16" s="65">
        <f>INDEX([2]!tbl_Forecast,MATCH($D$8&amp;$C16&amp;$D$7,[2]!rng_ForecastRowLookup,0),MATCH(I$11,[2]!rng_ForecastColumnLookup,0))</f>
        <v>0.85125423267540556</v>
      </c>
      <c r="J16" s="65">
        <f>INDEX([2]!tbl_Forecast,MATCH($D$8&amp;$C16&amp;$D$7,[2]!rng_ForecastRowLookup,0),MATCH(J$11,[2]!rng_ForecastColumnLookup,0))</f>
        <v>0.73204497427617965</v>
      </c>
      <c r="K16" s="65">
        <f>INDEX([2]!tbl_Forecast,MATCH($D$8&amp;$C16&amp;$D$7,[2]!rng_ForecastRowLookup,0),MATCH(K$11,[2]!rng_ForecastColumnLookup,0))</f>
        <v>0.73428349109996394</v>
      </c>
      <c r="L16" s="65">
        <f>INDEX([2]!tbl_Forecast,MATCH($D$8&amp;$C16&amp;$D$7,[2]!rng_ForecastRowLookup,0),MATCH(L$11,[2]!rng_ForecastColumnLookup,0))</f>
        <v>0.71341173425108251</v>
      </c>
      <c r="M16" s="65">
        <f>INDEX([2]!tbl_Forecast,MATCH($D$8&amp;$C16&amp;$D$7,[2]!rng_ForecastRowLookup,0),MATCH(M$11,[2]!rng_ForecastColumnLookup,0))</f>
        <v>0.89455902577447755</v>
      </c>
      <c r="N16" s="65">
        <f>INDEX([2]!tbl_Forecast,MATCH($D$8&amp;$C16&amp;$D$7,[2]!rng_ForecastRowLookup,0),MATCH(N$11,[2]!rng_ForecastColumnLookup,0))</f>
        <v>1.032083805968905</v>
      </c>
      <c r="O16" s="65">
        <f>INDEX([2]!tbl_Forecast,MATCH($D$8&amp;$C16&amp;$D$7,[2]!rng_ForecastRowLookup,0),MATCH(O$11,[2]!rng_ForecastColumnLookup,0))</f>
        <v>1.0963398187475875</v>
      </c>
      <c r="P16" s="65">
        <f>INDEX([2]!tbl_Forecast,MATCH($D$8&amp;$C16&amp;$D$7,[2]!rng_ForecastRowLookup,0),MATCH(P$11,[2]!rng_ForecastColumnLookup,0))</f>
        <v>1.617287860192538</v>
      </c>
      <c r="Q16" s="65">
        <f>INDEX([2]!tbl_Forecast,MATCH($D$8&amp;$C16&amp;$D$7,[2]!rng_ForecastRowLookup,0),MATCH(Q$11,[2]!rng_ForecastColumnLookup,0))</f>
        <v>1.8239074921539626</v>
      </c>
      <c r="R16" s="65">
        <f>INDEX([2]!tbl_Forecast,MATCH($D$8&amp;$C16&amp;$D$7,[2]!rng_ForecastRowLookup,0),MATCH(R$11,[2]!rng_ForecastColumnLookup,0))</f>
        <v>1.6267354909009817</v>
      </c>
      <c r="S16" s="65">
        <f>INDEX([2]!tbl_Forecast,MATCH($D$8&amp;$C16&amp;$D$7,[2]!rng_ForecastRowLookup,0),MATCH(S$11,[2]!rng_ForecastColumnLookup,0))</f>
        <v>1.5970323938843554</v>
      </c>
      <c r="T16" s="65">
        <f>INDEX([2]!tbl_Forecast,MATCH($D$8&amp;$C16&amp;$D$7,[2]!rng_ForecastRowLookup,0),MATCH(T$11,[2]!rng_ForecastColumnLookup,0))</f>
        <v>1.5393396581386409</v>
      </c>
      <c r="U16" s="65">
        <f>INDEX([2]!tbl_Forecast,MATCH($D$8&amp;$C16&amp;$D$7,[2]!rng_ForecastRowLookup,0),MATCH(U$11,[2]!rng_ForecastColumnLookup,0))</f>
        <v>1.2960530677092543</v>
      </c>
      <c r="V16" s="65">
        <f>INDEX([2]!tbl_Forecast,MATCH($D$8&amp;$C16&amp;$D$7,[2]!rng_ForecastRowLookup,0),MATCH(V$11,[2]!rng_ForecastColumnLookup,0))</f>
        <v>1.3176455108269955</v>
      </c>
      <c r="W16" s="65">
        <f>INDEX([2]!tbl_Forecast,MATCH($D$8&amp;$C16&amp;$D$7,[2]!rng_ForecastRowLookup,0),MATCH(W$11,[2]!rng_ForecastColumnLookup,0))</f>
        <v>1.2469979474733393</v>
      </c>
      <c r="X16" s="65">
        <f>INDEX([2]!tbl_Forecast,MATCH($D$8&amp;$C16&amp;$D$7,[2]!rng_ForecastRowLookup,0),MATCH(X$11,[2]!rng_ForecastColumnLookup,0))</f>
        <v>1.3540449607593745</v>
      </c>
      <c r="Y16" s="70"/>
      <c r="Z16" s="71">
        <f>SUM(E16:X16)</f>
        <v>24.568155381680135</v>
      </c>
      <c r="AB16" s="24"/>
      <c r="AC16" s="24"/>
    </row>
    <row r="17" spans="1:29">
      <c r="B17" s="24"/>
      <c r="C17" s="24" t="s">
        <v>584</v>
      </c>
      <c r="D17" s="98">
        <v>5</v>
      </c>
      <c r="E17" s="65">
        <f>INDEX([2]!tbl_Forecast,MATCH($D$8&amp;$C17&amp;$D$7,[2]!rng_ForecastRowLookup,0),MATCH(E$11,[2]!rng_ForecastColumnLookup,0))</f>
        <v>0.71960427219664069</v>
      </c>
      <c r="F17" s="65">
        <f>INDEX([2]!tbl_Forecast,MATCH($D$8&amp;$C17&amp;$D$7,[2]!rng_ForecastRowLookup,0),MATCH(F$11,[2]!rng_ForecastColumnLookup,0))</f>
        <v>0.59647847099566831</v>
      </c>
      <c r="G17" s="65">
        <f>INDEX([2]!tbl_Forecast,MATCH($D$8&amp;$C17&amp;$D$7,[2]!rng_ForecastRowLookup,0),MATCH(G$11,[2]!rng_ForecastColumnLookup,0))</f>
        <v>0.36611838042447359</v>
      </c>
      <c r="H17" s="65">
        <f>INDEX([2]!tbl_Forecast,MATCH($D$8&amp;$C17&amp;$D$7,[2]!rng_ForecastRowLookup,0),MATCH(H$11,[2]!rng_ForecastColumnLookup,0))</f>
        <v>0.3731768350638246</v>
      </c>
      <c r="I17" s="65">
        <f>INDEX([2]!tbl_Forecast,MATCH($D$8&amp;$C17&amp;$D$7,[2]!rng_ForecastRowLookup,0),MATCH(I$11,[2]!rng_ForecastColumnLookup,0))</f>
        <v>0.34504559304633386</v>
      </c>
      <c r="J17" s="65">
        <f>INDEX([2]!tbl_Forecast,MATCH($D$8&amp;$C17&amp;$D$7,[2]!rng_ForecastRowLookup,0),MATCH(J$11,[2]!rng_ForecastColumnLookup,0))</f>
        <v>0.2928623587115301</v>
      </c>
      <c r="K17" s="65">
        <f>INDEX([2]!tbl_Forecast,MATCH($D$8&amp;$C17&amp;$D$7,[2]!rng_ForecastRowLookup,0),MATCH(K$11,[2]!rng_ForecastColumnLookup,0))</f>
        <v>0.29376294298921468</v>
      </c>
      <c r="L17" s="65">
        <f>INDEX([2]!tbl_Forecast,MATCH($D$8&amp;$C17&amp;$D$7,[2]!rng_ForecastRowLookup,0),MATCH(L$11,[2]!rng_ForecastColumnLookup,0))</f>
        <v>0.28416308329236456</v>
      </c>
      <c r="M17" s="65">
        <f>INDEX([2]!tbl_Forecast,MATCH($D$8&amp;$C17&amp;$D$7,[2]!rng_ForecastRowLookup,0),MATCH(M$11,[2]!rng_ForecastColumnLookup,0))</f>
        <v>0.36455471421578001</v>
      </c>
      <c r="N17" s="65">
        <f>INDEX([2]!tbl_Forecast,MATCH($D$8&amp;$C17&amp;$D$7,[2]!rng_ForecastRowLookup,0),MATCH(N$11,[2]!rng_ForecastColumnLookup,0))</f>
        <v>0.42646627810709853</v>
      </c>
      <c r="O17" s="65">
        <f>INDEX([2]!tbl_Forecast,MATCH($D$8&amp;$C17&amp;$D$7,[2]!rng_ForecastRowLookup,0),MATCH(O$11,[2]!rng_ForecastColumnLookup,0))</f>
        <v>0.44956380488737768</v>
      </c>
      <c r="P17" s="65">
        <f>INDEX([2]!tbl_Forecast,MATCH($D$8&amp;$C17&amp;$D$7,[2]!rng_ForecastRowLookup,0),MATCH(P$11,[2]!rng_ForecastColumnLookup,0))</f>
        <v>0.65213839834683018</v>
      </c>
      <c r="Q17" s="65">
        <f>INDEX([2]!tbl_Forecast,MATCH($D$8&amp;$C17&amp;$D$7,[2]!rng_ForecastRowLookup,0),MATCH(Q$11,[2]!rng_ForecastColumnLookup,0))</f>
        <v>0.73353807331773047</v>
      </c>
      <c r="R17" s="65">
        <f>INDEX([2]!tbl_Forecast,MATCH($D$8&amp;$C17&amp;$D$7,[2]!rng_ForecastRowLookup,0),MATCH(R$11,[2]!rng_ForecastColumnLookup,0))</f>
        <v>0.65560780242911365</v>
      </c>
      <c r="S17" s="65">
        <f>INDEX([2]!tbl_Forecast,MATCH($D$8&amp;$C17&amp;$D$7,[2]!rng_ForecastRowLookup,0),MATCH(S$11,[2]!rng_ForecastColumnLookup,0))</f>
        <v>0.64604928436358278</v>
      </c>
      <c r="T17" s="65">
        <f>INDEX([2]!tbl_Forecast,MATCH($D$8&amp;$C17&amp;$D$7,[2]!rng_ForecastRowLookup,0),MATCH(T$11,[2]!rng_ForecastColumnLookup,0))</f>
        <v>0.62178261445398098</v>
      </c>
      <c r="U17" s="65">
        <f>INDEX([2]!tbl_Forecast,MATCH($D$8&amp;$C17&amp;$D$7,[2]!rng_ForecastRowLookup,0),MATCH(U$11,[2]!rng_ForecastColumnLookup,0))</f>
        <v>0.52554853465709617</v>
      </c>
      <c r="V17" s="65">
        <f>INDEX([2]!tbl_Forecast,MATCH($D$8&amp;$C17&amp;$D$7,[2]!rng_ForecastRowLookup,0),MATCH(V$11,[2]!rng_ForecastColumnLookup,0))</f>
        <v>0.53266253778165396</v>
      </c>
      <c r="W17" s="65">
        <f>INDEX([2]!tbl_Forecast,MATCH($D$8&amp;$C17&amp;$D$7,[2]!rng_ForecastRowLookup,0),MATCH(W$11,[2]!rng_ForecastColumnLookup,0))</f>
        <v>0.50454130308386236</v>
      </c>
      <c r="X17" s="65">
        <f>INDEX([2]!tbl_Forecast,MATCH($D$8&amp;$C17&amp;$D$7,[2]!rng_ForecastRowLookup,0),MATCH(X$11,[2]!rng_ForecastColumnLookup,0))</f>
        <v>0.54553111610891503</v>
      </c>
      <c r="Y17" s="70"/>
      <c r="Z17" s="71">
        <f>SUM(E17:X17)</f>
        <v>9.9291963984730724</v>
      </c>
      <c r="AB17" s="24"/>
      <c r="AC17" s="24"/>
    </row>
    <row r="18" spans="1:29">
      <c r="B18" s="24"/>
      <c r="C18" s="24" t="s">
        <v>585</v>
      </c>
      <c r="D18" s="24">
        <v>6</v>
      </c>
      <c r="E18" s="65">
        <f>INDEX([2]!tbl_Forecast,MATCH($D$8&amp;$C18&amp;$D$7,[2]!rng_ForecastRowLookup,0),MATCH(E$11,[2]!rng_ForecastColumnLookup,0))</f>
        <v>2.7275899469990224</v>
      </c>
      <c r="F18" s="65">
        <f>INDEX([2]!tbl_Forecast,MATCH($D$8&amp;$C18&amp;$D$7,[2]!rng_ForecastRowLookup,0),MATCH(F$11,[2]!rng_ForecastColumnLookup,0))</f>
        <v>2.2451802625726844</v>
      </c>
      <c r="G18" s="65">
        <f>INDEX([2]!tbl_Forecast,MATCH($D$8&amp;$C18&amp;$D$7,[2]!rng_ForecastRowLookup,0),MATCH(G$11,[2]!rng_ForecastColumnLookup,0))</f>
        <v>1.3846551620328988</v>
      </c>
      <c r="H18" s="65">
        <f>INDEX([2]!tbl_Forecast,MATCH($D$8&amp;$C18&amp;$D$7,[2]!rng_ForecastRowLookup,0),MATCH(H$11,[2]!rng_ForecastColumnLookup,0))</f>
        <v>1.414332931216091</v>
      </c>
      <c r="I18" s="65">
        <f>INDEX([2]!tbl_Forecast,MATCH($D$8&amp;$C18&amp;$D$7,[2]!rng_ForecastRowLookup,0),MATCH(I$11,[2]!rng_ForecastColumnLookup,0))</f>
        <v>1.3048976182463843</v>
      </c>
      <c r="J18" s="65">
        <f>INDEX([2]!tbl_Forecast,MATCH($D$8&amp;$C18&amp;$D$7,[2]!rng_ForecastRowLookup,0),MATCH(J$11,[2]!rng_ForecastColumnLookup,0))</f>
        <v>1.1035456427042536</v>
      </c>
      <c r="K18" s="65">
        <f>INDEX([2]!tbl_Forecast,MATCH($D$8&amp;$C18&amp;$D$7,[2]!rng_ForecastRowLookup,0),MATCH(K$11,[2]!rng_ForecastColumnLookup,0))</f>
        <v>1.0932193385059683</v>
      </c>
      <c r="L18" s="65">
        <f>INDEX([2]!tbl_Forecast,MATCH($D$8&amp;$C18&amp;$D$7,[2]!rng_ForecastRowLookup,0),MATCH(L$11,[2]!rng_ForecastColumnLookup,0))</f>
        <v>1.0602010304011045</v>
      </c>
      <c r="M18" s="65">
        <f>INDEX([2]!tbl_Forecast,MATCH($D$8&amp;$C18&amp;$D$7,[2]!rng_ForecastRowLookup,0),MATCH(M$11,[2]!rng_ForecastColumnLookup,0))</f>
        <v>1.3687417218066935</v>
      </c>
      <c r="N18" s="65">
        <f>INDEX([2]!tbl_Forecast,MATCH($D$8&amp;$C18&amp;$D$7,[2]!rng_ForecastRowLookup,0),MATCH(N$11,[2]!rng_ForecastColumnLookup,0))</f>
        <v>1.6102119957699914</v>
      </c>
      <c r="O18" s="65">
        <f>INDEX([2]!tbl_Forecast,MATCH($D$8&amp;$C18&amp;$D$7,[2]!rng_ForecastRowLookup,0),MATCH(O$11,[2]!rng_ForecastColumnLookup,0))</f>
        <v>1.7014476793012303</v>
      </c>
      <c r="P18" s="65">
        <f>INDEX([2]!tbl_Forecast,MATCH($D$8&amp;$C18&amp;$D$7,[2]!rng_ForecastRowLookup,0),MATCH(P$11,[2]!rng_ForecastColumnLookup,0))</f>
        <v>2.4475448442766612</v>
      </c>
      <c r="Q18" s="65">
        <f>INDEX([2]!tbl_Forecast,MATCH($D$8&amp;$C18&amp;$D$7,[2]!rng_ForecastRowLookup,0),MATCH(Q$11,[2]!rng_ForecastColumnLookup,0))</f>
        <v>2.7642584104961641</v>
      </c>
      <c r="R18" s="65">
        <f>INDEX([2]!tbl_Forecast,MATCH($D$8&amp;$C18&amp;$D$7,[2]!rng_ForecastRowLookup,0),MATCH(R$11,[2]!rng_ForecastColumnLookup,0))</f>
        <v>2.4645092385842489</v>
      </c>
      <c r="S18" s="65">
        <f>INDEX([2]!tbl_Forecast,MATCH($D$8&amp;$C18&amp;$D$7,[2]!rng_ForecastRowLookup,0),MATCH(S$11,[2]!rng_ForecastColumnLookup,0))</f>
        <v>2.435211674558635</v>
      </c>
      <c r="T18" s="65">
        <f>INDEX([2]!tbl_Forecast,MATCH($D$8&amp;$C18&amp;$D$7,[2]!rng_ForecastRowLookup,0),MATCH(T$11,[2]!rng_ForecastColumnLookup,0))</f>
        <v>2.3436666024455817</v>
      </c>
      <c r="U18" s="65">
        <f>INDEX([2]!tbl_Forecast,MATCH($D$8&amp;$C18&amp;$D$7,[2]!rng_ForecastRowLookup,0),MATCH(U$11,[2]!rng_ForecastColumnLookup,0))</f>
        <v>1.9970991421399598</v>
      </c>
      <c r="V18" s="65">
        <f>INDEX([2]!tbl_Forecast,MATCH($D$8&amp;$C18&amp;$D$7,[2]!rng_ForecastRowLookup,0),MATCH(V$11,[2]!rng_ForecastColumnLookup,0))</f>
        <v>2.0220850932468024</v>
      </c>
      <c r="W18" s="65">
        <f>INDEX([2]!tbl_Forecast,MATCH($D$8&amp;$C18&amp;$D$7,[2]!rng_ForecastRowLookup,0),MATCH(W$11,[2]!rng_ForecastColumnLookup,0))</f>
        <v>1.9074632582746243</v>
      </c>
      <c r="X18" s="65">
        <f>INDEX([2]!tbl_Forecast,MATCH($D$8&amp;$C18&amp;$D$7,[2]!rng_ForecastRowLookup,0),MATCH(X$11,[2]!rng_ForecastColumnLookup,0))</f>
        <v>2.0633846520749657</v>
      </c>
      <c r="Y18" s="70"/>
      <c r="Z18" s="71">
        <f>SUM(E18:X18)</f>
        <v>37.459246245653958</v>
      </c>
      <c r="AB18" s="24"/>
      <c r="AC18" s="24"/>
    </row>
    <row r="19" spans="1:29">
      <c r="B19" s="24"/>
      <c r="C19" s="24" t="s">
        <v>586</v>
      </c>
      <c r="D19" s="24">
        <v>7</v>
      </c>
      <c r="E19" s="65">
        <f>INDEX([2]!tbl_Forecast,MATCH($D$8&amp;$C19&amp;$D$7,[2]!rng_ForecastRowLookup,0),MATCH(E$11,[2]!rng_ForecastColumnLookup,0))</f>
        <v>0.86249938561661099</v>
      </c>
      <c r="F19" s="65">
        <f>INDEX([2]!tbl_Forecast,MATCH($D$8&amp;$C19&amp;$D$7,[2]!rng_ForecastRowLookup,0),MATCH(F$11,[2]!rng_ForecastColumnLookup,0))</f>
        <v>0.71243811393533818</v>
      </c>
      <c r="G19" s="65">
        <f>INDEX([2]!tbl_Forecast,MATCH($D$8&amp;$C19&amp;$D$7,[2]!rng_ForecastRowLookup,0),MATCH(G$11,[2]!rng_ForecastColumnLookup,0))</f>
        <v>0.43988135050703958</v>
      </c>
      <c r="H19" s="65">
        <f>INDEX([2]!tbl_Forecast,MATCH($D$8&amp;$C19&amp;$D$7,[2]!rng_ForecastRowLookup,0),MATCH(H$11,[2]!rng_ForecastColumnLookup,0))</f>
        <v>0.44879648252082133</v>
      </c>
      <c r="I19" s="65">
        <f>INDEX([2]!tbl_Forecast,MATCH($D$8&amp;$C19&amp;$D$7,[2]!rng_ForecastRowLookup,0),MATCH(I$11,[2]!rng_ForecastColumnLookup,0))</f>
        <v>0.41374173801952452</v>
      </c>
      <c r="J19" s="65">
        <f>INDEX([2]!tbl_Forecast,MATCH($D$8&amp;$C19&amp;$D$7,[2]!rng_ForecastRowLookup,0),MATCH(J$11,[2]!rng_ForecastColumnLookup,0))</f>
        <v>0.34301620014224921</v>
      </c>
      <c r="K19" s="65">
        <f>INDEX([2]!tbl_Forecast,MATCH($D$8&amp;$C19&amp;$D$7,[2]!rng_ForecastRowLookup,0),MATCH(K$11,[2]!rng_ForecastColumnLookup,0))</f>
        <v>0.33946657261656726</v>
      </c>
      <c r="L19" s="65">
        <f>INDEX([2]!tbl_Forecast,MATCH($D$8&amp;$C19&amp;$D$7,[2]!rng_ForecastRowLookup,0),MATCH(L$11,[2]!rng_ForecastColumnLookup,0))</f>
        <v>0.32965754978673117</v>
      </c>
      <c r="M19" s="65">
        <f>INDEX([2]!tbl_Forecast,MATCH($D$8&amp;$C19&amp;$D$7,[2]!rng_ForecastRowLookup,0),MATCH(M$11,[2]!rng_ForecastColumnLookup,0))</f>
        <v>0.43689232903555525</v>
      </c>
      <c r="N19" s="65">
        <f>INDEX([2]!tbl_Forecast,MATCH($D$8&amp;$C19&amp;$D$7,[2]!rng_ForecastRowLookup,0),MATCH(N$11,[2]!rng_ForecastColumnLookup,0))</f>
        <v>0.51886957722704219</v>
      </c>
      <c r="O19" s="65">
        <f>INDEX([2]!tbl_Forecast,MATCH($D$8&amp;$C19&amp;$D$7,[2]!rng_ForecastRowLookup,0),MATCH(O$11,[2]!rng_ForecastColumnLookup,0))</f>
        <v>0.54817313334918127</v>
      </c>
      <c r="P19" s="65">
        <f>INDEX([2]!tbl_Forecast,MATCH($D$8&amp;$C19&amp;$D$7,[2]!rng_ForecastRowLookup,0),MATCH(P$11,[2]!rng_ForecastColumnLookup,0))</f>
        <v>0.77969532117377649</v>
      </c>
      <c r="Q19" s="65">
        <f>INDEX([2]!tbl_Forecast,MATCH($D$8&amp;$C19&amp;$D$7,[2]!rng_ForecastRowLookup,0),MATCH(Q$11,[2]!rng_ForecastColumnLookup,0))</f>
        <v>0.87858644381951334</v>
      </c>
      <c r="R19" s="65">
        <f>INDEX([2]!tbl_Forecast,MATCH($D$8&amp;$C19&amp;$D$7,[2]!rng_ForecastRowLookup,0),MATCH(R$11,[2]!rng_ForecastColumnLookup,0))</f>
        <v>0.78420074698109388</v>
      </c>
      <c r="S19" s="65">
        <f>INDEX([2]!tbl_Forecast,MATCH($D$8&amp;$C19&amp;$D$7,[2]!rng_ForecastRowLookup,0),MATCH(S$11,[2]!rng_ForecastColumnLookup,0))</f>
        <v>0.77728841592354081</v>
      </c>
      <c r="T19" s="65">
        <f>INDEX([2]!tbl_Forecast,MATCH($D$8&amp;$C19&amp;$D$7,[2]!rng_ForecastRowLookup,0),MATCH(T$11,[2]!rng_ForecastColumnLookup,0))</f>
        <v>0.74886674252534069</v>
      </c>
      <c r="U19" s="65">
        <f>INDEX([2]!tbl_Forecast,MATCH($D$8&amp;$C19&amp;$D$7,[2]!rng_ForecastRowLookup,0),MATCH(U$11,[2]!rng_ForecastColumnLookup,0))</f>
        <v>0.63964179951326661</v>
      </c>
      <c r="V19" s="65">
        <f>INDEX([2]!tbl_Forecast,MATCH($D$8&amp;$C19&amp;$D$7,[2]!rng_ForecastRowLookup,0),MATCH(V$11,[2]!rng_ForecastColumnLookup,0))</f>
        <v>0.64714740319049269</v>
      </c>
      <c r="W19" s="65">
        <f>INDEX([2]!tbl_Forecast,MATCH($D$8&amp;$C19&amp;$D$7,[2]!rng_ForecastRowLookup,0),MATCH(W$11,[2]!rng_ForecastColumnLookup,0))</f>
        <v>0.61166389038687663</v>
      </c>
      <c r="X19" s="65">
        <f>INDEX([2]!tbl_Forecast,MATCH($D$8&amp;$C19&amp;$D$7,[2]!rng_ForecastRowLookup,0),MATCH(X$11,[2]!rng_ForecastColumnLookup,0))</f>
        <v>0.66242443593788758</v>
      </c>
      <c r="Y19" s="70"/>
      <c r="Z19" s="71">
        <f>SUM(E19:X19)</f>
        <v>11.92294763220845</v>
      </c>
      <c r="AB19" s="24"/>
      <c r="AC19" s="24"/>
    </row>
    <row r="20" spans="1:29">
      <c r="B20" s="24"/>
      <c r="C20" s="24" t="s">
        <v>266</v>
      </c>
      <c r="D20" s="24">
        <v>8</v>
      </c>
      <c r="E20" s="65">
        <f>INDEX([2]!tbl_Forecast,MATCH($D$8&amp;$C20&amp;$D$7,[2]!rng_ForecastRowLookup,0),MATCH(E$11,[2]!rng_ForecastColumnLookup,0))</f>
        <v>0.49337113702797691</v>
      </c>
      <c r="F20" s="65">
        <f>INDEX([2]!tbl_Forecast,MATCH($D$8&amp;$C20&amp;$D$7,[2]!rng_ForecastRowLookup,0),MATCH(F$11,[2]!rng_ForecastColumnLookup,0))</f>
        <v>1.1029723159217257</v>
      </c>
      <c r="G20" s="65">
        <f>INDEX([2]!tbl_Forecast,MATCH($D$8&amp;$C20&amp;$D$7,[2]!rng_ForecastRowLookup,0),MATCH(G$11,[2]!rng_ForecastColumnLookup,0))</f>
        <v>0.94992456965043459</v>
      </c>
      <c r="H20" s="65">
        <f>INDEX([2]!tbl_Forecast,MATCH($D$8&amp;$C20&amp;$D$7,[2]!rng_ForecastRowLookup,0),MATCH(H$11,[2]!rng_ForecastColumnLookup,0))</f>
        <v>0.71720701164062661</v>
      </c>
      <c r="I20" s="65">
        <f>INDEX([2]!tbl_Forecast,MATCH($D$8&amp;$C20&amp;$D$7,[2]!rng_ForecastRowLookup,0),MATCH(I$11,[2]!rng_ForecastColumnLookup,0))</f>
        <v>0.7442281187428561</v>
      </c>
      <c r="J20" s="65">
        <f>INDEX([2]!tbl_Forecast,MATCH($D$8&amp;$C20&amp;$D$7,[2]!rng_ForecastRowLookup,0),MATCH(J$11,[2]!rng_ForecastColumnLookup,0))</f>
        <v>0.85140099810585501</v>
      </c>
      <c r="K20" s="65">
        <f>INDEX([2]!tbl_Forecast,MATCH($D$8&amp;$C20&amp;$D$7,[2]!rng_ForecastRowLookup,0),MATCH(K$11,[2]!rng_ForecastColumnLookup,0))</f>
        <v>0.99139466996200198</v>
      </c>
      <c r="L20" s="65">
        <f>INDEX([2]!tbl_Forecast,MATCH($D$8&amp;$C20&amp;$D$7,[2]!rng_ForecastRowLookup,0),MATCH(L$11,[2]!rng_ForecastColumnLookup,0))</f>
        <v>1.5014629353162949</v>
      </c>
      <c r="M20" s="65">
        <f>INDEX([2]!tbl_Forecast,MATCH($D$8&amp;$C20&amp;$D$7,[2]!rng_ForecastRowLookup,0),MATCH(M$11,[2]!rng_ForecastColumnLookup,0))</f>
        <v>1.8697826256608596</v>
      </c>
      <c r="N20" s="65">
        <f>INDEX([2]!tbl_Forecast,MATCH($D$8&amp;$C20&amp;$D$7,[2]!rng_ForecastRowLookup,0),MATCH(N$11,[2]!rng_ForecastColumnLookup,0))</f>
        <v>1.6452707482432332</v>
      </c>
      <c r="O20" s="65">
        <f>INDEX([2]!tbl_Forecast,MATCH($D$8&amp;$C20&amp;$D$7,[2]!rng_ForecastRowLookup,0),MATCH(O$11,[2]!rng_ForecastColumnLookup,0))</f>
        <v>1.6753181172445872</v>
      </c>
      <c r="P20" s="65">
        <f>INDEX([2]!tbl_Forecast,MATCH($D$8&amp;$C20&amp;$D$7,[2]!rng_ForecastRowLookup,0),MATCH(P$11,[2]!rng_ForecastColumnLookup,0))</f>
        <v>1.7943041099264481</v>
      </c>
      <c r="Q20" s="65">
        <f>INDEX([2]!tbl_Forecast,MATCH($D$8&amp;$C20&amp;$D$7,[2]!rng_ForecastRowLookup,0),MATCH(Q$11,[2]!rng_ForecastColumnLookup,0))</f>
        <v>1.8624299937819393</v>
      </c>
      <c r="R20" s="65">
        <f>INDEX([2]!tbl_Forecast,MATCH($D$8&amp;$C20&amp;$D$7,[2]!rng_ForecastRowLookup,0),MATCH(R$11,[2]!rng_ForecastColumnLookup,0))</f>
        <v>1.7489264522150836</v>
      </c>
      <c r="S20" s="65">
        <f>INDEX([2]!tbl_Forecast,MATCH($D$8&amp;$C20&amp;$D$7,[2]!rng_ForecastRowLookup,0),MATCH(S$11,[2]!rng_ForecastColumnLookup,0))</f>
        <v>1.7975598556031414</v>
      </c>
      <c r="T20" s="65">
        <f>INDEX([2]!tbl_Forecast,MATCH($D$8&amp;$C20&amp;$D$7,[2]!rng_ForecastRowLookup,0),MATCH(T$11,[2]!rng_ForecastColumnLookup,0))</f>
        <v>1.6195220459723754</v>
      </c>
      <c r="U20" s="65">
        <f>INDEX([2]!tbl_Forecast,MATCH($D$8&amp;$C20&amp;$D$7,[2]!rng_ForecastRowLookup,0),MATCH(U$11,[2]!rng_ForecastColumnLookup,0))</f>
        <v>1.8221433074925411</v>
      </c>
      <c r="V20" s="65">
        <f>INDEX([2]!tbl_Forecast,MATCH($D$8&amp;$C20&amp;$D$7,[2]!rng_ForecastRowLookup,0),MATCH(V$11,[2]!rng_ForecastColumnLookup,0))</f>
        <v>1.6336676691608698</v>
      </c>
      <c r="W20" s="65">
        <f>INDEX([2]!tbl_Forecast,MATCH($D$8&amp;$C20&amp;$D$7,[2]!rng_ForecastRowLookup,0),MATCH(W$11,[2]!rng_ForecastColumnLookup,0))</f>
        <v>1.7826242149357872</v>
      </c>
      <c r="X20" s="65">
        <f>INDEX([2]!tbl_Forecast,MATCH($D$8&amp;$C20&amp;$D$7,[2]!rng_ForecastRowLookup,0),MATCH(X$11,[2]!rng_ForecastColumnLookup,0))</f>
        <v>1.6891002859244486</v>
      </c>
      <c r="Y20" s="70"/>
      <c r="Z20" s="71">
        <f>SUM(E20:X20)</f>
        <v>28.292611182529082</v>
      </c>
      <c r="AB20" s="24"/>
      <c r="AC20" s="24"/>
    </row>
    <row r="21" spans="1:29">
      <c r="B21" s="24"/>
      <c r="C21" s="24" t="s">
        <v>587</v>
      </c>
      <c r="D21" s="98">
        <v>9</v>
      </c>
      <c r="E21" s="65">
        <f>INDEX([2]!tbl_Forecast,MATCH($D$8&amp;$C21&amp;$D$7,[2]!rng_ForecastRowLookup,0),MATCH(E$11,[2]!rng_ForecastColumnLookup,0))</f>
        <v>0.2800209986196866</v>
      </c>
      <c r="F21" s="65">
        <f>INDEX([2]!tbl_Forecast,MATCH($D$8&amp;$C21&amp;$D$7,[2]!rng_ForecastRowLookup,0),MATCH(F$11,[2]!rng_ForecastColumnLookup,0))</f>
        <v>0.29719871383536939</v>
      </c>
      <c r="G21" s="65">
        <f>INDEX([2]!tbl_Forecast,MATCH($D$8&amp;$C21&amp;$D$7,[2]!rng_ForecastRowLookup,0),MATCH(G$11,[2]!rng_ForecastColumnLookup,0))</f>
        <v>0.58203115602335975</v>
      </c>
      <c r="H21" s="65">
        <f>INDEX([2]!tbl_Forecast,MATCH($D$8&amp;$C21&amp;$D$7,[2]!rng_ForecastRowLookup,0),MATCH(H$11,[2]!rng_ForecastColumnLookup,0))</f>
        <v>0.83189457735737737</v>
      </c>
      <c r="I21" s="65">
        <f>INDEX([2]!tbl_Forecast,MATCH($D$8&amp;$C21&amp;$D$7,[2]!rng_ForecastRowLookup,0),MATCH(I$11,[2]!rng_ForecastColumnLookup,0))</f>
        <v>0.66610454718876777</v>
      </c>
      <c r="J21" s="65">
        <f>INDEX([2]!tbl_Forecast,MATCH($D$8&amp;$C21&amp;$D$7,[2]!rng_ForecastRowLookup,0),MATCH(J$11,[2]!rng_ForecastColumnLookup,0))</f>
        <v>0.73648247778559484</v>
      </c>
      <c r="K21" s="65">
        <f>INDEX([2]!tbl_Forecast,MATCH($D$8&amp;$C21&amp;$D$7,[2]!rng_ForecastRowLookup,0),MATCH(K$11,[2]!rng_ForecastColumnLookup,0))</f>
        <v>0.64334185638367225</v>
      </c>
      <c r="L21" s="65">
        <f>INDEX([2]!tbl_Forecast,MATCH($D$8&amp;$C21&amp;$D$7,[2]!rng_ForecastRowLookup,0),MATCH(L$11,[2]!rng_ForecastColumnLookup,0))</f>
        <v>0.97289424291238524</v>
      </c>
      <c r="M21" s="65">
        <f>INDEX([2]!tbl_Forecast,MATCH($D$8&amp;$C21&amp;$D$7,[2]!rng_ForecastRowLookup,0),MATCH(M$11,[2]!rng_ForecastColumnLookup,0))</f>
        <v>1.1820978013224126</v>
      </c>
      <c r="N21" s="65">
        <f>INDEX([2]!tbl_Forecast,MATCH($D$8&amp;$C21&amp;$D$7,[2]!rng_ForecastRowLookup,0),MATCH(N$11,[2]!rng_ForecastColumnLookup,0))</f>
        <v>1.1785313924254113</v>
      </c>
      <c r="O21" s="65">
        <f>INDEX([2]!tbl_Forecast,MATCH($D$8&amp;$C21&amp;$D$7,[2]!rng_ForecastRowLookup,0),MATCH(O$11,[2]!rng_ForecastColumnLookup,0))</f>
        <v>1.2952038876416079</v>
      </c>
      <c r="P21" s="65">
        <f>INDEX([2]!tbl_Forecast,MATCH($D$8&amp;$C21&amp;$D$7,[2]!rng_ForecastRowLookup,0),MATCH(P$11,[2]!rng_ForecastColumnLookup,0))</f>
        <v>1.3229243736280945</v>
      </c>
      <c r="Q21" s="65">
        <f>INDEX([2]!tbl_Forecast,MATCH($D$8&amp;$C21&amp;$D$7,[2]!rng_ForecastRowLookup,0),MATCH(Q$11,[2]!rng_ForecastColumnLookup,0))</f>
        <v>1.422909455419719</v>
      </c>
      <c r="R21" s="65">
        <f>INDEX([2]!tbl_Forecast,MATCH($D$8&amp;$C21&amp;$D$7,[2]!rng_ForecastRowLookup,0),MATCH(R$11,[2]!rng_ForecastColumnLookup,0))</f>
        <v>1.4430187909981058</v>
      </c>
      <c r="S21" s="65">
        <f>INDEX([2]!tbl_Forecast,MATCH($D$8&amp;$C21&amp;$D$7,[2]!rng_ForecastRowLookup,0),MATCH(S$11,[2]!rng_ForecastColumnLookup,0))</f>
        <v>1.2923971403480323</v>
      </c>
      <c r="T21" s="65">
        <f>INDEX([2]!tbl_Forecast,MATCH($D$8&amp;$C21&amp;$D$7,[2]!rng_ForecastRowLookup,0),MATCH(T$11,[2]!rng_ForecastColumnLookup,0))</f>
        <v>1.1785050733908478</v>
      </c>
      <c r="U21" s="65">
        <f>INDEX([2]!tbl_Forecast,MATCH($D$8&amp;$C21&amp;$D$7,[2]!rng_ForecastRowLookup,0),MATCH(U$11,[2]!rng_ForecastColumnLookup,0))</f>
        <v>1.3433889489273994</v>
      </c>
      <c r="V21" s="65">
        <f>INDEX([2]!tbl_Forecast,MATCH($D$8&amp;$C21&amp;$D$7,[2]!rng_ForecastRowLookup,0),MATCH(V$11,[2]!rng_ForecastColumnLookup,0))</f>
        <v>1.2265545990556588</v>
      </c>
      <c r="W21" s="65">
        <f>INDEX([2]!tbl_Forecast,MATCH($D$8&amp;$C21&amp;$D$7,[2]!rng_ForecastRowLookup,0),MATCH(W$11,[2]!rng_ForecastColumnLookup,0))</f>
        <v>1.2571458643971927</v>
      </c>
      <c r="X21" s="65">
        <f>INDEX([2]!tbl_Forecast,MATCH($D$8&amp;$C21&amp;$D$7,[2]!rng_ForecastRowLookup,0),MATCH(X$11,[2]!rng_ForecastColumnLookup,0))</f>
        <v>1.2979913333963795</v>
      </c>
      <c r="Y21" s="70"/>
      <c r="Z21" s="71">
        <f>SUM(E21:X21)</f>
        <v>20.450637231057076</v>
      </c>
      <c r="AB21" s="24"/>
      <c r="AC21" s="24"/>
    </row>
    <row r="22" spans="1:29">
      <c r="B22" s="24"/>
      <c r="C22" s="24" t="s">
        <v>267</v>
      </c>
      <c r="D22" s="98">
        <v>10</v>
      </c>
      <c r="E22" s="65">
        <f>INDEX([2]!tbl_Forecast,MATCH($D$8&amp;$C22&amp;$D$7,[2]!rng_ForecastRowLookup,0),MATCH(E$11,[2]!rng_ForecastColumnLookup,0))</f>
        <v>7.6586609772993617</v>
      </c>
      <c r="F22" s="65">
        <f>INDEX([2]!tbl_Forecast,MATCH($D$8&amp;$C22&amp;$D$7,[2]!rng_ForecastRowLookup,0),MATCH(F$11,[2]!rng_ForecastColumnLookup,0))</f>
        <v>7.5774552212762423</v>
      </c>
      <c r="G22" s="65">
        <f>INDEX([2]!tbl_Forecast,MATCH($D$8&amp;$C22&amp;$D$7,[2]!rng_ForecastRowLookup,0),MATCH(G$11,[2]!rng_ForecastColumnLookup,0))</f>
        <v>5.6453939930651131</v>
      </c>
      <c r="H22" s="65">
        <f>INDEX([2]!tbl_Forecast,MATCH($D$8&amp;$C22&amp;$D$7,[2]!rng_ForecastRowLookup,0),MATCH(H$11,[2]!rng_ForecastColumnLookup,0))</f>
        <v>4.800793231843981</v>
      </c>
      <c r="I22" s="65">
        <f>INDEX([2]!tbl_Forecast,MATCH($D$8&amp;$C22&amp;$D$7,[2]!rng_ForecastRowLookup,0),MATCH(I$11,[2]!rng_ForecastColumnLookup,0))</f>
        <v>3.5881391412601156</v>
      </c>
      <c r="J22" s="65">
        <f>INDEX([2]!tbl_Forecast,MATCH($D$8&amp;$C22&amp;$D$7,[2]!rng_ForecastRowLookup,0),MATCH(J$11,[2]!rng_ForecastColumnLookup,0))</f>
        <v>3.1529819033971824</v>
      </c>
      <c r="K22" s="65">
        <f>INDEX([2]!tbl_Forecast,MATCH($D$8&amp;$C22&amp;$D$7,[2]!rng_ForecastRowLookup,0),MATCH(K$11,[2]!rng_ForecastColumnLookup,0))</f>
        <v>4.0691744688008198</v>
      </c>
      <c r="L22" s="65">
        <f>INDEX([2]!tbl_Forecast,MATCH($D$8&amp;$C22&amp;$D$7,[2]!rng_ForecastRowLookup,0),MATCH(L$11,[2]!rng_ForecastColumnLookup,0))</f>
        <v>4.5400289951106014</v>
      </c>
      <c r="M22" s="65">
        <f>INDEX([2]!tbl_Forecast,MATCH($D$8&amp;$C22&amp;$D$7,[2]!rng_ForecastRowLookup,0),MATCH(M$11,[2]!rng_ForecastColumnLookup,0))</f>
        <v>4.8555474587969272</v>
      </c>
      <c r="N22" s="65">
        <f>INDEX([2]!tbl_Forecast,MATCH($D$8&amp;$C22&amp;$D$7,[2]!rng_ForecastRowLookup,0),MATCH(N$11,[2]!rng_ForecastColumnLookup,0))</f>
        <v>4.6966359797376018</v>
      </c>
      <c r="O22" s="65">
        <f>INDEX([2]!tbl_Forecast,MATCH($D$8&amp;$C22&amp;$D$7,[2]!rng_ForecastRowLookup,0),MATCH(O$11,[2]!rng_ForecastColumnLookup,0))</f>
        <v>4.8557170740974245</v>
      </c>
      <c r="P22" s="65">
        <f>INDEX([2]!tbl_Forecast,MATCH($D$8&amp;$C22&amp;$D$7,[2]!rng_ForecastRowLookup,0),MATCH(P$11,[2]!rng_ForecastColumnLookup,0))</f>
        <v>4.451750056135543</v>
      </c>
      <c r="Q22" s="65">
        <f>INDEX([2]!tbl_Forecast,MATCH($D$8&amp;$C22&amp;$D$7,[2]!rng_ForecastRowLookup,0),MATCH(Q$11,[2]!rng_ForecastColumnLookup,0))</f>
        <v>3.8657972013430704</v>
      </c>
      <c r="R22" s="65">
        <f>INDEX([2]!tbl_Forecast,MATCH($D$8&amp;$C22&amp;$D$7,[2]!rng_ForecastRowLookup,0),MATCH(R$11,[2]!rng_ForecastColumnLookup,0))</f>
        <v>3.9817445148405937</v>
      </c>
      <c r="S22" s="65">
        <f>INDEX([2]!tbl_Forecast,MATCH($D$8&amp;$C22&amp;$D$7,[2]!rng_ForecastRowLookup,0),MATCH(S$11,[2]!rng_ForecastColumnLookup,0))</f>
        <v>3.9951806948216846</v>
      </c>
      <c r="T22" s="65">
        <f>INDEX([2]!tbl_Forecast,MATCH($D$8&amp;$C22&amp;$D$7,[2]!rng_ForecastRowLookup,0),MATCH(T$11,[2]!rng_ForecastColumnLookup,0))</f>
        <v>4.4738164673360306</v>
      </c>
      <c r="U22" s="65">
        <f>INDEX([2]!tbl_Forecast,MATCH($D$8&amp;$C22&amp;$D$7,[2]!rng_ForecastRowLookup,0),MATCH(U$11,[2]!rng_ForecastColumnLookup,0))</f>
        <v>4.2737219736102183</v>
      </c>
      <c r="V22" s="65">
        <f>INDEX([2]!tbl_Forecast,MATCH($D$8&amp;$C22&amp;$D$7,[2]!rng_ForecastRowLookup,0),MATCH(V$11,[2]!rng_ForecastColumnLookup,0))</f>
        <v>4.0870251812551333</v>
      </c>
      <c r="W22" s="65">
        <f>INDEX([2]!tbl_Forecast,MATCH($D$8&amp;$C22&amp;$D$7,[2]!rng_ForecastRowLookup,0),MATCH(W$11,[2]!rng_ForecastColumnLookup,0))</f>
        <v>4.137725578117939</v>
      </c>
      <c r="X22" s="65">
        <f>INDEX([2]!tbl_Forecast,MATCH($D$8&amp;$C22&amp;$D$7,[2]!rng_ForecastRowLookup,0),MATCH(X$11,[2]!rng_ForecastColumnLookup,0))</f>
        <v>3.6922064696454697</v>
      </c>
      <c r="Y22" s="70"/>
      <c r="Z22" s="71">
        <f>SUM(E22:X22)</f>
        <v>92.399496581791055</v>
      </c>
      <c r="AB22" s="24"/>
      <c r="AC22" s="24"/>
    </row>
    <row r="23" spans="1:29">
      <c r="B23" s="24"/>
      <c r="C23" s="24" t="s">
        <v>588</v>
      </c>
      <c r="D23" s="24">
        <v>11</v>
      </c>
      <c r="E23" s="65">
        <f>INDEX([2]!tbl_Forecast,MATCH($D$8&amp;$C23&amp;$D$7,[2]!rng_ForecastRowLookup,0),MATCH(E$11,[2]!rng_ForecastColumnLookup,0))</f>
        <v>0.38924897939746522</v>
      </c>
      <c r="F23" s="65">
        <f>INDEX([2]!tbl_Forecast,MATCH($D$8&amp;$C23&amp;$D$7,[2]!rng_ForecastRowLookup,0),MATCH(F$11,[2]!rng_ForecastColumnLookup,0))</f>
        <v>0.34341311895347121</v>
      </c>
      <c r="G23" s="65">
        <f>INDEX([2]!tbl_Forecast,MATCH($D$8&amp;$C23&amp;$D$7,[2]!rng_ForecastRowLookup,0),MATCH(G$11,[2]!rng_ForecastColumnLookup,0))</f>
        <v>0.29927348040561341</v>
      </c>
      <c r="H23" s="65">
        <f>INDEX([2]!tbl_Forecast,MATCH($D$8&amp;$C23&amp;$D$7,[2]!rng_ForecastRowLookup,0),MATCH(H$11,[2]!rng_ForecastColumnLookup,0))</f>
        <v>0.29688874456634085</v>
      </c>
      <c r="I23" s="65">
        <f>INDEX([2]!tbl_Forecast,MATCH($D$8&amp;$C23&amp;$D$7,[2]!rng_ForecastRowLookup,0),MATCH(I$11,[2]!rng_ForecastColumnLookup,0))</f>
        <v>0.29379933994281465</v>
      </c>
      <c r="J23" s="65">
        <f>INDEX([2]!tbl_Forecast,MATCH($D$8&amp;$C23&amp;$D$7,[2]!rng_ForecastRowLookup,0),MATCH(J$11,[2]!rng_ForecastColumnLookup,0))</f>
        <v>0.29041766271303127</v>
      </c>
      <c r="K23" s="65">
        <f>INDEX([2]!tbl_Forecast,MATCH($D$8&amp;$C23&amp;$D$7,[2]!rng_ForecastRowLookup,0),MATCH(K$11,[2]!rng_ForecastColumnLookup,0))</f>
        <v>0.28614144770449462</v>
      </c>
      <c r="L23" s="65">
        <f>INDEX([2]!tbl_Forecast,MATCH($D$8&amp;$C23&amp;$D$7,[2]!rng_ForecastRowLookup,0),MATCH(L$11,[2]!rng_ForecastColumnLookup,0))</f>
        <v>0.28163861967746157</v>
      </c>
      <c r="M23" s="65">
        <f>INDEX([2]!tbl_Forecast,MATCH($D$8&amp;$C23&amp;$D$7,[2]!rng_ForecastRowLookup,0),MATCH(M$11,[2]!rng_ForecastColumnLookup,0))</f>
        <v>0.27688800876616482</v>
      </c>
      <c r="N23" s="65">
        <f>INDEX([2]!tbl_Forecast,MATCH($D$8&amp;$C23&amp;$D$7,[2]!rng_ForecastRowLookup,0),MATCH(N$11,[2]!rng_ForecastColumnLookup,0))</f>
        <v>0.27357754310134663</v>
      </c>
      <c r="O23" s="65">
        <f>INDEX([2]!tbl_Forecast,MATCH($D$8&amp;$C23&amp;$D$7,[2]!rng_ForecastRowLookup,0),MATCH(O$11,[2]!rng_ForecastColumnLookup,0))</f>
        <v>0.27063184585003941</v>
      </c>
      <c r="P23" s="65">
        <f>INDEX([2]!tbl_Forecast,MATCH($D$8&amp;$C23&amp;$D$7,[2]!rng_ForecastRowLookup,0),MATCH(P$11,[2]!rng_ForecastColumnLookup,0))</f>
        <v>0.26801411864303953</v>
      </c>
      <c r="Q23" s="65">
        <f>INDEX([2]!tbl_Forecast,MATCH($D$8&amp;$C23&amp;$D$7,[2]!rng_ForecastRowLookup,0),MATCH(Q$11,[2]!rng_ForecastColumnLookup,0))</f>
        <v>0.26660240614409092</v>
      </c>
      <c r="R23" s="65">
        <f>INDEX([2]!tbl_Forecast,MATCH($D$8&amp;$C23&amp;$D$7,[2]!rng_ForecastRowLookup,0),MATCH(R$11,[2]!rng_ForecastColumnLookup,0))</f>
        <v>0.25138198684402913</v>
      </c>
      <c r="S23" s="65">
        <f>INDEX([2]!tbl_Forecast,MATCH($D$8&amp;$C23&amp;$D$7,[2]!rng_ForecastRowLookup,0),MATCH(S$11,[2]!rng_ForecastColumnLookup,0))</f>
        <v>0.26455339135243683</v>
      </c>
      <c r="T23" s="65">
        <f>INDEX([2]!tbl_Forecast,MATCH($D$8&amp;$C23&amp;$D$7,[2]!rng_ForecastRowLookup,0),MATCH(T$11,[2]!rng_ForecastColumnLookup,0))</f>
        <v>0.26299167309250365</v>
      </c>
      <c r="U23" s="65">
        <f>INDEX([2]!tbl_Forecast,MATCH($D$8&amp;$C23&amp;$D$7,[2]!rng_ForecastRowLookup,0),MATCH(U$11,[2]!rng_ForecastColumnLookup,0))</f>
        <v>0.26140909607327911</v>
      </c>
      <c r="V23" s="65">
        <f>INDEX([2]!tbl_Forecast,MATCH($D$8&amp;$C23&amp;$D$7,[2]!rng_ForecastRowLookup,0),MATCH(V$11,[2]!rng_ForecastColumnLookup,0))</f>
        <v>0.25947687815142023</v>
      </c>
      <c r="W23" s="65">
        <f>INDEX([2]!tbl_Forecast,MATCH($D$8&amp;$C23&amp;$D$7,[2]!rng_ForecastRowLookup,0),MATCH(W$11,[2]!rng_ForecastColumnLookup,0))</f>
        <v>0.25750619496776178</v>
      </c>
      <c r="X23" s="65">
        <f>INDEX([2]!tbl_Forecast,MATCH($D$8&amp;$C23&amp;$D$7,[2]!rng_ForecastRowLookup,0),MATCH(X$11,[2]!rng_ForecastColumnLookup,0))</f>
        <v>0.25562560804995926</v>
      </c>
      <c r="Y23" s="70"/>
      <c r="Z23" s="71">
        <f>SUM(E23:X23)</f>
        <v>5.6494801443967644</v>
      </c>
      <c r="AB23" s="24"/>
      <c r="AC23" s="24"/>
    </row>
    <row r="24" spans="1:29">
      <c r="B24" s="24"/>
      <c r="C24" s="24" t="s">
        <v>589</v>
      </c>
      <c r="D24" s="24">
        <v>12</v>
      </c>
      <c r="E24" s="65">
        <f>INDEX([2]!tbl_Forecast,MATCH($D$8&amp;$C24&amp;$D$7,[2]!rng_ForecastRowLookup,0),MATCH(E$11,[2]!rng_ForecastColumnLookup,0))</f>
        <v>0.19765540078516197</v>
      </c>
      <c r="F24" s="65">
        <f>INDEX([2]!tbl_Forecast,MATCH($D$8&amp;$C24&amp;$D$7,[2]!rng_ForecastRowLookup,0),MATCH(F$11,[2]!rng_ForecastColumnLookup,0))</f>
        <v>0.18600542935034625</v>
      </c>
      <c r="G24" s="65">
        <f>INDEX([2]!tbl_Forecast,MATCH($D$8&amp;$C24&amp;$D$7,[2]!rng_ForecastRowLookup,0),MATCH(G$11,[2]!rng_ForecastColumnLookup,0))</f>
        <v>9.5760802585072302E-2</v>
      </c>
      <c r="H24" s="65">
        <f>INDEX([2]!tbl_Forecast,MATCH($D$8&amp;$C24&amp;$D$7,[2]!rng_ForecastRowLookup,0),MATCH(H$11,[2]!rng_ForecastColumnLookup,0))</f>
        <v>0.10062051473914659</v>
      </c>
      <c r="I24" s="65">
        <f>INDEX([2]!tbl_Forecast,MATCH($D$8&amp;$C24&amp;$D$7,[2]!rng_ForecastRowLookup,0),MATCH(I$11,[2]!rng_ForecastColumnLookup,0))</f>
        <v>8.5646792534183808E-2</v>
      </c>
      <c r="J24" s="65">
        <f>INDEX([2]!tbl_Forecast,MATCH($D$8&amp;$C24&amp;$D$7,[2]!rng_ForecastRowLookup,0),MATCH(J$11,[2]!rng_ForecastColumnLookup,0))</f>
        <v>6.5415041923045286E-2</v>
      </c>
      <c r="K24" s="65">
        <f>INDEX([2]!tbl_Forecast,MATCH($D$8&amp;$C24&amp;$D$7,[2]!rng_ForecastRowLookup,0),MATCH(K$11,[2]!rng_ForecastColumnLookup,0))</f>
        <v>5.7242996146950373E-2</v>
      </c>
      <c r="L24" s="65">
        <f>INDEX([2]!tbl_Forecast,MATCH($D$8&amp;$C24&amp;$D$7,[2]!rng_ForecastRowLookup,0),MATCH(L$11,[2]!rng_ForecastColumnLookup,0))</f>
        <v>5.5087150941189433E-2</v>
      </c>
      <c r="M24" s="65">
        <f>INDEX([2]!tbl_Forecast,MATCH($D$8&amp;$C24&amp;$D$7,[2]!rng_ForecastRowLookup,0),MATCH(M$11,[2]!rng_ForecastColumnLookup,0))</f>
        <v>7.3916214299540497E-2</v>
      </c>
      <c r="N24" s="65">
        <f>INDEX([2]!tbl_Forecast,MATCH($D$8&amp;$C24&amp;$D$7,[2]!rng_ForecastRowLookup,0),MATCH(N$11,[2]!rng_ForecastColumnLookup,0))</f>
        <v>9.2056169088318471E-2</v>
      </c>
      <c r="O24" s="65">
        <f>INDEX([2]!tbl_Forecast,MATCH($D$8&amp;$C24&amp;$D$7,[2]!rng_ForecastRowLookup,0),MATCH(O$11,[2]!rng_ForecastColumnLookup,0))</f>
        <v>0.10393709432109566</v>
      </c>
      <c r="P24" s="65">
        <f>INDEX([2]!tbl_Forecast,MATCH($D$8&amp;$C24&amp;$D$7,[2]!rng_ForecastRowLookup,0),MATCH(P$11,[2]!rng_ForecastColumnLookup,0))</f>
        <v>0.15172170448022598</v>
      </c>
      <c r="Q24" s="65">
        <f>INDEX([2]!tbl_Forecast,MATCH($D$8&amp;$C24&amp;$D$7,[2]!rng_ForecastRowLookup,0),MATCH(Q$11,[2]!rng_ForecastColumnLookup,0))</f>
        <v>0.15706997726929292</v>
      </c>
      <c r="R24" s="65">
        <f>INDEX([2]!tbl_Forecast,MATCH($D$8&amp;$C24&amp;$D$7,[2]!rng_ForecastRowLookup,0),MATCH(R$11,[2]!rng_ForecastColumnLookup,0))</f>
        <v>0.14510580631504899</v>
      </c>
      <c r="S24" s="65">
        <f>INDEX([2]!tbl_Forecast,MATCH($D$8&amp;$C24&amp;$D$7,[2]!rng_ForecastRowLookup,0),MATCH(S$11,[2]!rng_ForecastColumnLookup,0))</f>
        <v>0.15272706829792246</v>
      </c>
      <c r="T24" s="65">
        <f>INDEX([2]!tbl_Forecast,MATCH($D$8&amp;$C24&amp;$D$7,[2]!rng_ForecastRowLookup,0),MATCH(T$11,[2]!rng_ForecastColumnLookup,0))</f>
        <v>0.14104647748606622</v>
      </c>
      <c r="U24" s="65">
        <f>INDEX([2]!tbl_Forecast,MATCH($D$8&amp;$C24&amp;$D$7,[2]!rng_ForecastRowLookup,0),MATCH(U$11,[2]!rng_ForecastColumnLookup,0))</f>
        <v>0.11700741064540764</v>
      </c>
      <c r="V24" s="65">
        <f>INDEX([2]!tbl_Forecast,MATCH($D$8&amp;$C24&amp;$D$7,[2]!rng_ForecastRowLookup,0),MATCH(V$11,[2]!rng_ForecastColumnLookup,0))</f>
        <v>0.1200067315077773</v>
      </c>
      <c r="W24" s="65">
        <f>INDEX([2]!tbl_Forecast,MATCH($D$8&amp;$C24&amp;$D$7,[2]!rng_ForecastRowLookup,0),MATCH(W$11,[2]!rng_ForecastColumnLookup,0))</f>
        <v>0.11457442878633581</v>
      </c>
      <c r="X24" s="65">
        <f>INDEX([2]!tbl_Forecast,MATCH($D$8&amp;$C24&amp;$D$7,[2]!rng_ForecastRowLookup,0),MATCH(X$11,[2]!rng_ForecastColumnLookup,0))</f>
        <v>0.1211768182439132</v>
      </c>
      <c r="Y24" s="70"/>
      <c r="Z24" s="71">
        <f>SUM(E24:X24)</f>
        <v>2.3337800297460412</v>
      </c>
      <c r="AB24" s="24"/>
      <c r="AC24" s="24"/>
    </row>
    <row r="25" spans="1:29">
      <c r="B25" s="24"/>
      <c r="C25" s="24" t="s">
        <v>264</v>
      </c>
      <c r="D25" s="24">
        <v>13</v>
      </c>
      <c r="E25" s="65">
        <f>INDEX([2]!tbl_Forecast,MATCH($D$8&amp;$C25&amp;$D$7,[2]!rng_ForecastRowLookup,0),MATCH(E$11,[2]!rng_ForecastColumnLookup,0))</f>
        <v>0.46894871790011039</v>
      </c>
      <c r="F25" s="65">
        <f>INDEX([2]!tbl_Forecast,MATCH($D$8&amp;$C25&amp;$D$7,[2]!rng_ForecastRowLookup,0),MATCH(F$11,[2]!rng_ForecastColumnLookup,0))</f>
        <v>0.47387410836125871</v>
      </c>
      <c r="G25" s="65">
        <f>INDEX([2]!tbl_Forecast,MATCH($D$8&amp;$C25&amp;$D$7,[2]!rng_ForecastRowLookup,0),MATCH(G$11,[2]!rng_ForecastColumnLookup,0))</f>
        <v>0.45144590813821411</v>
      </c>
      <c r="H25" s="65">
        <f>INDEX([2]!tbl_Forecast,MATCH($D$8&amp;$C25&amp;$D$7,[2]!rng_ForecastRowLookup,0),MATCH(H$11,[2]!rng_ForecastColumnLookup,0))</f>
        <v>0.4505136151455652</v>
      </c>
      <c r="I25" s="65">
        <f>INDEX([2]!tbl_Forecast,MATCH($D$8&amp;$C25&amp;$D$7,[2]!rng_ForecastRowLookup,0),MATCH(I$11,[2]!rng_ForecastColumnLookup,0))</f>
        <v>0.44778046039172248</v>
      </c>
      <c r="J25" s="65">
        <f>INDEX([2]!tbl_Forecast,MATCH($D$8&amp;$C25&amp;$D$7,[2]!rng_ForecastRowLookup,0),MATCH(J$11,[2]!rng_ForecastColumnLookup,0))</f>
        <v>0.44523396067124349</v>
      </c>
      <c r="K25" s="65">
        <f>INDEX([2]!tbl_Forecast,MATCH($D$8&amp;$C25&amp;$D$7,[2]!rng_ForecastRowLookup,0),MATCH(K$11,[2]!rng_ForecastColumnLookup,0))</f>
        <v>0.44273536313864043</v>
      </c>
      <c r="L25" s="65">
        <f>INDEX([2]!tbl_Forecast,MATCH($D$8&amp;$C25&amp;$D$7,[2]!rng_ForecastRowLookup,0),MATCH(L$11,[2]!rng_ForecastColumnLookup,0))</f>
        <v>0.4399078135546039</v>
      </c>
      <c r="M25" s="65">
        <f>INDEX([2]!tbl_Forecast,MATCH($D$8&amp;$C25&amp;$D$7,[2]!rng_ForecastRowLookup,0),MATCH(M$11,[2]!rng_ForecastColumnLookup,0))</f>
        <v>0.43708606600163591</v>
      </c>
      <c r="N25" s="65">
        <f>INDEX([2]!tbl_Forecast,MATCH($D$8&amp;$C25&amp;$D$7,[2]!rng_ForecastRowLookup,0),MATCH(N$11,[2]!rng_ForecastColumnLookup,0))</f>
        <v>0.43513915585550955</v>
      </c>
      <c r="O25" s="65">
        <f>INDEX([2]!tbl_Forecast,MATCH($D$8&amp;$C25&amp;$D$7,[2]!rng_ForecastRowLookup,0),MATCH(O$11,[2]!rng_ForecastColumnLookup,0))</f>
        <v>0.43580404899906589</v>
      </c>
      <c r="P25" s="65">
        <f>INDEX([2]!tbl_Forecast,MATCH($D$8&amp;$C25&amp;$D$7,[2]!rng_ForecastRowLookup,0),MATCH(P$11,[2]!rng_ForecastColumnLookup,0))</f>
        <v>0.59161866303702282</v>
      </c>
      <c r="Q25" s="65">
        <f>INDEX([2]!tbl_Forecast,MATCH($D$8&amp;$C25&amp;$D$7,[2]!rng_ForecastRowLookup,0),MATCH(Q$11,[2]!rng_ForecastColumnLookup,0))</f>
        <v>0.66467702134516005</v>
      </c>
      <c r="R25" s="65">
        <f>INDEX([2]!tbl_Forecast,MATCH($D$8&amp;$C25&amp;$D$7,[2]!rng_ForecastRowLookup,0),MATCH(R$11,[2]!rng_ForecastColumnLookup,0))</f>
        <v>0.65353995366480533</v>
      </c>
      <c r="S25" s="65">
        <f>INDEX([2]!tbl_Forecast,MATCH($D$8&amp;$C25&amp;$D$7,[2]!rng_ForecastRowLookup,0),MATCH(S$11,[2]!rng_ForecastColumnLookup,0))</f>
        <v>0.676060915960916</v>
      </c>
      <c r="T25" s="65">
        <f>INDEX([2]!tbl_Forecast,MATCH($D$8&amp;$C25&amp;$D$7,[2]!rng_ForecastRowLookup,0),MATCH(T$11,[2]!rng_ForecastColumnLookup,0))</f>
        <v>0.70559825286541389</v>
      </c>
      <c r="U25" s="65">
        <f>INDEX([2]!tbl_Forecast,MATCH($D$8&amp;$C25&amp;$D$7,[2]!rng_ForecastRowLookup,0),MATCH(U$11,[2]!rng_ForecastColumnLookup,0))</f>
        <v>0.63206878506691044</v>
      </c>
      <c r="V25" s="65">
        <f>INDEX([2]!tbl_Forecast,MATCH($D$8&amp;$C25&amp;$D$7,[2]!rng_ForecastRowLookup,0),MATCH(V$11,[2]!rng_ForecastColumnLookup,0))</f>
        <v>0.63726309269471215</v>
      </c>
      <c r="W25" s="65">
        <f>INDEX([2]!tbl_Forecast,MATCH($D$8&amp;$C25&amp;$D$7,[2]!rng_ForecastRowLookup,0),MATCH(W$11,[2]!rng_ForecastColumnLookup,0))</f>
        <v>0.5828366650853003</v>
      </c>
      <c r="X25" s="65">
        <f>INDEX([2]!tbl_Forecast,MATCH($D$8&amp;$C25&amp;$D$7,[2]!rng_ForecastRowLookup,0),MATCH(X$11,[2]!rng_ForecastColumnLookup,0))</f>
        <v>0.63928201324113043</v>
      </c>
      <c r="Y25" s="70"/>
      <c r="Z25" s="71">
        <f>SUM(E25:X25)</f>
        <v>10.711414581118939</v>
      </c>
      <c r="AB25" s="24"/>
      <c r="AC25" s="24"/>
    </row>
    <row r="26" spans="1:29">
      <c r="B26" s="24"/>
      <c r="C26" s="24" t="s">
        <v>257</v>
      </c>
      <c r="D26" s="98">
        <v>14</v>
      </c>
      <c r="E26" s="65">
        <f>INDEX([2]!tbl_Forecast,MATCH($D$8&amp;$C26&amp;$D$7,[2]!rng_ForecastRowLookup,0),MATCH(E$11,[2]!rng_ForecastColumnLookup,0))</f>
        <v>1.0326774321313152</v>
      </c>
      <c r="F26" s="65">
        <f>INDEX([2]!tbl_Forecast,MATCH($D$8&amp;$C26&amp;$D$7,[2]!rng_ForecastRowLookup,0),MATCH(F$11,[2]!rng_ForecastColumnLookup,0))</f>
        <v>1.0158776160943388</v>
      </c>
      <c r="G26" s="65">
        <f>INDEX([2]!tbl_Forecast,MATCH($D$8&amp;$C26&amp;$D$7,[2]!rng_ForecastRowLookup,0),MATCH(G$11,[2]!rng_ForecastColumnLookup,0))</f>
        <v>0.74304915446037911</v>
      </c>
      <c r="H26" s="65">
        <f>INDEX([2]!tbl_Forecast,MATCH($D$8&amp;$C26&amp;$D$7,[2]!rng_ForecastRowLookup,0),MATCH(H$11,[2]!rng_ForecastColumnLookup,0))</f>
        <v>0.76054102414226543</v>
      </c>
      <c r="I26" s="65">
        <f>INDEX([2]!tbl_Forecast,MATCH($D$8&amp;$C26&amp;$D$7,[2]!rng_ForecastRowLookup,0),MATCH(I$11,[2]!rng_ForecastColumnLookup,0))</f>
        <v>0.65616402459427536</v>
      </c>
      <c r="J26" s="65">
        <f>INDEX([2]!tbl_Forecast,MATCH($D$8&amp;$C26&amp;$D$7,[2]!rng_ForecastRowLookup,0),MATCH(J$11,[2]!rng_ForecastColumnLookup,0))</f>
        <v>0.62755023267601961</v>
      </c>
      <c r="K26" s="65">
        <f>INDEX([2]!tbl_Forecast,MATCH($D$8&amp;$C26&amp;$D$7,[2]!rng_ForecastRowLookup,0),MATCH(K$11,[2]!rng_ForecastColumnLookup,0))</f>
        <v>0.61023293273354484</v>
      </c>
      <c r="L26" s="65">
        <f>INDEX([2]!tbl_Forecast,MATCH($D$8&amp;$C26&amp;$D$7,[2]!rng_ForecastRowLookup,0),MATCH(L$11,[2]!rng_ForecastColumnLookup,0))</f>
        <v>0.60571699788717037</v>
      </c>
      <c r="M26" s="65">
        <f>INDEX([2]!tbl_Forecast,MATCH($D$8&amp;$C26&amp;$D$7,[2]!rng_ForecastRowLookup,0),MATCH(M$11,[2]!rng_ForecastColumnLookup,0))</f>
        <v>0.65097903457434547</v>
      </c>
      <c r="N26" s="65">
        <f>INDEX([2]!tbl_Forecast,MATCH($D$8&amp;$C26&amp;$D$7,[2]!rng_ForecastRowLookup,0),MATCH(N$11,[2]!rng_ForecastColumnLookup,0))</f>
        <v>0.69319811486407867</v>
      </c>
      <c r="O26" s="65">
        <f>INDEX([2]!tbl_Forecast,MATCH($D$8&amp;$C26&amp;$D$7,[2]!rng_ForecastRowLookup,0),MATCH(O$11,[2]!rng_ForecastColumnLookup,0))</f>
        <v>0.78843795894088464</v>
      </c>
      <c r="P26" s="65">
        <f>INDEX([2]!tbl_Forecast,MATCH($D$8&amp;$C26&amp;$D$7,[2]!rng_ForecastRowLookup,0),MATCH(P$11,[2]!rng_ForecastColumnLookup,0))</f>
        <v>1.3645659476947984</v>
      </c>
      <c r="Q26" s="65">
        <f>INDEX([2]!tbl_Forecast,MATCH($D$8&amp;$C26&amp;$D$7,[2]!rng_ForecastRowLookup,0),MATCH(Q$11,[2]!rng_ForecastColumnLookup,0))</f>
        <v>1.6032227373726178</v>
      </c>
      <c r="R26" s="65">
        <f>INDEX([2]!tbl_Forecast,MATCH($D$8&amp;$C26&amp;$D$7,[2]!rng_ForecastRowLookup,0),MATCH(R$11,[2]!rng_ForecastColumnLookup,0))</f>
        <v>1.6412696995684901</v>
      </c>
      <c r="S26" s="65">
        <f>INDEX([2]!tbl_Forecast,MATCH($D$8&amp;$C26&amp;$D$7,[2]!rng_ForecastRowLookup,0),MATCH(S$11,[2]!rng_ForecastColumnLookup,0))</f>
        <v>1.670283030615213</v>
      </c>
      <c r="T26" s="65">
        <f>INDEX([2]!tbl_Forecast,MATCH($D$8&amp;$C26&amp;$D$7,[2]!rng_ForecastRowLookup,0),MATCH(T$11,[2]!rng_ForecastColumnLookup,0))</f>
        <v>1.755661848186447</v>
      </c>
      <c r="U26" s="65">
        <f>INDEX([2]!tbl_Forecast,MATCH($D$8&amp;$C26&amp;$D$7,[2]!rng_ForecastRowLookup,0),MATCH(U$11,[2]!rng_ForecastColumnLookup,0))</f>
        <v>1.4871375295645746</v>
      </c>
      <c r="V26" s="65">
        <f>INDEX([2]!tbl_Forecast,MATCH($D$8&amp;$C26&amp;$D$7,[2]!rng_ForecastRowLookup,0),MATCH(V$11,[2]!rng_ForecastColumnLookup,0))</f>
        <v>1.4400033906080374</v>
      </c>
      <c r="W26" s="65">
        <f>INDEX([2]!tbl_Forecast,MATCH($D$8&amp;$C26&amp;$D$7,[2]!rng_ForecastRowLookup,0),MATCH(W$11,[2]!rng_ForecastColumnLookup,0))</f>
        <v>1.3499648074414823</v>
      </c>
      <c r="X26" s="65">
        <f>INDEX([2]!tbl_Forecast,MATCH($D$8&amp;$C26&amp;$D$7,[2]!rng_ForecastRowLookup,0),MATCH(X$11,[2]!rng_ForecastColumnLookup,0))</f>
        <v>1.4487057151095009</v>
      </c>
      <c r="Y26" s="70"/>
      <c r="Z26" s="71">
        <f>SUM(E26:X26)</f>
        <v>21.945239229259773</v>
      </c>
      <c r="AB26" s="24"/>
      <c r="AC26" s="24"/>
    </row>
    <row r="27" spans="1:29">
      <c r="B27" s="24"/>
      <c r="C27" s="24" t="s">
        <v>590</v>
      </c>
      <c r="D27" s="98">
        <v>15</v>
      </c>
      <c r="E27" s="65">
        <f>INDEX([2]!tbl_Forecast,MATCH($D$8&amp;$C27&amp;$D$7,[2]!rng_ForecastRowLookup,0),MATCH(E$11,[2]!rng_ForecastColumnLookup,0))</f>
        <v>4.1336070304911159</v>
      </c>
      <c r="F27" s="65">
        <f>INDEX([2]!tbl_Forecast,MATCH($D$8&amp;$C27&amp;$D$7,[2]!rng_ForecastRowLookup,0),MATCH(F$11,[2]!rng_ForecastColumnLookup,0))</f>
        <v>3.5601449453189118</v>
      </c>
      <c r="G27" s="65">
        <f>INDEX([2]!tbl_Forecast,MATCH($D$8&amp;$C27&amp;$D$7,[2]!rng_ForecastRowLookup,0),MATCH(G$11,[2]!rng_ForecastColumnLookup,0))</f>
        <v>3.2007770264658664</v>
      </c>
      <c r="H27" s="65">
        <f>INDEX([2]!tbl_Forecast,MATCH($D$8&amp;$C27&amp;$D$7,[2]!rng_ForecastRowLookup,0),MATCH(H$11,[2]!rng_ForecastColumnLookup,0))</f>
        <v>2.6531465767673241</v>
      </c>
      <c r="I27" s="65">
        <f>INDEX([2]!tbl_Forecast,MATCH($D$8&amp;$C27&amp;$D$7,[2]!rng_ForecastRowLookup,0),MATCH(I$11,[2]!rng_ForecastColumnLookup,0))</f>
        <v>1.8730082465149496</v>
      </c>
      <c r="J27" s="65">
        <f>INDEX([2]!tbl_Forecast,MATCH($D$8&amp;$C27&amp;$D$7,[2]!rng_ForecastRowLookup,0),MATCH(J$11,[2]!rng_ForecastColumnLookup,0))</f>
        <v>1.6467285324389391</v>
      </c>
      <c r="K27" s="65">
        <f>INDEX([2]!tbl_Forecast,MATCH($D$8&amp;$C27&amp;$D$7,[2]!rng_ForecastRowLookup,0),MATCH(K$11,[2]!rng_ForecastColumnLookup,0))</f>
        <v>1.5196240263467067</v>
      </c>
      <c r="L27" s="65">
        <f>INDEX([2]!tbl_Forecast,MATCH($D$8&amp;$C27&amp;$D$7,[2]!rng_ForecastRowLookup,0),MATCH(L$11,[2]!rng_ForecastColumnLookup,0))</f>
        <v>1.3328145698119136</v>
      </c>
      <c r="M27" s="65">
        <f>INDEX([2]!tbl_Forecast,MATCH($D$8&amp;$C27&amp;$D$7,[2]!rng_ForecastRowLookup,0),MATCH(M$11,[2]!rng_ForecastColumnLookup,0))</f>
        <v>1.3372342578617185</v>
      </c>
      <c r="N27" s="65">
        <f>INDEX([2]!tbl_Forecast,MATCH($D$8&amp;$C27&amp;$D$7,[2]!rng_ForecastRowLookup,0),MATCH(N$11,[2]!rng_ForecastColumnLookup,0))</f>
        <v>1.4086686461757902</v>
      </c>
      <c r="O27" s="65">
        <f>INDEX([2]!tbl_Forecast,MATCH($D$8&amp;$C27&amp;$D$7,[2]!rng_ForecastRowLookup,0),MATCH(O$11,[2]!rng_ForecastColumnLookup,0))</f>
        <v>1.6725933548501446</v>
      </c>
      <c r="P27" s="65">
        <f>INDEX([2]!tbl_Forecast,MATCH($D$8&amp;$C27&amp;$D$7,[2]!rng_ForecastRowLookup,0),MATCH(P$11,[2]!rng_ForecastColumnLookup,0))</f>
        <v>2.0158466086985318</v>
      </c>
      <c r="Q27" s="65">
        <f>INDEX([2]!tbl_Forecast,MATCH($D$8&amp;$C27&amp;$D$7,[2]!rng_ForecastRowLookup,0),MATCH(Q$11,[2]!rng_ForecastColumnLookup,0))</f>
        <v>2.3033709594417431</v>
      </c>
      <c r="R27" s="65">
        <f>INDEX([2]!tbl_Forecast,MATCH($D$8&amp;$C27&amp;$D$7,[2]!rng_ForecastRowLookup,0),MATCH(R$11,[2]!rng_ForecastColumnLookup,0))</f>
        <v>2.063930246052466</v>
      </c>
      <c r="S27" s="65">
        <f>INDEX([2]!tbl_Forecast,MATCH($D$8&amp;$C27&amp;$D$7,[2]!rng_ForecastRowLookup,0),MATCH(S$11,[2]!rng_ForecastColumnLookup,0))</f>
        <v>1.9880083370090949</v>
      </c>
      <c r="T27" s="65">
        <f>INDEX([2]!tbl_Forecast,MATCH($D$8&amp;$C27&amp;$D$7,[2]!rng_ForecastRowLookup,0),MATCH(T$11,[2]!rng_ForecastColumnLookup,0))</f>
        <v>1.9342270452860566</v>
      </c>
      <c r="U27" s="65">
        <f>INDEX([2]!tbl_Forecast,MATCH($D$8&amp;$C27&amp;$D$7,[2]!rng_ForecastRowLookup,0),MATCH(U$11,[2]!rng_ForecastColumnLookup,0))</f>
        <v>1.774507966199161</v>
      </c>
      <c r="V27" s="65">
        <f>INDEX([2]!tbl_Forecast,MATCH($D$8&amp;$C27&amp;$D$7,[2]!rng_ForecastRowLookup,0),MATCH(V$11,[2]!rng_ForecastColumnLookup,0))</f>
        <v>1.6723841845019074</v>
      </c>
      <c r="W27" s="65">
        <f>INDEX([2]!tbl_Forecast,MATCH($D$8&amp;$C27&amp;$D$7,[2]!rng_ForecastRowLookup,0),MATCH(W$11,[2]!rng_ForecastColumnLookup,0))</f>
        <v>1.5414284807799123</v>
      </c>
      <c r="X27" s="65">
        <f>INDEX([2]!tbl_Forecast,MATCH($D$8&amp;$C27&amp;$D$7,[2]!rng_ForecastRowLookup,0),MATCH(X$11,[2]!rng_ForecastColumnLookup,0))</f>
        <v>1.5563040522680198</v>
      </c>
      <c r="Y27" s="70"/>
      <c r="Z27" s="71">
        <f>SUM(E27:X27)</f>
        <v>41.188355093280272</v>
      </c>
      <c r="AB27" s="24"/>
      <c r="AC27" s="24"/>
    </row>
    <row r="28" spans="1:29">
      <c r="B28" s="24"/>
      <c r="C28" s="24" t="s">
        <v>263</v>
      </c>
      <c r="D28" s="24">
        <v>16</v>
      </c>
      <c r="E28" s="65">
        <f>INDEX([2]!tbl_Forecast,MATCH($D$8&amp;$C28&amp;$D$7,[2]!rng_ForecastRowLookup,0),MATCH(E$11,[2]!rng_ForecastColumnLookup,0))</f>
        <v>4.5029406937179912</v>
      </c>
      <c r="F28" s="65">
        <f>INDEX([2]!tbl_Forecast,MATCH($D$8&amp;$C28&amp;$D$7,[2]!rng_ForecastRowLookup,0),MATCH(F$11,[2]!rng_ForecastColumnLookup,0))</f>
        <v>4.0786070344439063</v>
      </c>
      <c r="G28" s="65">
        <f>INDEX([2]!tbl_Forecast,MATCH($D$8&amp;$C28&amp;$D$7,[2]!rng_ForecastRowLookup,0),MATCH(G$11,[2]!rng_ForecastColumnLookup,0))</f>
        <v>3.5919834720533679</v>
      </c>
      <c r="H28" s="65">
        <f>INDEX([2]!tbl_Forecast,MATCH($D$8&amp;$C28&amp;$D$7,[2]!rng_ForecastRowLookup,0),MATCH(H$11,[2]!rng_ForecastColumnLookup,0))</f>
        <v>3.0400934926407626</v>
      </c>
      <c r="I28" s="65">
        <f>INDEX([2]!tbl_Forecast,MATCH($D$8&amp;$C28&amp;$D$7,[2]!rng_ForecastRowLookup,0),MATCH(I$11,[2]!rng_ForecastColumnLookup,0))</f>
        <v>2.3018670718031324</v>
      </c>
      <c r="J28" s="65">
        <f>INDEX([2]!tbl_Forecast,MATCH($D$8&amp;$C28&amp;$D$7,[2]!rng_ForecastRowLookup,0),MATCH(J$11,[2]!rng_ForecastColumnLookup,0))</f>
        <v>2.1321468422073435</v>
      </c>
      <c r="K28" s="65">
        <f>INDEX([2]!tbl_Forecast,MATCH($D$8&amp;$C28&amp;$D$7,[2]!rng_ForecastRowLookup,0),MATCH(K$11,[2]!rng_ForecastColumnLookup,0))</f>
        <v>1.9771504564110642</v>
      </c>
      <c r="L28" s="65">
        <f>INDEX([2]!tbl_Forecast,MATCH($D$8&amp;$C28&amp;$D$7,[2]!rng_ForecastRowLookup,0),MATCH(L$11,[2]!rng_ForecastColumnLookup,0))</f>
        <v>1.8096072137015302</v>
      </c>
      <c r="M28" s="65">
        <f>INDEX([2]!tbl_Forecast,MATCH($D$8&amp;$C28&amp;$D$7,[2]!rng_ForecastRowLookup,0),MATCH(M$11,[2]!rng_ForecastColumnLookup,0))</f>
        <v>1.9023478055732992</v>
      </c>
      <c r="N28" s="65">
        <f>INDEX([2]!tbl_Forecast,MATCH($D$8&amp;$C28&amp;$D$7,[2]!rng_ForecastRowLookup,0),MATCH(N$11,[2]!rng_ForecastColumnLookup,0))</f>
        <v>2.0129777404511922</v>
      </c>
      <c r="O28" s="65">
        <f>INDEX([2]!tbl_Forecast,MATCH($D$8&amp;$C28&amp;$D$7,[2]!rng_ForecastRowLookup,0),MATCH(O$11,[2]!rng_ForecastColumnLookup,0))</f>
        <v>2.304026079874093</v>
      </c>
      <c r="P28" s="65">
        <f>INDEX([2]!tbl_Forecast,MATCH($D$8&amp;$C28&amp;$D$7,[2]!rng_ForecastRowLookup,0),MATCH(P$11,[2]!rng_ForecastColumnLookup,0))</f>
        <v>2.7992417645016405</v>
      </c>
      <c r="Q28" s="65">
        <f>INDEX([2]!tbl_Forecast,MATCH($D$8&amp;$C28&amp;$D$7,[2]!rng_ForecastRowLookup,0),MATCH(Q$11,[2]!rng_ForecastColumnLookup,0))</f>
        <v>3.0682339807477179</v>
      </c>
      <c r="R28" s="65">
        <f>INDEX([2]!tbl_Forecast,MATCH($D$8&amp;$C28&amp;$D$7,[2]!rng_ForecastRowLookup,0),MATCH(R$11,[2]!rng_ForecastColumnLookup,0))</f>
        <v>2.7441690138981158</v>
      </c>
      <c r="S28" s="65">
        <f>INDEX([2]!tbl_Forecast,MATCH($D$8&amp;$C28&amp;$D$7,[2]!rng_ForecastRowLookup,0),MATCH(S$11,[2]!rng_ForecastColumnLookup,0))</f>
        <v>2.8046561391012603</v>
      </c>
      <c r="T28" s="65">
        <f>INDEX([2]!tbl_Forecast,MATCH($D$8&amp;$C28&amp;$D$7,[2]!rng_ForecastRowLookup,0),MATCH(T$11,[2]!rng_ForecastColumnLookup,0))</f>
        <v>2.7282838662201567</v>
      </c>
      <c r="U28" s="65">
        <f>INDEX([2]!tbl_Forecast,MATCH($D$8&amp;$C28&amp;$D$7,[2]!rng_ForecastRowLookup,0),MATCH(U$11,[2]!rng_ForecastColumnLookup,0))</f>
        <v>2.4959637785038216</v>
      </c>
      <c r="V28" s="65">
        <f>INDEX([2]!tbl_Forecast,MATCH($D$8&amp;$C28&amp;$D$7,[2]!rng_ForecastRowLookup,0),MATCH(V$11,[2]!rng_ForecastColumnLookup,0))</f>
        <v>2.4392052334479857</v>
      </c>
      <c r="W28" s="65">
        <f>INDEX([2]!tbl_Forecast,MATCH($D$8&amp;$C28&amp;$D$7,[2]!rng_ForecastRowLookup,0),MATCH(W$11,[2]!rng_ForecastColumnLookup,0))</f>
        <v>2.3386950979959957</v>
      </c>
      <c r="X28" s="65">
        <f>INDEX([2]!tbl_Forecast,MATCH($D$8&amp;$C28&amp;$D$7,[2]!rng_ForecastRowLookup,0),MATCH(X$11,[2]!rng_ForecastColumnLookup,0))</f>
        <v>2.3103955399373803</v>
      </c>
      <c r="Y28" s="70"/>
      <c r="Z28" s="71">
        <f>SUM(E28:X28)</f>
        <v>53.382592317231762</v>
      </c>
      <c r="AB28" s="24"/>
      <c r="AC28" s="24"/>
    </row>
    <row r="29" spans="1:29">
      <c r="B29" s="24"/>
      <c r="C29" s="24" t="s">
        <v>253</v>
      </c>
      <c r="D29" s="24">
        <v>17</v>
      </c>
      <c r="E29" s="65">
        <f>INDEX([2]!tbl_Forecast,MATCH($D$8&amp;$C29&amp;$D$7,[2]!rng_ForecastRowLookup,0),MATCH(E$11,[2]!rng_ForecastColumnLookup,0))</f>
        <v>3.1854829351393543</v>
      </c>
      <c r="F29" s="65">
        <f>INDEX([2]!tbl_Forecast,MATCH($D$8&amp;$C29&amp;$D$7,[2]!rng_ForecastRowLookup,0),MATCH(F$11,[2]!rng_ForecastColumnLookup,0))</f>
        <v>3.1699057451518957</v>
      </c>
      <c r="G29" s="65">
        <f>INDEX([2]!tbl_Forecast,MATCH($D$8&amp;$C29&amp;$D$7,[2]!rng_ForecastRowLookup,0),MATCH(G$11,[2]!rng_ForecastColumnLookup,0))</f>
        <v>2.2628528186826316</v>
      </c>
      <c r="H29" s="65">
        <f>INDEX([2]!tbl_Forecast,MATCH($D$8&amp;$C29&amp;$D$7,[2]!rng_ForecastRowLookup,0),MATCH(H$11,[2]!rng_ForecastColumnLookup,0))</f>
        <v>2.6023617076700645</v>
      </c>
      <c r="I29" s="65">
        <f>INDEX([2]!tbl_Forecast,MATCH($D$8&amp;$C29&amp;$D$7,[2]!rng_ForecastRowLookup,0),MATCH(I$11,[2]!rng_ForecastColumnLookup,0))</f>
        <v>2.2919684786454506</v>
      </c>
      <c r="J29" s="65">
        <f>INDEX([2]!tbl_Forecast,MATCH($D$8&amp;$C29&amp;$D$7,[2]!rng_ForecastRowLookup,0),MATCH(J$11,[2]!rng_ForecastColumnLookup,0))</f>
        <v>2.1556450092355899</v>
      </c>
      <c r="K29" s="65">
        <f>INDEX([2]!tbl_Forecast,MATCH($D$8&amp;$C29&amp;$D$7,[2]!rng_ForecastRowLookup,0),MATCH(K$11,[2]!rng_ForecastColumnLookup,0))</f>
        <v>1.4820394508668711</v>
      </c>
      <c r="L29" s="65">
        <f>INDEX([2]!tbl_Forecast,MATCH($D$8&amp;$C29&amp;$D$7,[2]!rng_ForecastRowLookup,0),MATCH(L$11,[2]!rng_ForecastColumnLookup,0))</f>
        <v>1.5603361472368396</v>
      </c>
      <c r="M29" s="65">
        <f>INDEX([2]!tbl_Forecast,MATCH($D$8&amp;$C29&amp;$D$7,[2]!rng_ForecastRowLookup,0),MATCH(M$11,[2]!rng_ForecastColumnLookup,0))</f>
        <v>2.3546097038898557</v>
      </c>
      <c r="N29" s="65">
        <f>INDEX([2]!tbl_Forecast,MATCH($D$8&amp;$C29&amp;$D$7,[2]!rng_ForecastRowLookup,0),MATCH(N$11,[2]!rng_ForecastColumnLookup,0))</f>
        <v>3.2740386396924066</v>
      </c>
      <c r="O29" s="65">
        <f>INDEX([2]!tbl_Forecast,MATCH($D$8&amp;$C29&amp;$D$7,[2]!rng_ForecastRowLookup,0),MATCH(O$11,[2]!rng_ForecastColumnLookup,0))</f>
        <v>3.6241751874536021</v>
      </c>
      <c r="P29" s="65">
        <f>INDEX([2]!tbl_Forecast,MATCH($D$8&amp;$C29&amp;$D$7,[2]!rng_ForecastRowLookup,0),MATCH(P$11,[2]!rng_ForecastColumnLookup,0))</f>
        <v>4.4420137300219826</v>
      </c>
      <c r="Q29" s="65">
        <f>INDEX([2]!tbl_Forecast,MATCH($D$8&amp;$C29&amp;$D$7,[2]!rng_ForecastRowLookup,0),MATCH(Q$11,[2]!rng_ForecastColumnLookup,0))</f>
        <v>5.8224273473135861</v>
      </c>
      <c r="R29" s="65">
        <f>INDEX([2]!tbl_Forecast,MATCH($D$8&amp;$C29&amp;$D$7,[2]!rng_ForecastRowLookup,0),MATCH(R$11,[2]!rng_ForecastColumnLookup,0))</f>
        <v>6.4604400946422142</v>
      </c>
      <c r="S29" s="65">
        <f>INDEX([2]!tbl_Forecast,MATCH($D$8&amp;$C29&amp;$D$7,[2]!rng_ForecastRowLookup,0),MATCH(S$11,[2]!rng_ForecastColumnLookup,0))</f>
        <v>6.9014803298142597</v>
      </c>
      <c r="T29" s="65">
        <f>INDEX([2]!tbl_Forecast,MATCH($D$8&amp;$C29&amp;$D$7,[2]!rng_ForecastRowLookup,0),MATCH(T$11,[2]!rng_ForecastColumnLookup,0))</f>
        <v>6.748515751490312</v>
      </c>
      <c r="U29" s="65">
        <f>INDEX([2]!tbl_Forecast,MATCH($D$8&amp;$C29&amp;$D$7,[2]!rng_ForecastRowLookup,0),MATCH(U$11,[2]!rng_ForecastColumnLookup,0))</f>
        <v>6.4364694734288266</v>
      </c>
      <c r="V29" s="65">
        <f>INDEX([2]!tbl_Forecast,MATCH($D$8&amp;$C29&amp;$D$7,[2]!rng_ForecastRowLookup,0),MATCH(V$11,[2]!rng_ForecastColumnLookup,0))</f>
        <v>6.3053235195290611</v>
      </c>
      <c r="W29" s="65">
        <f>INDEX([2]!tbl_Forecast,MATCH($D$8&amp;$C29&amp;$D$7,[2]!rng_ForecastRowLookup,0),MATCH(W$11,[2]!rng_ForecastColumnLookup,0))</f>
        <v>6.2236620394663484</v>
      </c>
      <c r="X29" s="65">
        <f>INDEX([2]!tbl_Forecast,MATCH($D$8&amp;$C29&amp;$D$7,[2]!rng_ForecastRowLookup,0),MATCH(X$11,[2]!rng_ForecastColumnLookup,0))</f>
        <v>6.0386522880717726</v>
      </c>
      <c r="Y29" s="70"/>
      <c r="Z29" s="71">
        <f>SUM(E29:X29)</f>
        <v>83.34240039744293</v>
      </c>
      <c r="AB29" s="24"/>
      <c r="AC29" s="24"/>
    </row>
    <row r="30" spans="1:29">
      <c r="B30" s="24"/>
      <c r="C30" s="24" t="s">
        <v>261</v>
      </c>
      <c r="D30" s="24">
        <v>18</v>
      </c>
      <c r="E30" s="65">
        <f>INDEX([2]!tbl_Forecast,MATCH($D$8&amp;$C30&amp;$D$7,[2]!rng_ForecastRowLookup,0),MATCH(E$11,[2]!rng_ForecastColumnLookup,0))</f>
        <v>12.863107129152304</v>
      </c>
      <c r="F30" s="65">
        <f>INDEX([2]!tbl_Forecast,MATCH($D$8&amp;$C30&amp;$D$7,[2]!rng_ForecastRowLookup,0),MATCH(F$11,[2]!rng_ForecastColumnLookup,0))</f>
        <v>10.7220378193485</v>
      </c>
      <c r="G30" s="65">
        <f>INDEX([2]!tbl_Forecast,MATCH($D$8&amp;$C30&amp;$D$7,[2]!rng_ForecastRowLookup,0),MATCH(G$11,[2]!rng_ForecastColumnLookup,0))</f>
        <v>10.142128438066296</v>
      </c>
      <c r="H30" s="65">
        <f>INDEX([2]!tbl_Forecast,MATCH($D$8&amp;$C30&amp;$D$7,[2]!rng_ForecastRowLookup,0),MATCH(H$11,[2]!rng_ForecastColumnLookup,0))</f>
        <v>9.4611923499879236</v>
      </c>
      <c r="I30" s="65">
        <f>INDEX([2]!tbl_Forecast,MATCH($D$8&amp;$C30&amp;$D$7,[2]!rng_ForecastRowLookup,0),MATCH(I$11,[2]!rng_ForecastColumnLookup,0))</f>
        <v>7.3638556881373223</v>
      </c>
      <c r="J30" s="65">
        <f>INDEX([2]!tbl_Forecast,MATCH($D$8&amp;$C30&amp;$D$7,[2]!rng_ForecastRowLookup,0),MATCH(J$11,[2]!rng_ForecastColumnLookup,0))</f>
        <v>8.1591439254269407</v>
      </c>
      <c r="K30" s="65">
        <f>INDEX([2]!tbl_Forecast,MATCH($D$8&amp;$C30&amp;$D$7,[2]!rng_ForecastRowLookup,0),MATCH(K$11,[2]!rng_ForecastColumnLookup,0))</f>
        <v>7.9603673258815011</v>
      </c>
      <c r="L30" s="65">
        <f>INDEX([2]!tbl_Forecast,MATCH($D$8&amp;$C30&amp;$D$7,[2]!rng_ForecastRowLookup,0),MATCH(L$11,[2]!rng_ForecastColumnLookup,0))</f>
        <v>8.6026166911432824</v>
      </c>
      <c r="M30" s="65">
        <f>INDEX([2]!tbl_Forecast,MATCH($D$8&amp;$C30&amp;$D$7,[2]!rng_ForecastRowLookup,0),MATCH(M$11,[2]!rng_ForecastColumnLookup,0))</f>
        <v>9.3207800366095146</v>
      </c>
      <c r="N30" s="65">
        <f>INDEX([2]!tbl_Forecast,MATCH($D$8&amp;$C30&amp;$D$7,[2]!rng_ForecastRowLookup,0),MATCH(N$11,[2]!rng_ForecastColumnLookup,0))</f>
        <v>9.0572786632714859</v>
      </c>
      <c r="O30" s="65">
        <f>INDEX([2]!tbl_Forecast,MATCH($D$8&amp;$C30&amp;$D$7,[2]!rng_ForecastRowLookup,0),MATCH(O$11,[2]!rng_ForecastColumnLookup,0))</f>
        <v>10.184423730877143</v>
      </c>
      <c r="P30" s="65">
        <f>INDEX([2]!tbl_Forecast,MATCH($D$8&amp;$C30&amp;$D$7,[2]!rng_ForecastRowLookup,0),MATCH(P$11,[2]!rng_ForecastColumnLookup,0))</f>
        <v>10.787657533789663</v>
      </c>
      <c r="Q30" s="65">
        <f>INDEX([2]!tbl_Forecast,MATCH($D$8&amp;$C30&amp;$D$7,[2]!rng_ForecastRowLookup,0),MATCH(Q$11,[2]!rng_ForecastColumnLookup,0))</f>
        <v>11.005378574708409</v>
      </c>
      <c r="R30" s="65">
        <f>INDEX([2]!tbl_Forecast,MATCH($D$8&amp;$C30&amp;$D$7,[2]!rng_ForecastRowLookup,0),MATCH(R$11,[2]!rng_ForecastColumnLookup,0))</f>
        <v>10.267063981307951</v>
      </c>
      <c r="S30" s="65">
        <f>INDEX([2]!tbl_Forecast,MATCH($D$8&amp;$C30&amp;$D$7,[2]!rng_ForecastRowLookup,0),MATCH(S$11,[2]!rng_ForecastColumnLookup,0))</f>
        <v>11.027475862918971</v>
      </c>
      <c r="T30" s="65">
        <f>INDEX([2]!tbl_Forecast,MATCH($D$8&amp;$C30&amp;$D$7,[2]!rng_ForecastRowLookup,0),MATCH(T$11,[2]!rng_ForecastColumnLookup,0))</f>
        <v>9.9609233822623686</v>
      </c>
      <c r="U30" s="65">
        <f>INDEX([2]!tbl_Forecast,MATCH($D$8&amp;$C30&amp;$D$7,[2]!rng_ForecastRowLookup,0),MATCH(U$11,[2]!rng_ForecastColumnLookup,0))</f>
        <v>10.340047869658916</v>
      </c>
      <c r="V30" s="65">
        <f>INDEX([2]!tbl_Forecast,MATCH($D$8&amp;$C30&amp;$D$7,[2]!rng_ForecastRowLookup,0),MATCH(V$11,[2]!rng_ForecastColumnLookup,0))</f>
        <v>9.8383849729989699</v>
      </c>
      <c r="W30" s="65">
        <f>INDEX([2]!tbl_Forecast,MATCH($D$8&amp;$C30&amp;$D$7,[2]!rng_ForecastRowLookup,0),MATCH(W$11,[2]!rng_ForecastColumnLookup,0))</f>
        <v>9.3282989614436094</v>
      </c>
      <c r="X30" s="65">
        <f>INDEX([2]!tbl_Forecast,MATCH($D$8&amp;$C30&amp;$D$7,[2]!rng_ForecastRowLookup,0),MATCH(X$11,[2]!rng_ForecastColumnLookup,0))</f>
        <v>9.0355729282982153</v>
      </c>
      <c r="Y30" s="70"/>
      <c r="Z30" s="71">
        <f>SUM(E30:X30)</f>
        <v>195.42773586528929</v>
      </c>
      <c r="AB30" s="24"/>
      <c r="AC30" s="24"/>
    </row>
    <row r="31" spans="1:29">
      <c r="A31" s="24"/>
      <c r="B31" s="24"/>
      <c r="C31" s="24"/>
      <c r="D31" s="70"/>
      <c r="E31" s="71"/>
      <c r="F31" s="71"/>
      <c r="G31" s="71"/>
      <c r="H31" s="71"/>
      <c r="I31" s="71"/>
      <c r="J31" s="71"/>
      <c r="K31" s="71"/>
      <c r="L31" s="71"/>
      <c r="M31" s="71"/>
      <c r="N31" s="71"/>
      <c r="O31" s="71"/>
      <c r="P31" s="71"/>
      <c r="Q31" s="71"/>
      <c r="R31" s="71"/>
      <c r="S31" s="71"/>
      <c r="T31" s="71"/>
      <c r="U31" s="71"/>
      <c r="V31" s="71"/>
      <c r="W31" s="71"/>
      <c r="X31" s="71"/>
      <c r="Y31" s="70"/>
      <c r="Z31" s="71"/>
      <c r="AB31" s="24"/>
      <c r="AC31" s="24"/>
    </row>
    <row r="32" spans="1:29">
      <c r="A32" s="24" t="s">
        <v>597</v>
      </c>
      <c r="B32" s="24"/>
      <c r="C32" s="24" t="s">
        <v>609</v>
      </c>
      <c r="D32" s="70"/>
      <c r="E32" s="71">
        <f>SUM(E13:E30)</f>
        <v>57.114297126179473</v>
      </c>
      <c r="F32" s="71">
        <f t="shared" ref="F32:X32" si="3">SUM(F13:F30)</f>
        <v>49.358660888456697</v>
      </c>
      <c r="G32" s="71">
        <f t="shared" si="3"/>
        <v>42.883996361562694</v>
      </c>
      <c r="H32" s="71">
        <f t="shared" si="3"/>
        <v>42.769928168515861</v>
      </c>
      <c r="I32" s="71">
        <f t="shared" si="3"/>
        <v>36.559258837741957</v>
      </c>
      <c r="J32" s="71">
        <f t="shared" si="3"/>
        <v>33.347085593434706</v>
      </c>
      <c r="K32" s="71">
        <f t="shared" si="3"/>
        <v>36.515305616596898</v>
      </c>
      <c r="L32" s="71">
        <f t="shared" si="3"/>
        <v>36.312589546095708</v>
      </c>
      <c r="M32" s="71">
        <f t="shared" si="3"/>
        <v>39.06093852873046</v>
      </c>
      <c r="N32" s="71">
        <f t="shared" si="3"/>
        <v>41.721160397442901</v>
      </c>
      <c r="O32" s="71">
        <f t="shared" si="3"/>
        <v>44.358216248359909</v>
      </c>
      <c r="P32" s="71">
        <f t="shared" si="3"/>
        <v>49.930477203838102</v>
      </c>
      <c r="Q32" s="71">
        <f t="shared" si="3"/>
        <v>53.958732397486379</v>
      </c>
      <c r="R32" s="71">
        <f t="shared" si="3"/>
        <v>51.509803850235102</v>
      </c>
      <c r="S32" s="71">
        <f t="shared" si="3"/>
        <v>54.060467297337325</v>
      </c>
      <c r="T32" s="71">
        <f t="shared" si="3"/>
        <v>52.230061485014218</v>
      </c>
      <c r="U32" s="71">
        <f t="shared" si="3"/>
        <v>51.036230165113999</v>
      </c>
      <c r="V32" s="71">
        <f t="shared" si="3"/>
        <v>48.348219984944222</v>
      </c>
      <c r="W32" s="71">
        <f t="shared" si="3"/>
        <v>47.245952894616551</v>
      </c>
      <c r="X32" s="71">
        <f t="shared" si="3"/>
        <v>47.686700389963214</v>
      </c>
      <c r="Y32" s="70">
        <f>$Y$12*Z32</f>
        <v>778.60687053441643</v>
      </c>
      <c r="Z32" s="71">
        <f>SUM(E32:X32)</f>
        <v>916.00808298166646</v>
      </c>
      <c r="AB32" s="24"/>
      <c r="AC32" s="24"/>
    </row>
    <row r="33" spans="1:29">
      <c r="A33" s="24"/>
      <c r="B33" s="24"/>
      <c r="C33" s="24" t="s">
        <v>610</v>
      </c>
      <c r="D33" s="70"/>
      <c r="E33" s="71">
        <f>E32</f>
        <v>57.114297126179473</v>
      </c>
      <c r="F33" s="71">
        <f>E33+F32</f>
        <v>106.47295801463616</v>
      </c>
      <c r="G33" s="71">
        <f t="shared" ref="G33:X33" si="4">F33+G32</f>
        <v>149.35695437619887</v>
      </c>
      <c r="H33" s="71">
        <f t="shared" si="4"/>
        <v>192.12688254471473</v>
      </c>
      <c r="I33" s="71">
        <f t="shared" si="4"/>
        <v>228.6861413824567</v>
      </c>
      <c r="J33" s="71">
        <f t="shared" si="4"/>
        <v>262.03322697589141</v>
      </c>
      <c r="K33" s="71">
        <f t="shared" si="4"/>
        <v>298.5485325924883</v>
      </c>
      <c r="L33" s="71">
        <f t="shared" si="4"/>
        <v>334.86112213858399</v>
      </c>
      <c r="M33" s="71">
        <f t="shared" si="4"/>
        <v>373.92206066731444</v>
      </c>
      <c r="N33" s="71">
        <f t="shared" si="4"/>
        <v>415.64322106475731</v>
      </c>
      <c r="O33" s="71">
        <f t="shared" si="4"/>
        <v>460.00143731311721</v>
      </c>
      <c r="P33" s="71">
        <f t="shared" si="4"/>
        <v>509.93191451695532</v>
      </c>
      <c r="Q33" s="71">
        <f t="shared" si="4"/>
        <v>563.89064691444173</v>
      </c>
      <c r="R33" s="71">
        <f t="shared" si="4"/>
        <v>615.40045076467686</v>
      </c>
      <c r="S33" s="71">
        <f t="shared" si="4"/>
        <v>669.46091806201423</v>
      </c>
      <c r="T33" s="71">
        <f t="shared" si="4"/>
        <v>721.69097954702841</v>
      </c>
      <c r="U33" s="71">
        <f t="shared" si="4"/>
        <v>772.72720971214244</v>
      </c>
      <c r="V33" s="71">
        <f t="shared" si="4"/>
        <v>821.07542969708663</v>
      </c>
      <c r="W33" s="71">
        <f t="shared" si="4"/>
        <v>868.32138259170324</v>
      </c>
      <c r="X33" s="71">
        <f t="shared" si="4"/>
        <v>916.00808298166646</v>
      </c>
      <c r="Y33" s="71"/>
      <c r="Z33" s="71"/>
      <c r="AA33" s="24"/>
      <c r="AB33" s="24"/>
      <c r="AC33" s="24"/>
    </row>
    <row r="34" spans="1:29">
      <c r="A34" s="292" t="s">
        <v>613</v>
      </c>
      <c r="B34" s="293">
        <f>CBSA!$AK$36</f>
        <v>1.2141867612293149</v>
      </c>
      <c r="C34" s="24" t="s">
        <v>611</v>
      </c>
      <c r="D34" s="70"/>
      <c r="E34" s="71">
        <f>E32*1000000*$B$34/1000</f>
        <v>69347.423447524619</v>
      </c>
      <c r="F34" s="71">
        <f t="shared" ref="F34:X34" si="5">F32*1000000*$B$34/1000</f>
        <v>59930.632602771293</v>
      </c>
      <c r="G34" s="71">
        <f t="shared" si="5"/>
        <v>52069.180650815535</v>
      </c>
      <c r="H34" s="71">
        <f t="shared" si="5"/>
        <v>51930.680560940717</v>
      </c>
      <c r="I34" s="71">
        <f t="shared" si="5"/>
        <v>44389.768081142116</v>
      </c>
      <c r="J34" s="71">
        <f t="shared" si="5"/>
        <v>40489.589853129233</v>
      </c>
      <c r="K34" s="71">
        <f t="shared" si="5"/>
        <v>44336.400661914398</v>
      </c>
      <c r="L34" s="71">
        <f t="shared" si="5"/>
        <v>44090.265492823419</v>
      </c>
      <c r="M34" s="71">
        <f t="shared" si="5"/>
        <v>47427.274442776601</v>
      </c>
      <c r="N34" s="71">
        <f t="shared" si="5"/>
        <v>50657.280617699951</v>
      </c>
      <c r="O34" s="71">
        <f t="shared" si="5"/>
        <v>53859.158920505695</v>
      </c>
      <c r="P34" s="71">
        <f t="shared" si="5"/>
        <v>60624.924402762321</v>
      </c>
      <c r="Q34" s="71">
        <f t="shared" si="5"/>
        <v>65515.978529743297</v>
      </c>
      <c r="R34" s="71">
        <f t="shared" si="5"/>
        <v>62542.521908474257</v>
      </c>
      <c r="S34" s="71">
        <f t="shared" si="5"/>
        <v>65639.503698297296</v>
      </c>
      <c r="T34" s="71">
        <f t="shared" si="5"/>
        <v>63417.049193297396</v>
      </c>
      <c r="U34" s="71">
        <f t="shared" si="5"/>
        <v>61967.515009533628</v>
      </c>
      <c r="V34" s="71">
        <f t="shared" si="5"/>
        <v>58703.768634721862</v>
      </c>
      <c r="W34" s="71">
        <f t="shared" si="5"/>
        <v>57365.410526307249</v>
      </c>
      <c r="X34" s="71">
        <f t="shared" si="5"/>
        <v>57900.560300202145</v>
      </c>
      <c r="Y34" s="71"/>
      <c r="Z34" s="71">
        <f>SUM(E34:X34)</f>
        <v>1112204.887535383</v>
      </c>
      <c r="AA34" s="24"/>
      <c r="AB34" s="24"/>
      <c r="AC34" s="24"/>
    </row>
    <row r="35" spans="1:29">
      <c r="A35" s="24"/>
      <c r="B35" s="24"/>
      <c r="C35" s="24" t="s">
        <v>612</v>
      </c>
      <c r="D35" s="70"/>
      <c r="E35" s="71">
        <f>E34</f>
        <v>69347.423447524619</v>
      </c>
      <c r="F35" s="71">
        <f>E35+F34</f>
        <v>129278.05605029591</v>
      </c>
      <c r="G35" s="71">
        <f t="shared" ref="G35:X35" si="6">F35+G34</f>
        <v>181347.23670111145</v>
      </c>
      <c r="H35" s="71">
        <f t="shared" si="6"/>
        <v>233277.91726205219</v>
      </c>
      <c r="I35" s="71">
        <f t="shared" si="6"/>
        <v>277667.68534319429</v>
      </c>
      <c r="J35" s="71">
        <f t="shared" si="6"/>
        <v>318157.27519632352</v>
      </c>
      <c r="K35" s="71">
        <f t="shared" si="6"/>
        <v>362493.6758582379</v>
      </c>
      <c r="L35" s="71">
        <f t="shared" si="6"/>
        <v>406583.94135106134</v>
      </c>
      <c r="M35" s="71">
        <f t="shared" si="6"/>
        <v>454011.21579383791</v>
      </c>
      <c r="N35" s="71">
        <f t="shared" si="6"/>
        <v>504668.49641153787</v>
      </c>
      <c r="O35" s="71">
        <f t="shared" si="6"/>
        <v>558527.65533204353</v>
      </c>
      <c r="P35" s="71">
        <f t="shared" si="6"/>
        <v>619152.57973480585</v>
      </c>
      <c r="Q35" s="71">
        <f t="shared" si="6"/>
        <v>684668.55826454912</v>
      </c>
      <c r="R35" s="71">
        <f t="shared" si="6"/>
        <v>747211.08017302339</v>
      </c>
      <c r="S35" s="71">
        <f t="shared" si="6"/>
        <v>812850.5838713207</v>
      </c>
      <c r="T35" s="71">
        <f t="shared" si="6"/>
        <v>876267.6330646181</v>
      </c>
      <c r="U35" s="71">
        <f t="shared" si="6"/>
        <v>938235.14807415172</v>
      </c>
      <c r="V35" s="71">
        <f t="shared" si="6"/>
        <v>996938.91670887358</v>
      </c>
      <c r="W35" s="71">
        <f t="shared" si="6"/>
        <v>1054304.3272351809</v>
      </c>
      <c r="X35" s="71">
        <f t="shared" si="6"/>
        <v>1112204.887535383</v>
      </c>
      <c r="Y35" s="71"/>
      <c r="Z35" s="70"/>
      <c r="AA35" s="24"/>
      <c r="AB35" s="24"/>
      <c r="AC35" s="24"/>
    </row>
    <row r="36" spans="1:29">
      <c r="A36" s="24"/>
      <c r="B36" s="24"/>
      <c r="C36" s="24"/>
      <c r="D36" s="70"/>
      <c r="E36" s="71"/>
      <c r="F36" s="71"/>
      <c r="G36" s="71"/>
      <c r="H36" s="71"/>
      <c r="I36" s="71"/>
      <c r="J36" s="71"/>
      <c r="K36" s="71"/>
      <c r="L36" s="71"/>
      <c r="M36" s="71"/>
      <c r="N36" s="71"/>
      <c r="O36" s="71"/>
      <c r="P36" s="71"/>
      <c r="Q36" s="71"/>
      <c r="R36" s="71"/>
      <c r="S36" s="71"/>
      <c r="T36" s="71"/>
      <c r="U36" s="71"/>
      <c r="V36" s="71"/>
      <c r="W36" s="71"/>
      <c r="X36" s="71"/>
      <c r="Y36" s="71"/>
      <c r="Z36" s="70"/>
      <c r="AA36" s="24"/>
      <c r="AB36" s="24"/>
      <c r="AC36" s="24"/>
    </row>
    <row r="37" spans="1:29">
      <c r="A37" s="24"/>
      <c r="B37" s="24"/>
      <c r="C37" s="24"/>
      <c r="D37" s="70"/>
      <c r="E37" s="71"/>
      <c r="F37" s="71"/>
      <c r="G37" s="71"/>
      <c r="H37" s="71"/>
      <c r="I37" s="71"/>
      <c r="J37" s="71"/>
      <c r="K37" s="71"/>
      <c r="L37" s="71"/>
      <c r="M37" s="71"/>
      <c r="N37" s="71"/>
      <c r="O37" s="71"/>
      <c r="P37" s="71"/>
      <c r="Q37" s="71"/>
      <c r="R37" s="71"/>
      <c r="S37" s="71"/>
      <c r="T37" s="71"/>
      <c r="U37" s="71"/>
      <c r="V37" s="71"/>
      <c r="W37" s="71"/>
      <c r="X37" s="71"/>
      <c r="Y37" s="71"/>
      <c r="Z37" s="70"/>
      <c r="AA37" s="24"/>
      <c r="AB37" s="24"/>
      <c r="AC37" s="24"/>
    </row>
    <row r="38" spans="1:29" ht="15">
      <c r="A38" s="268" t="s">
        <v>203</v>
      </c>
      <c r="B38" s="268"/>
      <c r="C38" s="64"/>
      <c r="D38" s="64"/>
      <c r="E38" s="76">
        <f>E11</f>
        <v>2016</v>
      </c>
      <c r="F38" s="76">
        <f t="shared" ref="F38:X38" si="7">F11</f>
        <v>2017</v>
      </c>
      <c r="G38" s="76">
        <f t="shared" si="7"/>
        <v>2018</v>
      </c>
      <c r="H38" s="76">
        <f t="shared" si="7"/>
        <v>2019</v>
      </c>
      <c r="I38" s="76">
        <f t="shared" si="7"/>
        <v>2020</v>
      </c>
      <c r="J38" s="76">
        <f t="shared" si="7"/>
        <v>2021</v>
      </c>
      <c r="K38" s="76">
        <f t="shared" si="7"/>
        <v>2022</v>
      </c>
      <c r="L38" s="76">
        <f t="shared" si="7"/>
        <v>2023</v>
      </c>
      <c r="M38" s="76">
        <f t="shared" si="7"/>
        <v>2024</v>
      </c>
      <c r="N38" s="76">
        <f t="shared" si="7"/>
        <v>2025</v>
      </c>
      <c r="O38" s="76">
        <f t="shared" si="7"/>
        <v>2026</v>
      </c>
      <c r="P38" s="76">
        <f t="shared" si="7"/>
        <v>2027</v>
      </c>
      <c r="Q38" s="76">
        <f t="shared" si="7"/>
        <v>2028</v>
      </c>
      <c r="R38" s="76">
        <f t="shared" si="7"/>
        <v>2029</v>
      </c>
      <c r="S38" s="76">
        <f t="shared" si="7"/>
        <v>2030</v>
      </c>
      <c r="T38" s="76">
        <f t="shared" si="7"/>
        <v>2031</v>
      </c>
      <c r="U38" s="76">
        <f t="shared" si="7"/>
        <v>2032</v>
      </c>
      <c r="V38" s="76">
        <f t="shared" si="7"/>
        <v>2033</v>
      </c>
      <c r="W38" s="76">
        <f t="shared" si="7"/>
        <v>2034</v>
      </c>
      <c r="X38" s="76">
        <f t="shared" si="7"/>
        <v>2035</v>
      </c>
      <c r="Y38" s="67" t="s">
        <v>183</v>
      </c>
      <c r="Z38" s="67" t="s">
        <v>53</v>
      </c>
      <c r="AA38" s="24"/>
      <c r="AB38" s="24"/>
      <c r="AC38" s="24"/>
    </row>
    <row r="39" spans="1:29">
      <c r="A39" s="64" t="s">
        <v>614</v>
      </c>
      <c r="B39" s="290" t="s">
        <v>618</v>
      </c>
      <c r="C39" s="64" t="str">
        <f>C8</f>
        <v>LEC Exit Sign-New</v>
      </c>
      <c r="D39" s="64"/>
      <c r="E39" s="77"/>
      <c r="F39" s="77"/>
      <c r="G39" s="77"/>
      <c r="H39" s="77"/>
      <c r="I39" s="77"/>
      <c r="J39" s="77"/>
      <c r="K39" s="77"/>
      <c r="L39" s="77"/>
      <c r="M39" s="77"/>
      <c r="N39" s="77"/>
      <c r="O39" s="77"/>
      <c r="P39" s="77"/>
      <c r="Q39" s="77"/>
      <c r="R39" s="77"/>
      <c r="S39" s="77"/>
      <c r="T39" s="77"/>
      <c r="U39" s="77"/>
      <c r="V39" s="77"/>
      <c r="W39" s="77"/>
      <c r="X39" s="77"/>
      <c r="Y39" s="69"/>
      <c r="AA39" s="24"/>
      <c r="AB39" s="24"/>
      <c r="AC39" s="24"/>
    </row>
    <row r="40" spans="1:29">
      <c r="A40" s="270">
        <f>VLOOKUP(D40,ExitApplic,4,FALSE)*Sources!$T$54</f>
        <v>0.56660107660204173</v>
      </c>
      <c r="B40" s="270">
        <f>1-Sources!$T$56</f>
        <v>0.9</v>
      </c>
      <c r="C40" t="s">
        <v>577</v>
      </c>
      <c r="D40" s="294" t="s">
        <v>566</v>
      </c>
      <c r="E40" s="75">
        <f>E$34*$A40*$B40</f>
        <v>35363.092306450613</v>
      </c>
      <c r="F40" s="75">
        <f t="shared" ref="F40:X41" si="8">F$34*$A40*$B40</f>
        <v>30561.084858754475</v>
      </c>
      <c r="G40" s="75">
        <f t="shared" si="8"/>
        <v>26552.208433084455</v>
      </c>
      <c r="H40" s="75">
        <f t="shared" si="8"/>
        <v>26481.581563055155</v>
      </c>
      <c r="I40" s="75">
        <f t="shared" si="8"/>
        <v>22636.161346401066</v>
      </c>
      <c r="J40" s="75">
        <f t="shared" si="8"/>
        <v>20647.300681762317</v>
      </c>
      <c r="K40" s="75">
        <f t="shared" si="8"/>
        <v>22608.947112930156</v>
      </c>
      <c r="L40" s="75">
        <f t="shared" si="8"/>
        <v>22483.43270631324</v>
      </c>
      <c r="M40" s="75">
        <f t="shared" si="8"/>
        <v>24185.11028361995</v>
      </c>
      <c r="N40" s="75">
        <f t="shared" si="8"/>
        <v>25832.222762148482</v>
      </c>
      <c r="O40" s="75">
        <f t="shared" si="8"/>
        <v>27464.991686315087</v>
      </c>
      <c r="P40" s="75">
        <f t="shared" si="8"/>
        <v>30915.13269197027</v>
      </c>
      <c r="Q40" s="75">
        <f t="shared" si="8"/>
        <v>33409.281572629923</v>
      </c>
      <c r="R40" s="75">
        <f t="shared" si="8"/>
        <v>31892.994222073467</v>
      </c>
      <c r="S40" s="75">
        <f t="shared" si="8"/>
        <v>33472.272116771055</v>
      </c>
      <c r="T40" s="75">
        <f t="shared" si="8"/>
        <v>32338.951513062257</v>
      </c>
      <c r="U40" s="75">
        <f t="shared" si="8"/>
        <v>31599.774646879443</v>
      </c>
      <c r="V40" s="75">
        <f t="shared" si="8"/>
        <v>29935.456658127518</v>
      </c>
      <c r="W40" s="75">
        <f t="shared" si="8"/>
        <v>29252.973027531407</v>
      </c>
      <c r="X40" s="75">
        <f t="shared" si="8"/>
        <v>29525.867821760377</v>
      </c>
      <c r="Y40" s="73">
        <f>SUM(E40:X40)</f>
        <v>567158.83801164071</v>
      </c>
      <c r="AA40" s="24"/>
      <c r="AB40" s="24"/>
      <c r="AC40" s="24"/>
    </row>
    <row r="41" spans="1:29">
      <c r="A41" s="270">
        <f>VLOOKUP(D41,ExitApplic,4,FALSE)*Sources!$T$54</f>
        <v>0.23339892339795829</v>
      </c>
      <c r="B41" s="270">
        <f>1-Sources!$T$56</f>
        <v>0.9</v>
      </c>
      <c r="C41" t="s">
        <v>578</v>
      </c>
      <c r="D41" s="294" t="s">
        <v>567</v>
      </c>
      <c r="E41" s="75">
        <f>E$34*$A41*$B41</f>
        <v>14567.052575767117</v>
      </c>
      <c r="F41" s="75">
        <f t="shared" si="8"/>
        <v>12588.97061524086</v>
      </c>
      <c r="G41" s="75">
        <f t="shared" si="8"/>
        <v>10937.601635502733</v>
      </c>
      <c r="H41" s="75">
        <f t="shared" si="8"/>
        <v>10908.508440822159</v>
      </c>
      <c r="I41" s="75">
        <f t="shared" si="8"/>
        <v>9324.47167202126</v>
      </c>
      <c r="J41" s="75">
        <f t="shared" si="8"/>
        <v>8505.2040124907326</v>
      </c>
      <c r="K41" s="75">
        <f t="shared" si="8"/>
        <v>9313.261363648211</v>
      </c>
      <c r="L41" s="75">
        <f t="shared" si="8"/>
        <v>9261.5584485196232</v>
      </c>
      <c r="M41" s="75">
        <f t="shared" si="8"/>
        <v>9962.5273151792044</v>
      </c>
      <c r="N41" s="75">
        <f t="shared" si="8"/>
        <v>10641.019282595485</v>
      </c>
      <c r="O41" s="75">
        <f t="shared" si="8"/>
        <v>11313.602736449015</v>
      </c>
      <c r="P41" s="75">
        <f t="shared" si="8"/>
        <v>12734.812878018602</v>
      </c>
      <c r="Q41" s="75">
        <f t="shared" si="8"/>
        <v>13762.222968785252</v>
      </c>
      <c r="R41" s="75">
        <f t="shared" si="8"/>
        <v>13137.621552028</v>
      </c>
      <c r="S41" s="75">
        <f t="shared" si="8"/>
        <v>13788.170546003003</v>
      </c>
      <c r="T41" s="75">
        <f t="shared" si="8"/>
        <v>13321.323906111875</v>
      </c>
      <c r="U41" s="75">
        <f t="shared" si="8"/>
        <v>13016.836159984774</v>
      </c>
      <c r="V41" s="75">
        <f t="shared" si="8"/>
        <v>12331.256758872223</v>
      </c>
      <c r="W41" s="75">
        <f t="shared" si="8"/>
        <v>12050.122551409813</v>
      </c>
      <c r="X41" s="75">
        <f t="shared" si="8"/>
        <v>12162.53559438517</v>
      </c>
      <c r="Y41" s="73">
        <f>SUM(E41:X41)</f>
        <v>233628.6810138351</v>
      </c>
      <c r="AA41" s="24"/>
      <c r="AB41" s="24"/>
      <c r="AC41" s="24"/>
    </row>
    <row r="42" spans="1:29">
      <c r="A42" s="24"/>
      <c r="B42" s="80"/>
      <c r="C42" s="24"/>
      <c r="D42" s="24"/>
      <c r="E42" s="75"/>
      <c r="F42" s="75"/>
      <c r="G42" s="75"/>
      <c r="H42" s="75"/>
      <c r="I42" s="75"/>
      <c r="J42" s="75"/>
      <c r="K42" s="75"/>
      <c r="L42" s="75"/>
      <c r="M42" s="75"/>
      <c r="N42" s="75"/>
      <c r="O42" s="75"/>
      <c r="P42" s="75"/>
      <c r="Q42" s="75"/>
      <c r="R42" s="75"/>
      <c r="S42" s="75"/>
      <c r="T42" s="75"/>
      <c r="U42" s="75"/>
      <c r="V42" s="75"/>
      <c r="W42" s="75"/>
      <c r="X42" s="75"/>
      <c r="Y42" s="71"/>
      <c r="AA42" s="24"/>
      <c r="AB42" s="24"/>
      <c r="AC42" s="24"/>
    </row>
    <row r="43" spans="1:29">
      <c r="A43" s="24"/>
      <c r="B43" s="80"/>
      <c r="C43" s="24"/>
      <c r="D43" s="24"/>
      <c r="E43" s="75"/>
      <c r="F43" s="75"/>
      <c r="G43" s="75"/>
      <c r="H43" s="75"/>
      <c r="I43" s="75"/>
      <c r="J43" s="75"/>
      <c r="K43" s="75"/>
      <c r="L43" s="75"/>
      <c r="M43" s="75"/>
      <c r="N43" s="75"/>
      <c r="O43" s="75"/>
      <c r="P43" s="75"/>
      <c r="Q43" s="75"/>
      <c r="R43" s="75"/>
      <c r="S43" s="75"/>
      <c r="T43" s="75"/>
      <c r="U43" s="75"/>
      <c r="V43" s="75"/>
      <c r="W43" s="75"/>
      <c r="X43" s="75"/>
      <c r="Y43" s="71"/>
      <c r="AA43" s="24"/>
      <c r="AB43" s="24"/>
      <c r="AC43" s="24"/>
    </row>
    <row r="44" spans="1:29" ht="15">
      <c r="A44" s="268" t="s">
        <v>592</v>
      </c>
      <c r="B44" s="271"/>
      <c r="C44" s="272" t="s">
        <v>593</v>
      </c>
      <c r="D44" s="272" t="str">
        <f>VLOOKUP($C$45,[1]!ACHIEV,MATCH(E$11,$E$11:$Y$11,0)+1,FALSE)</f>
        <v>LO20Fast</v>
      </c>
      <c r="E44" s="24">
        <v>3</v>
      </c>
      <c r="F44" s="24">
        <v>4</v>
      </c>
      <c r="G44" s="24">
        <v>5</v>
      </c>
      <c r="H44" s="24">
        <v>6</v>
      </c>
      <c r="I44" s="24">
        <v>7</v>
      </c>
      <c r="J44" s="24">
        <v>8</v>
      </c>
      <c r="K44" s="24">
        <v>9</v>
      </c>
      <c r="L44" s="24">
        <v>10</v>
      </c>
      <c r="M44" s="24">
        <v>11</v>
      </c>
      <c r="N44" s="24">
        <v>12</v>
      </c>
      <c r="O44" s="24">
        <v>13</v>
      </c>
      <c r="P44" s="24">
        <v>14</v>
      </c>
      <c r="Q44" s="24">
        <v>15</v>
      </c>
      <c r="R44" s="24">
        <v>16</v>
      </c>
      <c r="S44" s="24">
        <v>17</v>
      </c>
      <c r="T44" s="24">
        <v>18</v>
      </c>
      <c r="U44" s="24">
        <v>19</v>
      </c>
      <c r="V44" s="24">
        <v>20</v>
      </c>
      <c r="W44" s="24">
        <v>21</v>
      </c>
      <c r="X44" s="24">
        <v>22</v>
      </c>
      <c r="Y44" s="24"/>
      <c r="Z44" s="70"/>
      <c r="AA44" s="24"/>
      <c r="AB44" s="24"/>
      <c r="AC44" s="24"/>
    </row>
    <row r="45" spans="1:29" ht="15">
      <c r="A45" s="64" t="s">
        <v>55</v>
      </c>
      <c r="B45" s="64"/>
      <c r="C45" s="272" t="str">
        <f>$C$8</f>
        <v>LEC Exit Sign-New</v>
      </c>
      <c r="D45" s="272" t="s">
        <v>56</v>
      </c>
      <c r="E45" s="273">
        <f>VLOOKUP($C$45,[1]!ACHIEV,MATCH(E$11,$E$11:$Y$11,0)+2,FALSE)</f>
        <v>0.22119921692859512</v>
      </c>
      <c r="F45" s="273">
        <f>VLOOKUP($C$45,[1]!ACHIEV,MATCH(F$11,$E$11:$Y$11,0)+2,FALSE)</f>
        <v>0.37624232795148943</v>
      </c>
      <c r="G45" s="273">
        <f>VLOOKUP($C$45,[1]!ACHIEV,MATCH(G$11,$E$11:$Y$11,0)+2,FALSE)</f>
        <v>0.48357361352878442</v>
      </c>
      <c r="H45" s="273">
        <f>VLOOKUP($C$45,[1]!ACHIEV,MATCH(H$11,$E$11:$Y$11,0)+2,FALSE)</f>
        <v>0.56716330278444227</v>
      </c>
      <c r="I45" s="273">
        <f>VLOOKUP($C$45,[1]!ACHIEV,MATCH(I$11,$E$11:$Y$11,0)+2,FALSE)</f>
        <v>0.64040048266456928</v>
      </c>
      <c r="J45" s="273">
        <f>VLOOKUP($C$45,[1]!ACHIEV,MATCH(J$11,$E$11:$Y$11,0)+2,FALSE)</f>
        <v>0.70377511937632964</v>
      </c>
      <c r="K45" s="273">
        <f>VLOOKUP($C$45,[1]!ACHIEV,MATCH(K$11,$E$11:$Y$11,0)+2,FALSE)</f>
        <v>0.7580669577441127</v>
      </c>
      <c r="L45" s="273">
        <f>VLOOKUP($C$45,[1]!ACHIEV,MATCH(L$11,$E$11:$Y$11,0)+2,FALSE)</f>
        <v>0.80419335000071168</v>
      </c>
      <c r="M45" s="273">
        <f>VLOOKUP($C$45,[1]!ACHIEV,MATCH(M$11,$E$11:$Y$11,0)+2,FALSE)</f>
        <v>0.84311022627788457</v>
      </c>
      <c r="N45" s="273">
        <f>VLOOKUP($C$45,[1]!ACHIEV,MATCH(N$11,$E$11:$Y$11,0)+2,FALSE)</f>
        <v>0.87575014259103623</v>
      </c>
      <c r="O45" s="273">
        <f>VLOOKUP($C$45,[1]!ACHIEV,MATCH(O$11,$E$11:$Y$11,0)+2,FALSE)</f>
        <v>0.90298584871682319</v>
      </c>
      <c r="P45" s="273">
        <f>VLOOKUP($C$45,[1]!ACHIEV,MATCH(P$11,$E$11:$Y$11,0)+2,FALSE)</f>
        <v>0.92419703797508856</v>
      </c>
      <c r="Q45" s="273">
        <f>VLOOKUP($C$45,[1]!ACHIEV,MATCH(Q$11,$E$11:$Y$11,0)+2,FALSE)</f>
        <v>0.94071632877930145</v>
      </c>
      <c r="R45" s="273">
        <f>VLOOKUP($C$45,[1]!ACHIEV,MATCH(R$11,$E$11:$Y$11,0)+2,FALSE)</f>
        <v>0.95358156539340677</v>
      </c>
      <c r="S45" s="273">
        <f>VLOOKUP($C$45,[1]!ACHIEV,MATCH(S$11,$E$11:$Y$11,0)+2,FALSE)</f>
        <v>0.96360102174287088</v>
      </c>
      <c r="T45" s="273">
        <f>VLOOKUP($C$45,[1]!ACHIEV,MATCH(T$11,$E$11:$Y$11,0)+2,FALSE)</f>
        <v>0.97140418219378311</v>
      </c>
      <c r="U45" s="273">
        <f>VLOOKUP($C$45,[1]!ACHIEV,MATCH(U$11,$E$11:$Y$11,0)+2,FALSE)</f>
        <v>0.97748128966338554</v>
      </c>
      <c r="V45" s="273">
        <f>VLOOKUP($C$45,[1]!ACHIEV,MATCH(V$11,$E$11:$Y$11,0)+2,FALSE)</f>
        <v>0.98221414571952104</v>
      </c>
      <c r="W45" s="273">
        <f>VLOOKUP($C$45,[1]!ACHIEV,MATCH(W$11,$E$11:$Y$11,0)+2,FALSE)</f>
        <v>0.98590009772220355</v>
      </c>
      <c r="X45" s="273">
        <f>VLOOKUP($C$45,[1]!ACHIEV,MATCH(X$11,$E$11:$Y$11,0)+2,FALSE)</f>
        <v>0.98877072002825628</v>
      </c>
      <c r="Y45" s="67" t="s">
        <v>183</v>
      </c>
      <c r="Z45" s="67" t="s">
        <v>53</v>
      </c>
      <c r="AA45" s="24"/>
      <c r="AB45" s="24"/>
      <c r="AC45" s="24"/>
    </row>
    <row r="46" spans="1:29">
      <c r="A46" s="82"/>
      <c r="B46" s="79"/>
      <c r="C46" t="str">
        <f t="shared" ref="C46:C47" si="9">C40</f>
        <v>LEC Exit Sign-Double-New</v>
      </c>
      <c r="D46" s="24"/>
      <c r="E46" s="70">
        <f>E40*E$45*$Y$12</f>
        <v>6648.9450774064271</v>
      </c>
      <c r="F46" s="70">
        <f>F40*F$45*$Y$12</f>
        <v>9773.6176551836797</v>
      </c>
      <c r="G46" s="70">
        <f>G40*G$45*$Y$12</f>
        <v>10913.955272282696</v>
      </c>
      <c r="H46" s="70">
        <f>H40*H$45*$Y$12</f>
        <v>12766.474072919262</v>
      </c>
      <c r="I46" s="70">
        <f>I40*I$45*$Y$12</f>
        <v>12321.777354122063</v>
      </c>
      <c r="J46" s="70">
        <f>J40*J$45*$Y$12</f>
        <v>12351.39802679031</v>
      </c>
      <c r="K46" s="70">
        <f>K40*K$45*$Y$12</f>
        <v>14568.231392342028</v>
      </c>
      <c r="L46" s="70">
        <f>L40*L$45*$Y$12</f>
        <v>15368.87300746477</v>
      </c>
      <c r="M46" s="70">
        <f>M40*M$45*$Y$12</f>
        <v>17332.106733211647</v>
      </c>
      <c r="N46" s="70">
        <f>N40*N$45*$Y$12</f>
        <v>19229.1868522857</v>
      </c>
      <c r="O46" s="70">
        <f>O40*O$45*$Y$12</f>
        <v>21080.424003687564</v>
      </c>
      <c r="P46" s="70">
        <f>P40*P$45*$Y$12</f>
        <v>24285.922953146885</v>
      </c>
      <c r="Q46" s="70">
        <f>Q40*Q$45*$Y$12</f>
        <v>26714.358201934629</v>
      </c>
      <c r="R46" s="70">
        <f>R40*R$45*$Y$12</f>
        <v>25850.685652062541</v>
      </c>
      <c r="S46" s="70">
        <f>S40*S$45*$Y$12</f>
        <v>27415.828270009595</v>
      </c>
      <c r="T46" s="70">
        <f>T40*T$45*$Y$12</f>
        <v>26702.063835418048</v>
      </c>
      <c r="U46" s="70">
        <f>U40*U$45*$Y$12</f>
        <v>26254.960203668463</v>
      </c>
      <c r="V46" s="70">
        <f>V40*V$45*$Y$12</f>
        <v>24992.574639958497</v>
      </c>
      <c r="W46" s="70">
        <f>W40*W$45*$Y$12</f>
        <v>24514.432621531967</v>
      </c>
      <c r="X46" s="70">
        <f>X40*X$45*$Y$12</f>
        <v>24815.16654774396</v>
      </c>
      <c r="Y46" s="73">
        <f t="shared" ref="Y46:Y47" si="10">SUM(E46:X46)</f>
        <v>383900.98237317073</v>
      </c>
      <c r="AA46" s="24"/>
      <c r="AB46" s="24"/>
      <c r="AC46" s="24"/>
    </row>
    <row r="47" spans="1:29">
      <c r="A47" s="82"/>
      <c r="B47" s="79"/>
      <c r="C47" t="str">
        <f t="shared" si="9"/>
        <v>LEC Exit Sign-Single-New</v>
      </c>
      <c r="D47" s="24"/>
      <c r="E47" s="70">
        <f>E41*E$45*$Y$12</f>
        <v>2738.8875293097562</v>
      </c>
      <c r="F47" s="70">
        <f>F41*F$45*$Y$12</f>
        <v>4026.0280691724479</v>
      </c>
      <c r="G47" s="70">
        <f>G41*G$45*$Y$12</f>
        <v>4495.7652142856396</v>
      </c>
      <c r="H47" s="70">
        <f>H41*H$45*$Y$12</f>
        <v>5258.8698243863628</v>
      </c>
      <c r="I47" s="70">
        <f>I41*I$45*$Y$12</f>
        <v>5075.6867354513406</v>
      </c>
      <c r="J47" s="70">
        <f>J41*J$45*$Y$12</f>
        <v>5087.8883238290973</v>
      </c>
      <c r="K47" s="70">
        <f>K41*K$45*$Y$12</f>
        <v>6001.0643523240979</v>
      </c>
      <c r="L47" s="70">
        <f>L41*L$45*$Y$12</f>
        <v>6330.8711577010308</v>
      </c>
      <c r="M47" s="70">
        <f>M41*M$45*$Y$12</f>
        <v>7139.5823601502925</v>
      </c>
      <c r="N47" s="70">
        <f>N41*N$45*$Y$12</f>
        <v>7921.0430309399171</v>
      </c>
      <c r="O47" s="70">
        <f>O41*O$45*$Y$12</f>
        <v>8683.6196936647775</v>
      </c>
      <c r="P47" s="70">
        <f>P41*P$45*$Y$12</f>
        <v>10004.054889877034</v>
      </c>
      <c r="Q47" s="70">
        <f>Q41*Q$45*$Y$12</f>
        <v>11004.395686982165</v>
      </c>
      <c r="R47" s="70">
        <f>R41*R$45*$Y$12</f>
        <v>10648.624666359665</v>
      </c>
      <c r="S47" s="70">
        <f>S41*S$45*$Y$12</f>
        <v>11293.350942179433</v>
      </c>
      <c r="T47" s="70">
        <f>T41*T$45*$Y$12</f>
        <v>10999.331291541834</v>
      </c>
      <c r="U47" s="70">
        <f>U41*U$45*$Y$12</f>
        <v>10815.15672744907</v>
      </c>
      <c r="V47" s="70">
        <f>V41*V$45*$Y$12</f>
        <v>10295.144599604188</v>
      </c>
      <c r="W47" s="70">
        <f>W41*W$45*$Y$12</f>
        <v>10098.184450849545</v>
      </c>
      <c r="X47" s="70">
        <f>X41*X$45*$Y$12</f>
        <v>10222.065215475091</v>
      </c>
      <c r="Y47" s="73">
        <f t="shared" si="10"/>
        <v>158139.61476153281</v>
      </c>
      <c r="AA47" s="24"/>
      <c r="AB47" s="24"/>
      <c r="AC47" s="24"/>
    </row>
    <row r="48" spans="1:29">
      <c r="A48" s="82"/>
      <c r="B48" s="79"/>
      <c r="C48" s="46"/>
      <c r="D48" s="24"/>
      <c r="E48" s="70"/>
      <c r="F48" s="70"/>
      <c r="G48" s="70"/>
      <c r="H48" s="70"/>
      <c r="I48" s="70"/>
      <c r="J48" s="70"/>
      <c r="K48" s="70"/>
      <c r="L48" s="70"/>
      <c r="M48" s="70"/>
      <c r="N48" s="70"/>
      <c r="O48" s="70"/>
      <c r="P48" s="70"/>
      <c r="Q48" s="70"/>
      <c r="R48" s="70"/>
      <c r="S48" s="70"/>
      <c r="T48" s="70"/>
      <c r="U48" s="70"/>
      <c r="V48" s="70"/>
      <c r="W48" s="70"/>
      <c r="X48" s="70"/>
      <c r="Y48" s="73"/>
      <c r="AA48" s="24"/>
      <c r="AB48" s="24"/>
      <c r="AC48" s="24"/>
    </row>
    <row r="49" spans="1:29">
      <c r="A49" s="24"/>
      <c r="B49" s="24"/>
      <c r="C49" s="83" t="s">
        <v>57</v>
      </c>
      <c r="D49" s="24"/>
      <c r="E49" s="70">
        <f>SUM(E46:E47)</f>
        <v>9387.8326067161834</v>
      </c>
      <c r="F49" s="70">
        <f>SUM(F46:F47)</f>
        <v>13799.645724356127</v>
      </c>
      <c r="G49" s="70">
        <f>SUM(G46:G47)</f>
        <v>15409.720486568334</v>
      </c>
      <c r="H49" s="70">
        <f>SUM(H46:H47)</f>
        <v>18025.343897305625</v>
      </c>
      <c r="I49" s="70">
        <f>SUM(I46:I47)</f>
        <v>17397.464089573405</v>
      </c>
      <c r="J49" s="70">
        <f>SUM(J46:J47)</f>
        <v>17439.286350619408</v>
      </c>
      <c r="K49" s="70">
        <f>SUM(K46:K47)</f>
        <v>20569.295744666124</v>
      </c>
      <c r="L49" s="70">
        <f>SUM(L46:L47)</f>
        <v>21699.744165165801</v>
      </c>
      <c r="M49" s="70">
        <f>SUM(M46:M47)</f>
        <v>24471.68909336194</v>
      </c>
      <c r="N49" s="70">
        <f>SUM(N46:N47)</f>
        <v>27150.229883225617</v>
      </c>
      <c r="O49" s="70">
        <f>SUM(O46:O47)</f>
        <v>29764.043697352339</v>
      </c>
      <c r="P49" s="70">
        <f>SUM(P46:P47)</f>
        <v>34289.977843023917</v>
      </c>
      <c r="Q49" s="70">
        <f>SUM(Q46:Q47)</f>
        <v>37718.753888916792</v>
      </c>
      <c r="R49" s="70">
        <f>SUM(R46:R47)</f>
        <v>36499.310318422205</v>
      </c>
      <c r="S49" s="70">
        <f>SUM(S46:S47)</f>
        <v>38709.179212189032</v>
      </c>
      <c r="T49" s="70">
        <f>SUM(T46:T47)</f>
        <v>37701.395126959884</v>
      </c>
      <c r="U49" s="70">
        <f>SUM(U46:U47)</f>
        <v>37070.116931117533</v>
      </c>
      <c r="V49" s="70">
        <f>SUM(V46:V47)</f>
        <v>35287.719239562684</v>
      </c>
      <c r="W49" s="70">
        <f>SUM(W46:W47)</f>
        <v>34612.617072381516</v>
      </c>
      <c r="X49" s="70">
        <f>SUM(X46:X47)</f>
        <v>35037.231763219053</v>
      </c>
      <c r="Y49" s="73">
        <f>SUM(E49:X49)</f>
        <v>542040.59713470354</v>
      </c>
      <c r="AA49" s="24"/>
      <c r="AB49" s="24" t="s">
        <v>58</v>
      </c>
      <c r="AC49" s="24"/>
    </row>
    <row r="50" spans="1:29">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row>
    <row r="51" spans="1:29" ht="15">
      <c r="A51" s="268" t="s">
        <v>59</v>
      </c>
      <c r="B51" s="24"/>
      <c r="C51" s="24"/>
      <c r="D51" s="84" t="s">
        <v>41</v>
      </c>
      <c r="E51" s="24" t="s">
        <v>60</v>
      </c>
      <c r="F51" s="24"/>
      <c r="G51" s="24"/>
      <c r="H51" s="24"/>
      <c r="I51" s="24"/>
      <c r="J51" s="24"/>
      <c r="K51" s="24"/>
      <c r="L51" s="24"/>
      <c r="M51" s="24"/>
      <c r="N51" s="24"/>
      <c r="O51" s="24"/>
      <c r="P51" s="24"/>
      <c r="Q51" s="24"/>
      <c r="R51" s="24"/>
      <c r="S51" s="24"/>
      <c r="T51" s="24"/>
      <c r="U51" s="24"/>
      <c r="V51" s="24"/>
      <c r="W51" s="24"/>
      <c r="X51" s="24"/>
      <c r="Y51" s="24"/>
      <c r="Z51" s="24"/>
      <c r="AA51" s="24"/>
      <c r="AB51" s="24"/>
      <c r="AC51" s="24"/>
    </row>
    <row r="52" spans="1:29" ht="15">
      <c r="A52" s="272"/>
      <c r="B52" s="272" t="s">
        <v>61</v>
      </c>
      <c r="C52" s="272" t="s">
        <v>594</v>
      </c>
      <c r="D52" s="272">
        <v>1</v>
      </c>
      <c r="E52" s="274">
        <f>E11</f>
        <v>2016</v>
      </c>
      <c r="F52" s="274">
        <f t="shared" ref="F52:X52" si="11">F11</f>
        <v>2017</v>
      </c>
      <c r="G52" s="274">
        <f t="shared" si="11"/>
        <v>2018</v>
      </c>
      <c r="H52" s="274">
        <f t="shared" si="11"/>
        <v>2019</v>
      </c>
      <c r="I52" s="274">
        <f t="shared" si="11"/>
        <v>2020</v>
      </c>
      <c r="J52" s="274">
        <f t="shared" si="11"/>
        <v>2021</v>
      </c>
      <c r="K52" s="274">
        <f t="shared" si="11"/>
        <v>2022</v>
      </c>
      <c r="L52" s="274">
        <f t="shared" si="11"/>
        <v>2023</v>
      </c>
      <c r="M52" s="274">
        <f t="shared" si="11"/>
        <v>2024</v>
      </c>
      <c r="N52" s="274">
        <f t="shared" si="11"/>
        <v>2025</v>
      </c>
      <c r="O52" s="274">
        <f t="shared" si="11"/>
        <v>2026</v>
      </c>
      <c r="P52" s="274">
        <f t="shared" si="11"/>
        <v>2027</v>
      </c>
      <c r="Q52" s="274">
        <f t="shared" si="11"/>
        <v>2028</v>
      </c>
      <c r="R52" s="274">
        <f t="shared" si="11"/>
        <v>2029</v>
      </c>
      <c r="S52" s="274">
        <f t="shared" si="11"/>
        <v>2030</v>
      </c>
      <c r="T52" s="274">
        <f t="shared" si="11"/>
        <v>2031</v>
      </c>
      <c r="U52" s="274">
        <f t="shared" si="11"/>
        <v>2032</v>
      </c>
      <c r="V52" s="274">
        <f t="shared" si="11"/>
        <v>2033</v>
      </c>
      <c r="W52" s="274">
        <f t="shared" si="11"/>
        <v>2034</v>
      </c>
      <c r="X52" s="274">
        <f t="shared" si="11"/>
        <v>2035</v>
      </c>
      <c r="Y52" s="67" t="s">
        <v>53</v>
      </c>
      <c r="AA52" s="24"/>
      <c r="AB52" s="24"/>
      <c r="AC52" s="24"/>
    </row>
    <row r="53" spans="1:29" ht="15">
      <c r="A53" s="272" t="s">
        <v>62</v>
      </c>
      <c r="B53" s="272" t="s">
        <v>63</v>
      </c>
      <c r="C53" s="272" t="s">
        <v>64</v>
      </c>
      <c r="D53" s="272" t="s">
        <v>65</v>
      </c>
      <c r="E53" s="86" t="str">
        <f>CONCATENATE("aMW_",E$11)</f>
        <v>aMW_2016</v>
      </c>
      <c r="F53" s="86" t="str">
        <f t="shared" ref="F53:X53" si="12">CONCATENATE("aMW_",F$11)</f>
        <v>aMW_2017</v>
      </c>
      <c r="G53" s="86" t="str">
        <f t="shared" si="12"/>
        <v>aMW_2018</v>
      </c>
      <c r="H53" s="86" t="str">
        <f t="shared" si="12"/>
        <v>aMW_2019</v>
      </c>
      <c r="I53" s="86" t="str">
        <f t="shared" si="12"/>
        <v>aMW_2020</v>
      </c>
      <c r="J53" s="86" t="str">
        <f t="shared" si="12"/>
        <v>aMW_2021</v>
      </c>
      <c r="K53" s="86" t="str">
        <f t="shared" si="12"/>
        <v>aMW_2022</v>
      </c>
      <c r="L53" s="86" t="str">
        <f t="shared" si="12"/>
        <v>aMW_2023</v>
      </c>
      <c r="M53" s="86" t="str">
        <f t="shared" si="12"/>
        <v>aMW_2024</v>
      </c>
      <c r="N53" s="86" t="str">
        <f t="shared" si="12"/>
        <v>aMW_2025</v>
      </c>
      <c r="O53" s="86" t="str">
        <f t="shared" si="12"/>
        <v>aMW_2026</v>
      </c>
      <c r="P53" s="86" t="str">
        <f t="shared" si="12"/>
        <v>aMW_2027</v>
      </c>
      <c r="Q53" s="86" t="str">
        <f t="shared" si="12"/>
        <v>aMW_2028</v>
      </c>
      <c r="R53" s="86" t="str">
        <f t="shared" si="12"/>
        <v>aMW_2029</v>
      </c>
      <c r="S53" s="86" t="str">
        <f t="shared" si="12"/>
        <v>aMW_2030</v>
      </c>
      <c r="T53" s="86" t="str">
        <f t="shared" si="12"/>
        <v>aMW_2031</v>
      </c>
      <c r="U53" s="86" t="str">
        <f t="shared" si="12"/>
        <v>aMW_2032</v>
      </c>
      <c r="V53" s="86" t="str">
        <f t="shared" si="12"/>
        <v>aMW_2033</v>
      </c>
      <c r="W53" s="86" t="str">
        <f t="shared" si="12"/>
        <v>aMW_2034</v>
      </c>
      <c r="X53" s="86" t="str">
        <f t="shared" si="12"/>
        <v>aMW_2035</v>
      </c>
      <c r="Y53" s="67" t="s">
        <v>53</v>
      </c>
      <c r="AA53" s="24"/>
      <c r="AB53" s="24"/>
      <c r="AC53" s="24"/>
    </row>
    <row r="54" spans="1:29">
      <c r="A54" s="87">
        <f>VLOOKUP(D54,MeasOut,3,FALSE)</f>
        <v>64.032340478741247</v>
      </c>
      <c r="B54" s="88">
        <f>VLOOKUP(D54,MeasOut,11,FALSE)</f>
        <v>9.8774252761486263</v>
      </c>
      <c r="D54" s="24" t="str">
        <f>C40</f>
        <v>LEC Exit Sign-Double-New</v>
      </c>
      <c r="E54" s="291">
        <f>E46*$D$52*$A54/8760/1000</f>
        <v>4.8601314500107184E-2</v>
      </c>
      <c r="F54" s="89">
        <f>F46*$D$52*$A54/8760/1000</f>
        <v>7.1441508379652741E-2</v>
      </c>
      <c r="G54" s="89">
        <f>G46*$D$52*$A54/8760/1000</f>
        <v>7.9776952050748723E-2</v>
      </c>
      <c r="H54" s="89">
        <f>H46*$D$52*$A54/8760/1000</f>
        <v>9.331817517696217E-2</v>
      </c>
      <c r="I54" s="89">
        <f>I46*$D$52*$A54/8760/1000</f>
        <v>9.0067607630409524E-2</v>
      </c>
      <c r="J54" s="89">
        <f>J46*$D$52*$A54/8760/1000</f>
        <v>9.0284123726014825E-2</v>
      </c>
      <c r="K54" s="89">
        <f>K46*$D$52*$A54/8760/1000</f>
        <v>0.10648835076341681</v>
      </c>
      <c r="L54" s="89">
        <f>L46*$D$52*$A54/8760/1000</f>
        <v>0.11234074305805025</v>
      </c>
      <c r="M54" s="89">
        <f>M46*$D$52*$A54/8760/1000</f>
        <v>0.12669125109074109</v>
      </c>
      <c r="N54" s="89">
        <f>N46*$D$52*$A54/8760/1000</f>
        <v>0.14055820087384621</v>
      </c>
      <c r="O54" s="89">
        <f>O46*$D$52*$A54/8760/1000</f>
        <v>0.15409005562104475</v>
      </c>
      <c r="P54" s="89">
        <f>P46*$D$52*$A54/8760/1000</f>
        <v>0.17752106020278294</v>
      </c>
      <c r="Q54" s="89">
        <f>Q46*$D$52*$A54/8760/1000</f>
        <v>0.19527201827138493</v>
      </c>
      <c r="R54" s="89">
        <f>R46*$D$52*$A54/8760/1000</f>
        <v>0.18895889329700682</v>
      </c>
      <c r="S54" s="89">
        <f>S46*$D$52*$A54/8760/1000</f>
        <v>0.20039950345798563</v>
      </c>
      <c r="T54" s="89">
        <f>T46*$D$52*$A54/8760/1000</f>
        <v>0.19518215102677763</v>
      </c>
      <c r="U54" s="89">
        <f>U46*$D$52*$A54/8760/1000</f>
        <v>0.19191398984213479</v>
      </c>
      <c r="V54" s="89">
        <f>V46*$D$52*$A54/8760/1000</f>
        <v>0.18268642109431238</v>
      </c>
      <c r="W54" s="89">
        <f>W46*$D$52*$A54/8760/1000</f>
        <v>0.17919138085217995</v>
      </c>
      <c r="X54" s="89">
        <f>X46*$D$52*$A54/8760/1000</f>
        <v>0.18138963395226157</v>
      </c>
      <c r="Y54" s="90">
        <f t="shared" ref="Y54:Y55" si="13">SUM(E54:X54)</f>
        <v>2.8061733348678208</v>
      </c>
      <c r="AA54" s="24"/>
      <c r="AB54" s="72"/>
      <c r="AC54" s="24"/>
    </row>
    <row r="55" spans="1:29">
      <c r="A55" s="87">
        <f>VLOOKUP(D55,MeasOut,3,FALSE)</f>
        <v>31.912740614515091</v>
      </c>
      <c r="B55" s="88">
        <f>VLOOKUP(D55,MeasOut,11,FALSE)</f>
        <v>26.995982092312257</v>
      </c>
      <c r="D55" s="24" t="str">
        <f>C41</f>
        <v>LEC Exit Sign-Single-New</v>
      </c>
      <c r="E55" s="291">
        <f>E47*$D$52*$A55/8760/1000</f>
        <v>9.9777862209123672E-3</v>
      </c>
      <c r="F55" s="89">
        <f>F47*$D$52*$A55/8760/1000</f>
        <v>1.4666848113956318E-2</v>
      </c>
      <c r="G55" s="89">
        <f>G47*$D$52*$A55/8760/1000</f>
        <v>1.6378103783933499E-2</v>
      </c>
      <c r="H55" s="89">
        <f>H47*$D$52*$A55/8760/1000</f>
        <v>1.9158099158806223E-2</v>
      </c>
      <c r="I55" s="89">
        <f>I47*$D$52*$A55/8760/1000</f>
        <v>1.8490761898286929E-2</v>
      </c>
      <c r="J55" s="89">
        <f>J47*$D$52*$A55/8760/1000</f>
        <v>1.8535212369175564E-2</v>
      </c>
      <c r="K55" s="89">
        <f>K47*$D$52*$A55/8760/1000</f>
        <v>2.1861918959672592E-2</v>
      </c>
      <c r="L55" s="89">
        <f>L47*$D$52*$A55/8760/1000</f>
        <v>2.3063407433747473E-2</v>
      </c>
      <c r="M55" s="89">
        <f>M47*$D$52*$A55/8760/1000</f>
        <v>2.6009547940119147E-2</v>
      </c>
      <c r="N55" s="89">
        <f>N47*$D$52*$A55/8760/1000</f>
        <v>2.8856414571095664E-2</v>
      </c>
      <c r="O55" s="89">
        <f>O47*$D$52*$A55/8760/1000</f>
        <v>3.1634486630025008E-2</v>
      </c>
      <c r="P55" s="89">
        <f>P47*$D$52*$A55/8760/1000</f>
        <v>3.6444841186531636E-2</v>
      </c>
      <c r="Q55" s="89">
        <f>Q47*$D$52*$A55/8760/1000</f>
        <v>4.0089089632208953E-2</v>
      </c>
      <c r="R55" s="89">
        <f>R47*$D$52*$A55/8760/1000</f>
        <v>3.8793013342335994E-2</v>
      </c>
      <c r="S55" s="89">
        <f>S47*$D$52*$A55/8760/1000</f>
        <v>4.1141755626308431E-2</v>
      </c>
      <c r="T55" s="89">
        <f>T47*$D$52*$A55/8760/1000</f>
        <v>4.0070640004576913E-2</v>
      </c>
      <c r="U55" s="89">
        <f>U47*$D$52*$A55/8760/1000</f>
        <v>3.9399690793197502E-2</v>
      </c>
      <c r="V55" s="89">
        <f>V47*$D$52*$A55/8760/1000</f>
        <v>3.7505283013252774E-2</v>
      </c>
      <c r="W55" s="89">
        <f>W47*$D$52*$A55/8760/1000</f>
        <v>3.6787755828480713E-2</v>
      </c>
      <c r="X55" s="89">
        <f>X47*$D$52*$A55/8760/1000</f>
        <v>3.7239054311200219E-2</v>
      </c>
      <c r="Y55" s="90">
        <f t="shared" si="13"/>
        <v>0.57610371081782386</v>
      </c>
      <c r="AA55" s="24"/>
      <c r="AB55" s="72"/>
      <c r="AC55" s="24"/>
    </row>
    <row r="56" spans="1:29">
      <c r="A56" s="24"/>
      <c r="B56" s="24"/>
      <c r="C56" s="24"/>
      <c r="D56" s="24"/>
      <c r="E56" s="89"/>
      <c r="F56" s="89"/>
      <c r="G56" s="89"/>
      <c r="H56" s="89"/>
      <c r="I56" s="89"/>
      <c r="J56" s="89"/>
      <c r="K56" s="89"/>
      <c r="L56" s="89"/>
      <c r="M56" s="89"/>
      <c r="N56" s="89"/>
      <c r="O56" s="89"/>
      <c r="P56" s="89"/>
      <c r="Q56" s="89"/>
      <c r="R56" s="89"/>
      <c r="S56" s="89"/>
      <c r="T56" s="89"/>
      <c r="U56" s="89"/>
      <c r="V56" s="89"/>
      <c r="W56" s="89"/>
      <c r="X56" s="89"/>
      <c r="Y56" s="67"/>
      <c r="AA56" s="24"/>
      <c r="AB56" s="72"/>
      <c r="AC56" s="24"/>
    </row>
    <row r="57" spans="1:29">
      <c r="A57" s="24"/>
      <c r="B57" s="88">
        <f>SUMPRODUCT(A54:A55,B54:B55)/SUM(A54:A55)</f>
        <v>15.571308246950212</v>
      </c>
      <c r="C57" s="24" t="s">
        <v>66</v>
      </c>
      <c r="D57" s="24"/>
      <c r="E57" s="89">
        <f>SUM(E54:E55)</f>
        <v>5.8579100721019552E-2</v>
      </c>
      <c r="F57" s="89">
        <f>SUM(F54:F55)</f>
        <v>8.6108356493609053E-2</v>
      </c>
      <c r="G57" s="89">
        <f>SUM(G54:G55)</f>
        <v>9.6155055834682229E-2</v>
      </c>
      <c r="H57" s="89">
        <f>SUM(H54:H55)</f>
        <v>0.1124762743357684</v>
      </c>
      <c r="I57" s="89">
        <f>SUM(I54:I55)</f>
        <v>0.10855836952869645</v>
      </c>
      <c r="J57" s="89">
        <f>SUM(J54:J55)</f>
        <v>0.10881933609519039</v>
      </c>
      <c r="K57" s="89">
        <f>SUM(K54:K55)</f>
        <v>0.12835026972308941</v>
      </c>
      <c r="L57" s="89">
        <f>SUM(L54:L55)</f>
        <v>0.13540415049179771</v>
      </c>
      <c r="M57" s="89">
        <f>SUM(M54:M55)</f>
        <v>0.15270079903086023</v>
      </c>
      <c r="N57" s="89">
        <f>SUM(N54:N55)</f>
        <v>0.16941461544494188</v>
      </c>
      <c r="O57" s="89">
        <f>SUM(O54:O55)</f>
        <v>0.18572454225106977</v>
      </c>
      <c r="P57" s="89">
        <f>SUM(P54:P55)</f>
        <v>0.21396590138931457</v>
      </c>
      <c r="Q57" s="89">
        <f>SUM(Q54:Q55)</f>
        <v>0.23536110790359388</v>
      </c>
      <c r="R57" s="89">
        <f>SUM(R54:R55)</f>
        <v>0.2277519066393428</v>
      </c>
      <c r="S57" s="89">
        <f>SUM(S54:S55)</f>
        <v>0.24154125908429405</v>
      </c>
      <c r="T57" s="89">
        <f>SUM(T54:T55)</f>
        <v>0.23525279103135455</v>
      </c>
      <c r="U57" s="89">
        <f>SUM(U54:U55)</f>
        <v>0.23131368063533228</v>
      </c>
      <c r="V57" s="89">
        <f>SUM(V54:V55)</f>
        <v>0.22019170410756517</v>
      </c>
      <c r="W57" s="89">
        <f>SUM(W54:W55)</f>
        <v>0.21597913668066065</v>
      </c>
      <c r="X57" s="89">
        <f>SUM(X54:X55)</f>
        <v>0.2186286882634618</v>
      </c>
      <c r="Y57" s="90">
        <f>SUM(Y54:Y55)</f>
        <v>3.3822770456856448</v>
      </c>
      <c r="AA57" s="24"/>
      <c r="AB57" s="72"/>
      <c r="AC57" s="24"/>
    </row>
    <row r="58" spans="1:29">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row>
    <row r="59" spans="1:29">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row>
    <row r="60" spans="1:29" ht="15">
      <c r="A60" s="268" t="s">
        <v>67</v>
      </c>
      <c r="B60" s="271"/>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row>
    <row r="61" spans="1:29" ht="15">
      <c r="A61" s="24"/>
      <c r="B61" s="24"/>
      <c r="C61" s="24"/>
      <c r="D61" s="24"/>
      <c r="E61" s="274">
        <f>E11</f>
        <v>2016</v>
      </c>
      <c r="F61" s="274">
        <f t="shared" ref="F61:X61" si="14">F11</f>
        <v>2017</v>
      </c>
      <c r="G61" s="274">
        <f t="shared" si="14"/>
        <v>2018</v>
      </c>
      <c r="H61" s="274">
        <f t="shared" si="14"/>
        <v>2019</v>
      </c>
      <c r="I61" s="274">
        <f t="shared" si="14"/>
        <v>2020</v>
      </c>
      <c r="J61" s="274">
        <f t="shared" si="14"/>
        <v>2021</v>
      </c>
      <c r="K61" s="274">
        <f t="shared" si="14"/>
        <v>2022</v>
      </c>
      <c r="L61" s="274">
        <f t="shared" si="14"/>
        <v>2023</v>
      </c>
      <c r="M61" s="274">
        <f t="shared" si="14"/>
        <v>2024</v>
      </c>
      <c r="N61" s="274">
        <f t="shared" si="14"/>
        <v>2025</v>
      </c>
      <c r="O61" s="274">
        <f t="shared" si="14"/>
        <v>2026</v>
      </c>
      <c r="P61" s="274">
        <f t="shared" si="14"/>
        <v>2027</v>
      </c>
      <c r="Q61" s="274">
        <f t="shared" si="14"/>
        <v>2028</v>
      </c>
      <c r="R61" s="274">
        <f t="shared" si="14"/>
        <v>2029</v>
      </c>
      <c r="S61" s="274">
        <f t="shared" si="14"/>
        <v>2030</v>
      </c>
      <c r="T61" s="274">
        <f t="shared" si="14"/>
        <v>2031</v>
      </c>
      <c r="U61" s="274">
        <f t="shared" si="14"/>
        <v>2032</v>
      </c>
      <c r="V61" s="274">
        <f t="shared" si="14"/>
        <v>2033</v>
      </c>
      <c r="W61" s="274">
        <f t="shared" si="14"/>
        <v>2034</v>
      </c>
      <c r="X61" s="274">
        <f t="shared" si="14"/>
        <v>2035</v>
      </c>
      <c r="Y61" s="67" t="s">
        <v>53</v>
      </c>
      <c r="AA61" s="24"/>
      <c r="AB61" s="24"/>
      <c r="AC61" s="24"/>
    </row>
    <row r="62" spans="1:29" ht="15">
      <c r="A62" s="24"/>
      <c r="B62" s="91" t="s">
        <v>63</v>
      </c>
      <c r="C62" s="91" t="s">
        <v>63</v>
      </c>
      <c r="D62" s="91"/>
      <c r="E62" s="86" t="str">
        <f>TEXT(E53,"0000")</f>
        <v>aMW_2016</v>
      </c>
      <c r="F62" s="86" t="str">
        <f t="shared" ref="F62:X62" si="15">TEXT(F53,"0000")</f>
        <v>aMW_2017</v>
      </c>
      <c r="G62" s="86" t="str">
        <f t="shared" si="15"/>
        <v>aMW_2018</v>
      </c>
      <c r="H62" s="86" t="str">
        <f t="shared" si="15"/>
        <v>aMW_2019</v>
      </c>
      <c r="I62" s="86" t="str">
        <f t="shared" si="15"/>
        <v>aMW_2020</v>
      </c>
      <c r="J62" s="86" t="str">
        <f t="shared" si="15"/>
        <v>aMW_2021</v>
      </c>
      <c r="K62" s="86" t="str">
        <f t="shared" si="15"/>
        <v>aMW_2022</v>
      </c>
      <c r="L62" s="86" t="str">
        <f t="shared" si="15"/>
        <v>aMW_2023</v>
      </c>
      <c r="M62" s="86" t="str">
        <f t="shared" si="15"/>
        <v>aMW_2024</v>
      </c>
      <c r="N62" s="86" t="str">
        <f t="shared" si="15"/>
        <v>aMW_2025</v>
      </c>
      <c r="O62" s="86" t="str">
        <f t="shared" si="15"/>
        <v>aMW_2026</v>
      </c>
      <c r="P62" s="86" t="str">
        <f t="shared" si="15"/>
        <v>aMW_2027</v>
      </c>
      <c r="Q62" s="86" t="str">
        <f t="shared" si="15"/>
        <v>aMW_2028</v>
      </c>
      <c r="R62" s="86" t="str">
        <f t="shared" si="15"/>
        <v>aMW_2029</v>
      </c>
      <c r="S62" s="86" t="str">
        <f t="shared" si="15"/>
        <v>aMW_2030</v>
      </c>
      <c r="T62" s="86" t="str">
        <f t="shared" si="15"/>
        <v>aMW_2031</v>
      </c>
      <c r="U62" s="86" t="str">
        <f t="shared" si="15"/>
        <v>aMW_2032</v>
      </c>
      <c r="V62" s="86" t="str">
        <f t="shared" si="15"/>
        <v>aMW_2033</v>
      </c>
      <c r="W62" s="86" t="str">
        <f t="shared" si="15"/>
        <v>aMW_2034</v>
      </c>
      <c r="X62" s="86" t="str">
        <f t="shared" si="15"/>
        <v>aMW_2035</v>
      </c>
      <c r="Y62" s="67" t="s">
        <v>53</v>
      </c>
      <c r="AA62" s="24"/>
      <c r="AB62" s="24"/>
      <c r="AC62" s="24"/>
    </row>
    <row r="63" spans="1:29">
      <c r="A63" s="24" t="s">
        <v>68</v>
      </c>
      <c r="B63" s="92" t="s">
        <v>69</v>
      </c>
      <c r="C63" s="92" t="s">
        <v>70</v>
      </c>
      <c r="D63" s="92"/>
      <c r="E63" s="93">
        <f>DSUM($B$53:$Y$55,E$53,$B$62:$C63)</f>
        <v>0</v>
      </c>
      <c r="F63" s="93">
        <f>DSUM($B$53:$Y$55,F$53,$B$62:$C63)</f>
        <v>0</v>
      </c>
      <c r="G63" s="93">
        <f>DSUM($B$53:$Y$55,G$53,$B$62:$C63)</f>
        <v>0</v>
      </c>
      <c r="H63" s="93">
        <f>DSUM($B$53:$Y$55,H$53,$B$62:$C63)</f>
        <v>0</v>
      </c>
      <c r="I63" s="93">
        <f>DSUM($B$53:$Y$55,I$53,$B$62:$C63)</f>
        <v>0</v>
      </c>
      <c r="J63" s="93">
        <f>DSUM($B$53:$Y$55,J$53,$B$62:$C63)</f>
        <v>0</v>
      </c>
      <c r="K63" s="93">
        <f>DSUM($B$53:$Y$55,K$53,$B$62:$C63)</f>
        <v>0</v>
      </c>
      <c r="L63" s="93">
        <f>DSUM($B$53:$Y$55,L$53,$B$62:$C63)</f>
        <v>0</v>
      </c>
      <c r="M63" s="93">
        <f>DSUM($B$53:$Y$55,M$53,$B$62:$C63)</f>
        <v>0</v>
      </c>
      <c r="N63" s="93">
        <f>DSUM($B$53:$Y$55,N$53,$B$62:$C63)</f>
        <v>0</v>
      </c>
      <c r="O63" s="93">
        <f>DSUM($B$53:$Y$55,O$53,$B$62:$C63)</f>
        <v>0</v>
      </c>
      <c r="P63" s="93">
        <f>DSUM($B$53:$Y$55,P$53,$B$62:$C63)</f>
        <v>0</v>
      </c>
      <c r="Q63" s="93">
        <f>DSUM($B$53:$Y$55,Q$53,$B$62:$C63)</f>
        <v>0</v>
      </c>
      <c r="R63" s="93">
        <f>DSUM($B$53:$Y$55,R$53,$B$62:$C63)</f>
        <v>0</v>
      </c>
      <c r="S63" s="93">
        <f>DSUM($B$53:$Y$55,S$53,$B$62:$C63)</f>
        <v>0</v>
      </c>
      <c r="T63" s="93">
        <f>DSUM($B$53:$Y$55,T$53,$B$62:$C63)</f>
        <v>0</v>
      </c>
      <c r="U63" s="93">
        <f>DSUM($B$53:$Y$55,U$53,$B$62:$C63)</f>
        <v>0</v>
      </c>
      <c r="V63" s="93">
        <f>DSUM($B$53:$Y$55,V$53,$B$62:$C63)</f>
        <v>0</v>
      </c>
      <c r="W63" s="93">
        <f>DSUM($B$53:$Y$55,W$53,$B$62:$C63)</f>
        <v>0</v>
      </c>
      <c r="X63" s="93">
        <f>DSUM($B$53:$Y$55,X$53,$B$62:$C63)</f>
        <v>0</v>
      </c>
      <c r="Y63" s="45">
        <f>DSUM($B$53:$Y$55,Y$53,$B$62:$C63)</f>
        <v>0</v>
      </c>
      <c r="AA63" s="24"/>
      <c r="AB63" s="24"/>
      <c r="AC63" s="24"/>
    </row>
    <row r="64" spans="1:29">
      <c r="A64" s="24" t="s">
        <v>71</v>
      </c>
      <c r="B64" s="92" t="s">
        <v>72</v>
      </c>
      <c r="C64" s="92" t="s">
        <v>73</v>
      </c>
      <c r="D64" s="92"/>
      <c r="E64" s="93">
        <f>DSUM($B$53:$Y$55,E$53,$B$62:$C64)</f>
        <v>4.8601314500107184E-2</v>
      </c>
      <c r="F64" s="93">
        <f>DSUM($B$53:$Y$55,F$53,$B$62:$C64)</f>
        <v>7.1441508379652741E-2</v>
      </c>
      <c r="G64" s="93">
        <f>DSUM($B$53:$Y$55,G$53,$B$62:$C64)</f>
        <v>7.9776952050748723E-2</v>
      </c>
      <c r="H64" s="93">
        <f>DSUM($B$53:$Y$55,H$53,$B$62:$C64)</f>
        <v>9.331817517696217E-2</v>
      </c>
      <c r="I64" s="93">
        <f>DSUM($B$53:$Y$55,I$53,$B$62:$C64)</f>
        <v>9.0067607630409524E-2</v>
      </c>
      <c r="J64" s="93">
        <f>DSUM($B$53:$Y$55,J$53,$B$62:$C64)</f>
        <v>9.0284123726014825E-2</v>
      </c>
      <c r="K64" s="93">
        <f>DSUM($B$53:$Y$55,K$53,$B$62:$C64)</f>
        <v>0.10648835076341681</v>
      </c>
      <c r="L64" s="93">
        <f>DSUM($B$53:$Y$55,L$53,$B$62:$C64)</f>
        <v>0.11234074305805025</v>
      </c>
      <c r="M64" s="93">
        <f>DSUM($B$53:$Y$55,M$53,$B$62:$C64)</f>
        <v>0.12669125109074109</v>
      </c>
      <c r="N64" s="93">
        <f>DSUM($B$53:$Y$55,N$53,$B$62:$C64)</f>
        <v>0.14055820087384621</v>
      </c>
      <c r="O64" s="93">
        <f>DSUM($B$53:$Y$55,O$53,$B$62:$C64)</f>
        <v>0.15409005562104475</v>
      </c>
      <c r="P64" s="93">
        <f>DSUM($B$53:$Y$55,P$53,$B$62:$C64)</f>
        <v>0.17752106020278294</v>
      </c>
      <c r="Q64" s="93">
        <f>DSUM($B$53:$Y$55,Q$53,$B$62:$C64)</f>
        <v>0.19527201827138493</v>
      </c>
      <c r="R64" s="93">
        <f>DSUM($B$53:$Y$55,R$53,$B$62:$C64)</f>
        <v>0.18895889329700682</v>
      </c>
      <c r="S64" s="93">
        <f>DSUM($B$53:$Y$55,S$53,$B$62:$C64)</f>
        <v>0.20039950345798563</v>
      </c>
      <c r="T64" s="93">
        <f>DSUM($B$53:$Y$55,T$53,$B$62:$C64)</f>
        <v>0.19518215102677763</v>
      </c>
      <c r="U64" s="93">
        <f>DSUM($B$53:$Y$55,U$53,$B$62:$C64)</f>
        <v>0.19191398984213479</v>
      </c>
      <c r="V64" s="93">
        <f>DSUM($B$53:$Y$55,V$53,$B$62:$C64)</f>
        <v>0.18268642109431238</v>
      </c>
      <c r="W64" s="93">
        <f>DSUM($B$53:$Y$55,W$53,$B$62:$C64)</f>
        <v>0.17919138085217995</v>
      </c>
      <c r="X64" s="93">
        <f>DSUM($B$53:$Y$55,X$53,$B$62:$C64)</f>
        <v>0.18138963395226157</v>
      </c>
      <c r="Y64" s="45">
        <f>DSUM($B$53:$Y$55,Y$53,$B$62:$C64)</f>
        <v>2.8061733348678208</v>
      </c>
      <c r="AA64" s="24"/>
      <c r="AB64" s="24"/>
      <c r="AC64" s="24"/>
    </row>
    <row r="65" spans="1:29">
      <c r="A65" s="24" t="s">
        <v>74</v>
      </c>
      <c r="B65" s="92" t="s">
        <v>75</v>
      </c>
      <c r="C65" s="92" t="s">
        <v>76</v>
      </c>
      <c r="D65" s="92"/>
      <c r="E65" s="93">
        <f>DSUM($B$53:$Y$55,E$53,$B$62:$C65)</f>
        <v>4.8601314500107184E-2</v>
      </c>
      <c r="F65" s="93">
        <f>DSUM($B$53:$Y$55,F$53,$B$62:$C65)</f>
        <v>7.1441508379652741E-2</v>
      </c>
      <c r="G65" s="93">
        <f>DSUM($B$53:$Y$55,G$53,$B$62:$C65)</f>
        <v>7.9776952050748723E-2</v>
      </c>
      <c r="H65" s="93">
        <f>DSUM($B$53:$Y$55,H$53,$B$62:$C65)</f>
        <v>9.331817517696217E-2</v>
      </c>
      <c r="I65" s="93">
        <f>DSUM($B$53:$Y$55,I$53,$B$62:$C65)</f>
        <v>9.0067607630409524E-2</v>
      </c>
      <c r="J65" s="93">
        <f>DSUM($B$53:$Y$55,J$53,$B$62:$C65)</f>
        <v>9.0284123726014825E-2</v>
      </c>
      <c r="K65" s="93">
        <f>DSUM($B$53:$Y$55,K$53,$B$62:$C65)</f>
        <v>0.10648835076341681</v>
      </c>
      <c r="L65" s="93">
        <f>DSUM($B$53:$Y$55,L$53,$B$62:$C65)</f>
        <v>0.11234074305805025</v>
      </c>
      <c r="M65" s="93">
        <f>DSUM($B$53:$Y$55,M$53,$B$62:$C65)</f>
        <v>0.12669125109074109</v>
      </c>
      <c r="N65" s="93">
        <f>DSUM($B$53:$Y$55,N$53,$B$62:$C65)</f>
        <v>0.14055820087384621</v>
      </c>
      <c r="O65" s="93">
        <f>DSUM($B$53:$Y$55,O$53,$B$62:$C65)</f>
        <v>0.15409005562104475</v>
      </c>
      <c r="P65" s="93">
        <f>DSUM($B$53:$Y$55,P$53,$B$62:$C65)</f>
        <v>0.17752106020278294</v>
      </c>
      <c r="Q65" s="93">
        <f>DSUM($B$53:$Y$55,Q$53,$B$62:$C65)</f>
        <v>0.19527201827138493</v>
      </c>
      <c r="R65" s="93">
        <f>DSUM($B$53:$Y$55,R$53,$B$62:$C65)</f>
        <v>0.18895889329700682</v>
      </c>
      <c r="S65" s="93">
        <f>DSUM($B$53:$Y$55,S$53,$B$62:$C65)</f>
        <v>0.20039950345798563</v>
      </c>
      <c r="T65" s="93">
        <f>DSUM($B$53:$Y$55,T$53,$B$62:$C65)</f>
        <v>0.19518215102677763</v>
      </c>
      <c r="U65" s="93">
        <f>DSUM($B$53:$Y$55,U$53,$B$62:$C65)</f>
        <v>0.19191398984213479</v>
      </c>
      <c r="V65" s="93">
        <f>DSUM($B$53:$Y$55,V$53,$B$62:$C65)</f>
        <v>0.18268642109431238</v>
      </c>
      <c r="W65" s="93">
        <f>DSUM($B$53:$Y$55,W$53,$B$62:$C65)</f>
        <v>0.17919138085217995</v>
      </c>
      <c r="X65" s="93">
        <f>DSUM($B$53:$Y$55,X$53,$B$62:$C65)</f>
        <v>0.18138963395226157</v>
      </c>
      <c r="Y65" s="45">
        <f>DSUM($B$53:$Y$55,Y$53,$B$62:$C65)</f>
        <v>2.8061733348678208</v>
      </c>
      <c r="AA65" s="24"/>
      <c r="AB65" s="24"/>
      <c r="AC65" s="24"/>
    </row>
    <row r="66" spans="1:29">
      <c r="A66" s="24" t="s">
        <v>77</v>
      </c>
      <c r="B66" s="92" t="s">
        <v>78</v>
      </c>
      <c r="C66" s="92" t="s">
        <v>79</v>
      </c>
      <c r="D66" s="92"/>
      <c r="E66" s="93">
        <f>DSUM($B$53:$Y$55,E$53,$B$62:$C66)</f>
        <v>5.8579100721019552E-2</v>
      </c>
      <c r="F66" s="93">
        <f>DSUM($B$53:$Y$55,F$53,$B$62:$C66)</f>
        <v>8.6108356493609053E-2</v>
      </c>
      <c r="G66" s="93">
        <f>DSUM($B$53:$Y$55,G$53,$B$62:$C66)</f>
        <v>9.6155055834682229E-2</v>
      </c>
      <c r="H66" s="93">
        <f>DSUM($B$53:$Y$55,H$53,$B$62:$C66)</f>
        <v>0.1124762743357684</v>
      </c>
      <c r="I66" s="93">
        <f>DSUM($B$53:$Y$55,I$53,$B$62:$C66)</f>
        <v>0.10855836952869645</v>
      </c>
      <c r="J66" s="93">
        <f>DSUM($B$53:$Y$55,J$53,$B$62:$C66)</f>
        <v>0.10881933609519039</v>
      </c>
      <c r="K66" s="93">
        <f>DSUM($B$53:$Y$55,K$53,$B$62:$C66)</f>
        <v>0.12835026972308941</v>
      </c>
      <c r="L66" s="93">
        <f>DSUM($B$53:$Y$55,L$53,$B$62:$C66)</f>
        <v>0.13540415049179771</v>
      </c>
      <c r="M66" s="93">
        <f>DSUM($B$53:$Y$55,M$53,$B$62:$C66)</f>
        <v>0.15270079903086023</v>
      </c>
      <c r="N66" s="93">
        <f>DSUM($B$53:$Y$55,N$53,$B$62:$C66)</f>
        <v>0.16941461544494188</v>
      </c>
      <c r="O66" s="93">
        <f>DSUM($B$53:$Y$55,O$53,$B$62:$C66)</f>
        <v>0.18572454225106977</v>
      </c>
      <c r="P66" s="93">
        <f>DSUM($B$53:$Y$55,P$53,$B$62:$C66)</f>
        <v>0.21396590138931457</v>
      </c>
      <c r="Q66" s="93">
        <f>DSUM($B$53:$Y$55,Q$53,$B$62:$C66)</f>
        <v>0.23536110790359388</v>
      </c>
      <c r="R66" s="93">
        <f>DSUM($B$53:$Y$55,R$53,$B$62:$C66)</f>
        <v>0.2277519066393428</v>
      </c>
      <c r="S66" s="93">
        <f>DSUM($B$53:$Y$55,S$53,$B$62:$C66)</f>
        <v>0.24154125908429405</v>
      </c>
      <c r="T66" s="93">
        <f>DSUM($B$53:$Y$55,T$53,$B$62:$C66)</f>
        <v>0.23525279103135455</v>
      </c>
      <c r="U66" s="93">
        <f>DSUM($B$53:$Y$55,U$53,$B$62:$C66)</f>
        <v>0.23131368063533228</v>
      </c>
      <c r="V66" s="93">
        <f>DSUM($B$53:$Y$55,V$53,$B$62:$C66)</f>
        <v>0.22019170410756517</v>
      </c>
      <c r="W66" s="93">
        <f>DSUM($B$53:$Y$55,W$53,$B$62:$C66)</f>
        <v>0.21597913668066065</v>
      </c>
      <c r="X66" s="93">
        <f>DSUM($B$53:$Y$55,X$53,$B$62:$C66)</f>
        <v>0.2186286882634618</v>
      </c>
      <c r="Y66" s="45">
        <f>DSUM($B$53:$Y$55,Y$53,$B$62:$C66)</f>
        <v>3.3822770456856448</v>
      </c>
      <c r="AA66" s="24"/>
      <c r="AB66" s="24"/>
      <c r="AC66" s="24"/>
    </row>
    <row r="67" spans="1:29">
      <c r="A67" s="24" t="s">
        <v>80</v>
      </c>
      <c r="B67" s="92" t="s">
        <v>81</v>
      </c>
      <c r="C67" s="92" t="s">
        <v>82</v>
      </c>
      <c r="D67" s="92"/>
      <c r="E67" s="93">
        <f>DSUM($B$53:$Y$55,E$53,$B$62:$C67)</f>
        <v>5.8579100721019552E-2</v>
      </c>
      <c r="F67" s="93">
        <f>DSUM($B$53:$Y$55,F$53,$B$62:$C67)</f>
        <v>8.6108356493609053E-2</v>
      </c>
      <c r="G67" s="93">
        <f>DSUM($B$53:$Y$55,G$53,$B$62:$C67)</f>
        <v>9.6155055834682229E-2</v>
      </c>
      <c r="H67" s="93">
        <f>DSUM($B$53:$Y$55,H$53,$B$62:$C67)</f>
        <v>0.1124762743357684</v>
      </c>
      <c r="I67" s="93">
        <f>DSUM($B$53:$Y$55,I$53,$B$62:$C67)</f>
        <v>0.10855836952869645</v>
      </c>
      <c r="J67" s="93">
        <f>DSUM($B$53:$Y$55,J$53,$B$62:$C67)</f>
        <v>0.10881933609519039</v>
      </c>
      <c r="K67" s="93">
        <f>DSUM($B$53:$Y$55,K$53,$B$62:$C67)</f>
        <v>0.12835026972308941</v>
      </c>
      <c r="L67" s="93">
        <f>DSUM($B$53:$Y$55,L$53,$B$62:$C67)</f>
        <v>0.13540415049179771</v>
      </c>
      <c r="M67" s="93">
        <f>DSUM($B$53:$Y$55,M$53,$B$62:$C67)</f>
        <v>0.15270079903086023</v>
      </c>
      <c r="N67" s="93">
        <f>DSUM($B$53:$Y$55,N$53,$B$62:$C67)</f>
        <v>0.16941461544494188</v>
      </c>
      <c r="O67" s="93">
        <f>DSUM($B$53:$Y$55,O$53,$B$62:$C67)</f>
        <v>0.18572454225106977</v>
      </c>
      <c r="P67" s="93">
        <f>DSUM($B$53:$Y$55,P$53,$B$62:$C67)</f>
        <v>0.21396590138931457</v>
      </c>
      <c r="Q67" s="93">
        <f>DSUM($B$53:$Y$55,Q$53,$B$62:$C67)</f>
        <v>0.23536110790359388</v>
      </c>
      <c r="R67" s="93">
        <f>DSUM($B$53:$Y$55,R$53,$B$62:$C67)</f>
        <v>0.2277519066393428</v>
      </c>
      <c r="S67" s="93">
        <f>DSUM($B$53:$Y$55,S$53,$B$62:$C67)</f>
        <v>0.24154125908429405</v>
      </c>
      <c r="T67" s="93">
        <f>DSUM($B$53:$Y$55,T$53,$B$62:$C67)</f>
        <v>0.23525279103135455</v>
      </c>
      <c r="U67" s="93">
        <f>DSUM($B$53:$Y$55,U$53,$B$62:$C67)</f>
        <v>0.23131368063533228</v>
      </c>
      <c r="V67" s="93">
        <f>DSUM($B$53:$Y$55,V$53,$B$62:$C67)</f>
        <v>0.22019170410756517</v>
      </c>
      <c r="W67" s="93">
        <f>DSUM($B$53:$Y$55,W$53,$B$62:$C67)</f>
        <v>0.21597913668066065</v>
      </c>
      <c r="X67" s="93">
        <f>DSUM($B$53:$Y$55,X$53,$B$62:$C67)</f>
        <v>0.2186286882634618</v>
      </c>
      <c r="Y67" s="45">
        <f>DSUM($B$53:$Y$55,Y$53,$B$62:$C67)</f>
        <v>3.3822770456856448</v>
      </c>
      <c r="AA67" s="24"/>
      <c r="AB67" s="24"/>
      <c r="AC67" s="24"/>
    </row>
    <row r="68" spans="1:29">
      <c r="A68" s="24" t="s">
        <v>83</v>
      </c>
      <c r="B68" s="92" t="s">
        <v>84</v>
      </c>
      <c r="C68" s="92" t="s">
        <v>85</v>
      </c>
      <c r="D68" s="92"/>
      <c r="E68" s="93">
        <f>DSUM($B$53:$Y$55,E$53,$B$62:$C68)</f>
        <v>5.8579100721019552E-2</v>
      </c>
      <c r="F68" s="93">
        <f>DSUM($B$53:$Y$55,F$53,$B$62:$C68)</f>
        <v>8.6108356493609053E-2</v>
      </c>
      <c r="G68" s="93">
        <f>DSUM($B$53:$Y$55,G$53,$B$62:$C68)</f>
        <v>9.6155055834682229E-2</v>
      </c>
      <c r="H68" s="93">
        <f>DSUM($B$53:$Y$55,H$53,$B$62:$C68)</f>
        <v>0.1124762743357684</v>
      </c>
      <c r="I68" s="93">
        <f>DSUM($B$53:$Y$55,I$53,$B$62:$C68)</f>
        <v>0.10855836952869645</v>
      </c>
      <c r="J68" s="93">
        <f>DSUM($B$53:$Y$55,J$53,$B$62:$C68)</f>
        <v>0.10881933609519039</v>
      </c>
      <c r="K68" s="93">
        <f>DSUM($B$53:$Y$55,K$53,$B$62:$C68)</f>
        <v>0.12835026972308941</v>
      </c>
      <c r="L68" s="93">
        <f>DSUM($B$53:$Y$55,L$53,$B$62:$C68)</f>
        <v>0.13540415049179771</v>
      </c>
      <c r="M68" s="93">
        <f>DSUM($B$53:$Y$55,M$53,$B$62:$C68)</f>
        <v>0.15270079903086023</v>
      </c>
      <c r="N68" s="93">
        <f>DSUM($B$53:$Y$55,N$53,$B$62:$C68)</f>
        <v>0.16941461544494188</v>
      </c>
      <c r="O68" s="93">
        <f>DSUM($B$53:$Y$55,O$53,$B$62:$C68)</f>
        <v>0.18572454225106977</v>
      </c>
      <c r="P68" s="93">
        <f>DSUM($B$53:$Y$55,P$53,$B$62:$C68)</f>
        <v>0.21396590138931457</v>
      </c>
      <c r="Q68" s="93">
        <f>DSUM($B$53:$Y$55,Q$53,$B$62:$C68)</f>
        <v>0.23536110790359388</v>
      </c>
      <c r="R68" s="93">
        <f>DSUM($B$53:$Y$55,R$53,$B$62:$C68)</f>
        <v>0.2277519066393428</v>
      </c>
      <c r="S68" s="93">
        <f>DSUM($B$53:$Y$55,S$53,$B$62:$C68)</f>
        <v>0.24154125908429405</v>
      </c>
      <c r="T68" s="93">
        <f>DSUM($B$53:$Y$55,T$53,$B$62:$C68)</f>
        <v>0.23525279103135455</v>
      </c>
      <c r="U68" s="93">
        <f>DSUM($B$53:$Y$55,U$53,$B$62:$C68)</f>
        <v>0.23131368063533228</v>
      </c>
      <c r="V68" s="93">
        <f>DSUM($B$53:$Y$55,V$53,$B$62:$C68)</f>
        <v>0.22019170410756517</v>
      </c>
      <c r="W68" s="93">
        <f>DSUM($B$53:$Y$55,W$53,$B$62:$C68)</f>
        <v>0.21597913668066065</v>
      </c>
      <c r="X68" s="93">
        <f>DSUM($B$53:$Y$55,X$53,$B$62:$C68)</f>
        <v>0.2186286882634618</v>
      </c>
      <c r="Y68" s="45">
        <f>DSUM($B$53:$Y$55,Y$53,$B$62:$C68)</f>
        <v>3.3822770456856448</v>
      </c>
      <c r="AA68" s="24"/>
      <c r="AB68" s="24"/>
      <c r="AC68" s="24"/>
    </row>
    <row r="69" spans="1:29">
      <c r="A69" s="24" t="s">
        <v>86</v>
      </c>
      <c r="B69" s="92" t="s">
        <v>87</v>
      </c>
      <c r="C69" s="92" t="s">
        <v>88</v>
      </c>
      <c r="D69" s="92"/>
      <c r="E69" s="93">
        <f>DSUM($B$53:$Y$55,E$53,$B$62:$C69)</f>
        <v>5.8579100721019552E-2</v>
      </c>
      <c r="F69" s="93">
        <f>DSUM($B$53:$Y$55,F$53,$B$62:$C69)</f>
        <v>8.6108356493609053E-2</v>
      </c>
      <c r="G69" s="93">
        <f>DSUM($B$53:$Y$55,G$53,$B$62:$C69)</f>
        <v>9.6155055834682229E-2</v>
      </c>
      <c r="H69" s="93">
        <f>DSUM($B$53:$Y$55,H$53,$B$62:$C69)</f>
        <v>0.1124762743357684</v>
      </c>
      <c r="I69" s="93">
        <f>DSUM($B$53:$Y$55,I$53,$B$62:$C69)</f>
        <v>0.10855836952869645</v>
      </c>
      <c r="J69" s="93">
        <f>DSUM($B$53:$Y$55,J$53,$B$62:$C69)</f>
        <v>0.10881933609519039</v>
      </c>
      <c r="K69" s="93">
        <f>DSUM($B$53:$Y$55,K$53,$B$62:$C69)</f>
        <v>0.12835026972308941</v>
      </c>
      <c r="L69" s="93">
        <f>DSUM($B$53:$Y$55,L$53,$B$62:$C69)</f>
        <v>0.13540415049179771</v>
      </c>
      <c r="M69" s="93">
        <f>DSUM($B$53:$Y$55,M$53,$B$62:$C69)</f>
        <v>0.15270079903086023</v>
      </c>
      <c r="N69" s="93">
        <f>DSUM($B$53:$Y$55,N$53,$B$62:$C69)</f>
        <v>0.16941461544494188</v>
      </c>
      <c r="O69" s="93">
        <f>DSUM($B$53:$Y$55,O$53,$B$62:$C69)</f>
        <v>0.18572454225106977</v>
      </c>
      <c r="P69" s="93">
        <f>DSUM($B$53:$Y$55,P$53,$B$62:$C69)</f>
        <v>0.21396590138931457</v>
      </c>
      <c r="Q69" s="93">
        <f>DSUM($B$53:$Y$55,Q$53,$B$62:$C69)</f>
        <v>0.23536110790359388</v>
      </c>
      <c r="R69" s="93">
        <f>DSUM($B$53:$Y$55,R$53,$B$62:$C69)</f>
        <v>0.2277519066393428</v>
      </c>
      <c r="S69" s="93">
        <f>DSUM($B$53:$Y$55,S$53,$B$62:$C69)</f>
        <v>0.24154125908429405</v>
      </c>
      <c r="T69" s="93">
        <f>DSUM($B$53:$Y$55,T$53,$B$62:$C69)</f>
        <v>0.23525279103135455</v>
      </c>
      <c r="U69" s="93">
        <f>DSUM($B$53:$Y$55,U$53,$B$62:$C69)</f>
        <v>0.23131368063533228</v>
      </c>
      <c r="V69" s="93">
        <f>DSUM($B$53:$Y$55,V$53,$B$62:$C69)</f>
        <v>0.22019170410756517</v>
      </c>
      <c r="W69" s="93">
        <f>DSUM($B$53:$Y$55,W$53,$B$62:$C69)</f>
        <v>0.21597913668066065</v>
      </c>
      <c r="X69" s="93">
        <f>DSUM($B$53:$Y$55,X$53,$B$62:$C69)</f>
        <v>0.2186286882634618</v>
      </c>
      <c r="Y69" s="45">
        <f>DSUM($B$53:$Y$55,Y$53,$B$62:$C69)</f>
        <v>3.3822770456856448</v>
      </c>
      <c r="AA69" s="24"/>
      <c r="AB69" s="24"/>
      <c r="AC69" s="24"/>
    </row>
    <row r="70" spans="1:29">
      <c r="A70" s="24" t="s">
        <v>89</v>
      </c>
      <c r="B70" s="92" t="s">
        <v>90</v>
      </c>
      <c r="C70" s="92" t="s">
        <v>91</v>
      </c>
      <c r="D70" s="92"/>
      <c r="E70" s="93">
        <f>DSUM($B$53:$Y$55,E$53,$B$62:$C70)</f>
        <v>5.8579100721019552E-2</v>
      </c>
      <c r="F70" s="93">
        <f>DSUM($B$53:$Y$55,F$53,$B$62:$C70)</f>
        <v>8.6108356493609053E-2</v>
      </c>
      <c r="G70" s="93">
        <f>DSUM($B$53:$Y$55,G$53,$B$62:$C70)</f>
        <v>9.6155055834682229E-2</v>
      </c>
      <c r="H70" s="93">
        <f>DSUM($B$53:$Y$55,H$53,$B$62:$C70)</f>
        <v>0.1124762743357684</v>
      </c>
      <c r="I70" s="93">
        <f>DSUM($B$53:$Y$55,I$53,$B$62:$C70)</f>
        <v>0.10855836952869645</v>
      </c>
      <c r="J70" s="93">
        <f>DSUM($B$53:$Y$55,J$53,$B$62:$C70)</f>
        <v>0.10881933609519039</v>
      </c>
      <c r="K70" s="93">
        <f>DSUM($B$53:$Y$55,K$53,$B$62:$C70)</f>
        <v>0.12835026972308941</v>
      </c>
      <c r="L70" s="93">
        <f>DSUM($B$53:$Y$55,L$53,$B$62:$C70)</f>
        <v>0.13540415049179771</v>
      </c>
      <c r="M70" s="93">
        <f>DSUM($B$53:$Y$55,M$53,$B$62:$C70)</f>
        <v>0.15270079903086023</v>
      </c>
      <c r="N70" s="93">
        <f>DSUM($B$53:$Y$55,N$53,$B$62:$C70)</f>
        <v>0.16941461544494188</v>
      </c>
      <c r="O70" s="93">
        <f>DSUM($B$53:$Y$55,O$53,$B$62:$C70)</f>
        <v>0.18572454225106977</v>
      </c>
      <c r="P70" s="93">
        <f>DSUM($B$53:$Y$55,P$53,$B$62:$C70)</f>
        <v>0.21396590138931457</v>
      </c>
      <c r="Q70" s="93">
        <f>DSUM($B$53:$Y$55,Q$53,$B$62:$C70)</f>
        <v>0.23536110790359388</v>
      </c>
      <c r="R70" s="93">
        <f>DSUM($B$53:$Y$55,R$53,$B$62:$C70)</f>
        <v>0.2277519066393428</v>
      </c>
      <c r="S70" s="93">
        <f>DSUM($B$53:$Y$55,S$53,$B$62:$C70)</f>
        <v>0.24154125908429405</v>
      </c>
      <c r="T70" s="93">
        <f>DSUM($B$53:$Y$55,T$53,$B$62:$C70)</f>
        <v>0.23525279103135455</v>
      </c>
      <c r="U70" s="93">
        <f>DSUM($B$53:$Y$55,U$53,$B$62:$C70)</f>
        <v>0.23131368063533228</v>
      </c>
      <c r="V70" s="93">
        <f>DSUM($B$53:$Y$55,V$53,$B$62:$C70)</f>
        <v>0.22019170410756517</v>
      </c>
      <c r="W70" s="93">
        <f>DSUM($B$53:$Y$55,W$53,$B$62:$C70)</f>
        <v>0.21597913668066065</v>
      </c>
      <c r="X70" s="93">
        <f>DSUM($B$53:$Y$55,X$53,$B$62:$C70)</f>
        <v>0.2186286882634618</v>
      </c>
      <c r="Y70" s="45">
        <f>DSUM($B$53:$Y$55,Y$53,$B$62:$C70)</f>
        <v>3.3822770456856448</v>
      </c>
      <c r="AA70" s="24"/>
      <c r="AB70" s="24"/>
      <c r="AC70" s="24"/>
    </row>
    <row r="71" spans="1:29">
      <c r="A71" s="24" t="s">
        <v>92</v>
      </c>
      <c r="B71" s="92" t="s">
        <v>93</v>
      </c>
      <c r="C71" s="92" t="s">
        <v>94</v>
      </c>
      <c r="D71" s="92"/>
      <c r="E71" s="93">
        <f>DSUM($B$53:$Y$55,E$53,$B$62:$C71)</f>
        <v>5.8579100721019552E-2</v>
      </c>
      <c r="F71" s="93">
        <f>DSUM($B$53:$Y$55,F$53,$B$62:$C71)</f>
        <v>8.6108356493609053E-2</v>
      </c>
      <c r="G71" s="93">
        <f>DSUM($B$53:$Y$55,G$53,$B$62:$C71)</f>
        <v>9.6155055834682229E-2</v>
      </c>
      <c r="H71" s="93">
        <f>DSUM($B$53:$Y$55,H$53,$B$62:$C71)</f>
        <v>0.1124762743357684</v>
      </c>
      <c r="I71" s="93">
        <f>DSUM($B$53:$Y$55,I$53,$B$62:$C71)</f>
        <v>0.10855836952869645</v>
      </c>
      <c r="J71" s="93">
        <f>DSUM($B$53:$Y$55,J$53,$B$62:$C71)</f>
        <v>0.10881933609519039</v>
      </c>
      <c r="K71" s="93">
        <f>DSUM($B$53:$Y$55,K$53,$B$62:$C71)</f>
        <v>0.12835026972308941</v>
      </c>
      <c r="L71" s="93">
        <f>DSUM($B$53:$Y$55,L$53,$B$62:$C71)</f>
        <v>0.13540415049179771</v>
      </c>
      <c r="M71" s="93">
        <f>DSUM($B$53:$Y$55,M$53,$B$62:$C71)</f>
        <v>0.15270079903086023</v>
      </c>
      <c r="N71" s="93">
        <f>DSUM($B$53:$Y$55,N$53,$B$62:$C71)</f>
        <v>0.16941461544494188</v>
      </c>
      <c r="O71" s="93">
        <f>DSUM($B$53:$Y$55,O$53,$B$62:$C71)</f>
        <v>0.18572454225106977</v>
      </c>
      <c r="P71" s="93">
        <f>DSUM($B$53:$Y$55,P$53,$B$62:$C71)</f>
        <v>0.21396590138931457</v>
      </c>
      <c r="Q71" s="93">
        <f>DSUM($B$53:$Y$55,Q$53,$B$62:$C71)</f>
        <v>0.23536110790359388</v>
      </c>
      <c r="R71" s="93">
        <f>DSUM($B$53:$Y$55,R$53,$B$62:$C71)</f>
        <v>0.2277519066393428</v>
      </c>
      <c r="S71" s="93">
        <f>DSUM($B$53:$Y$55,S$53,$B$62:$C71)</f>
        <v>0.24154125908429405</v>
      </c>
      <c r="T71" s="93">
        <f>DSUM($B$53:$Y$55,T$53,$B$62:$C71)</f>
        <v>0.23525279103135455</v>
      </c>
      <c r="U71" s="93">
        <f>DSUM($B$53:$Y$55,U$53,$B$62:$C71)</f>
        <v>0.23131368063533228</v>
      </c>
      <c r="V71" s="93">
        <f>DSUM($B$53:$Y$55,V$53,$B$62:$C71)</f>
        <v>0.22019170410756517</v>
      </c>
      <c r="W71" s="93">
        <f>DSUM($B$53:$Y$55,W$53,$B$62:$C71)</f>
        <v>0.21597913668066065</v>
      </c>
      <c r="X71" s="93">
        <f>DSUM($B$53:$Y$55,X$53,$B$62:$C71)</f>
        <v>0.2186286882634618</v>
      </c>
      <c r="Y71" s="45">
        <f>DSUM($B$53:$Y$55,Y$53,$B$62:$C71)</f>
        <v>3.3822770456856448</v>
      </c>
      <c r="AA71" s="24"/>
      <c r="AB71" s="24"/>
      <c r="AC71" s="24"/>
    </row>
    <row r="72" spans="1:29">
      <c r="A72" s="24" t="s">
        <v>95</v>
      </c>
      <c r="B72" s="92" t="s">
        <v>96</v>
      </c>
      <c r="C72" s="92" t="s">
        <v>97</v>
      </c>
      <c r="D72" s="92"/>
      <c r="E72" s="93">
        <f>DSUM($B$53:$Y$55,E$53,$B$62:$C72)</f>
        <v>5.8579100721019552E-2</v>
      </c>
      <c r="F72" s="93">
        <f>DSUM($B$53:$Y$55,F$53,$B$62:$C72)</f>
        <v>8.6108356493609053E-2</v>
      </c>
      <c r="G72" s="93">
        <f>DSUM($B$53:$Y$55,G$53,$B$62:$C72)</f>
        <v>9.6155055834682229E-2</v>
      </c>
      <c r="H72" s="93">
        <f>DSUM($B$53:$Y$55,H$53,$B$62:$C72)</f>
        <v>0.1124762743357684</v>
      </c>
      <c r="I72" s="93">
        <f>DSUM($B$53:$Y$55,I$53,$B$62:$C72)</f>
        <v>0.10855836952869645</v>
      </c>
      <c r="J72" s="93">
        <f>DSUM($B$53:$Y$55,J$53,$B$62:$C72)</f>
        <v>0.10881933609519039</v>
      </c>
      <c r="K72" s="93">
        <f>DSUM($B$53:$Y$55,K$53,$B$62:$C72)</f>
        <v>0.12835026972308941</v>
      </c>
      <c r="L72" s="93">
        <f>DSUM($B$53:$Y$55,L$53,$B$62:$C72)</f>
        <v>0.13540415049179771</v>
      </c>
      <c r="M72" s="93">
        <f>DSUM($B$53:$Y$55,M$53,$B$62:$C72)</f>
        <v>0.15270079903086023</v>
      </c>
      <c r="N72" s="93">
        <f>DSUM($B$53:$Y$55,N$53,$B$62:$C72)</f>
        <v>0.16941461544494188</v>
      </c>
      <c r="O72" s="93">
        <f>DSUM($B$53:$Y$55,O$53,$B$62:$C72)</f>
        <v>0.18572454225106977</v>
      </c>
      <c r="P72" s="93">
        <f>DSUM($B$53:$Y$55,P$53,$B$62:$C72)</f>
        <v>0.21396590138931457</v>
      </c>
      <c r="Q72" s="93">
        <f>DSUM($B$53:$Y$55,Q$53,$B$62:$C72)</f>
        <v>0.23536110790359388</v>
      </c>
      <c r="R72" s="93">
        <f>DSUM($B$53:$Y$55,R$53,$B$62:$C72)</f>
        <v>0.2277519066393428</v>
      </c>
      <c r="S72" s="93">
        <f>DSUM($B$53:$Y$55,S$53,$B$62:$C72)</f>
        <v>0.24154125908429405</v>
      </c>
      <c r="T72" s="93">
        <f>DSUM($B$53:$Y$55,T$53,$B$62:$C72)</f>
        <v>0.23525279103135455</v>
      </c>
      <c r="U72" s="93">
        <f>DSUM($B$53:$Y$55,U$53,$B$62:$C72)</f>
        <v>0.23131368063533228</v>
      </c>
      <c r="V72" s="93">
        <f>DSUM($B$53:$Y$55,V$53,$B$62:$C72)</f>
        <v>0.22019170410756517</v>
      </c>
      <c r="W72" s="93">
        <f>DSUM($B$53:$Y$55,W$53,$B$62:$C72)</f>
        <v>0.21597913668066065</v>
      </c>
      <c r="X72" s="93">
        <f>DSUM($B$53:$Y$55,X$53,$B$62:$C72)</f>
        <v>0.2186286882634618</v>
      </c>
      <c r="Y72" s="45">
        <f>DSUM($B$53:$Y$55,Y$53,$B$62:$C72)</f>
        <v>3.3822770456856448</v>
      </c>
      <c r="AA72" s="24"/>
      <c r="AB72" s="24"/>
      <c r="AC72" s="24"/>
    </row>
    <row r="73" spans="1:29">
      <c r="A73" s="24" t="s">
        <v>98</v>
      </c>
      <c r="B73" s="92" t="s">
        <v>99</v>
      </c>
      <c r="C73" s="92" t="s">
        <v>100</v>
      </c>
      <c r="D73" s="92"/>
      <c r="E73" s="93">
        <f>DSUM($B$53:$Y$55,E$53,$B$62:$C73)</f>
        <v>5.8579100721019552E-2</v>
      </c>
      <c r="F73" s="93">
        <f>DSUM($B$53:$Y$55,F$53,$B$62:$C73)</f>
        <v>8.6108356493609053E-2</v>
      </c>
      <c r="G73" s="93">
        <f>DSUM($B$53:$Y$55,G$53,$B$62:$C73)</f>
        <v>9.6155055834682229E-2</v>
      </c>
      <c r="H73" s="93">
        <f>DSUM($B$53:$Y$55,H$53,$B$62:$C73)</f>
        <v>0.1124762743357684</v>
      </c>
      <c r="I73" s="93">
        <f>DSUM($B$53:$Y$55,I$53,$B$62:$C73)</f>
        <v>0.10855836952869645</v>
      </c>
      <c r="J73" s="93">
        <f>DSUM($B$53:$Y$55,J$53,$B$62:$C73)</f>
        <v>0.10881933609519039</v>
      </c>
      <c r="K73" s="93">
        <f>DSUM($B$53:$Y$55,K$53,$B$62:$C73)</f>
        <v>0.12835026972308941</v>
      </c>
      <c r="L73" s="93">
        <f>DSUM($B$53:$Y$55,L$53,$B$62:$C73)</f>
        <v>0.13540415049179771</v>
      </c>
      <c r="M73" s="93">
        <f>DSUM($B$53:$Y$55,M$53,$B$62:$C73)</f>
        <v>0.15270079903086023</v>
      </c>
      <c r="N73" s="93">
        <f>DSUM($B$53:$Y$55,N$53,$B$62:$C73)</f>
        <v>0.16941461544494188</v>
      </c>
      <c r="O73" s="93">
        <f>DSUM($B$53:$Y$55,O$53,$B$62:$C73)</f>
        <v>0.18572454225106977</v>
      </c>
      <c r="P73" s="93">
        <f>DSUM($B$53:$Y$55,P$53,$B$62:$C73)</f>
        <v>0.21396590138931457</v>
      </c>
      <c r="Q73" s="93">
        <f>DSUM($B$53:$Y$55,Q$53,$B$62:$C73)</f>
        <v>0.23536110790359388</v>
      </c>
      <c r="R73" s="93">
        <f>DSUM($B$53:$Y$55,R$53,$B$62:$C73)</f>
        <v>0.2277519066393428</v>
      </c>
      <c r="S73" s="93">
        <f>DSUM($B$53:$Y$55,S$53,$B$62:$C73)</f>
        <v>0.24154125908429405</v>
      </c>
      <c r="T73" s="93">
        <f>DSUM($B$53:$Y$55,T$53,$B$62:$C73)</f>
        <v>0.23525279103135455</v>
      </c>
      <c r="U73" s="93">
        <f>DSUM($B$53:$Y$55,U$53,$B$62:$C73)</f>
        <v>0.23131368063533228</v>
      </c>
      <c r="V73" s="93">
        <f>DSUM($B$53:$Y$55,V$53,$B$62:$C73)</f>
        <v>0.22019170410756517</v>
      </c>
      <c r="W73" s="93">
        <f>DSUM($B$53:$Y$55,W$53,$B$62:$C73)</f>
        <v>0.21597913668066065</v>
      </c>
      <c r="X73" s="93">
        <f>DSUM($B$53:$Y$55,X$53,$B$62:$C73)</f>
        <v>0.2186286882634618</v>
      </c>
      <c r="Y73" s="45">
        <f>DSUM($B$53:$Y$55,Y$53,$B$62:$C73)</f>
        <v>3.3822770456856448</v>
      </c>
      <c r="AA73" s="24"/>
      <c r="AB73" s="24"/>
      <c r="AC73" s="24"/>
    </row>
    <row r="74" spans="1:29">
      <c r="A74" s="24" t="s">
        <v>101</v>
      </c>
      <c r="B74" s="92" t="s">
        <v>102</v>
      </c>
      <c r="C74" s="92" t="s">
        <v>103</v>
      </c>
      <c r="D74" s="92"/>
      <c r="E74" s="93">
        <f>DSUM($B$53:$Y$55,E$53,$B$62:$C74)</f>
        <v>5.8579100721019552E-2</v>
      </c>
      <c r="F74" s="93">
        <f>DSUM($B$53:$Y$55,F$53,$B$62:$C74)</f>
        <v>8.6108356493609053E-2</v>
      </c>
      <c r="G74" s="93">
        <f>DSUM($B$53:$Y$55,G$53,$B$62:$C74)</f>
        <v>9.6155055834682229E-2</v>
      </c>
      <c r="H74" s="93">
        <f>DSUM($B$53:$Y$55,H$53,$B$62:$C74)</f>
        <v>0.1124762743357684</v>
      </c>
      <c r="I74" s="93">
        <f>DSUM($B$53:$Y$55,I$53,$B$62:$C74)</f>
        <v>0.10855836952869645</v>
      </c>
      <c r="J74" s="93">
        <f>DSUM($B$53:$Y$55,J$53,$B$62:$C74)</f>
        <v>0.10881933609519039</v>
      </c>
      <c r="K74" s="93">
        <f>DSUM($B$53:$Y$55,K$53,$B$62:$C74)</f>
        <v>0.12835026972308941</v>
      </c>
      <c r="L74" s="93">
        <f>DSUM($B$53:$Y$55,L$53,$B$62:$C74)</f>
        <v>0.13540415049179771</v>
      </c>
      <c r="M74" s="93">
        <f>DSUM($B$53:$Y$55,M$53,$B$62:$C74)</f>
        <v>0.15270079903086023</v>
      </c>
      <c r="N74" s="93">
        <f>DSUM($B$53:$Y$55,N$53,$B$62:$C74)</f>
        <v>0.16941461544494188</v>
      </c>
      <c r="O74" s="93">
        <f>DSUM($B$53:$Y$55,O$53,$B$62:$C74)</f>
        <v>0.18572454225106977</v>
      </c>
      <c r="P74" s="93">
        <f>DSUM($B$53:$Y$55,P$53,$B$62:$C74)</f>
        <v>0.21396590138931457</v>
      </c>
      <c r="Q74" s="93">
        <f>DSUM($B$53:$Y$55,Q$53,$B$62:$C74)</f>
        <v>0.23536110790359388</v>
      </c>
      <c r="R74" s="93">
        <f>DSUM($B$53:$Y$55,R$53,$B$62:$C74)</f>
        <v>0.2277519066393428</v>
      </c>
      <c r="S74" s="93">
        <f>DSUM($B$53:$Y$55,S$53,$B$62:$C74)</f>
        <v>0.24154125908429405</v>
      </c>
      <c r="T74" s="93">
        <f>DSUM($B$53:$Y$55,T$53,$B$62:$C74)</f>
        <v>0.23525279103135455</v>
      </c>
      <c r="U74" s="93">
        <f>DSUM($B$53:$Y$55,U$53,$B$62:$C74)</f>
        <v>0.23131368063533228</v>
      </c>
      <c r="V74" s="93">
        <f>DSUM($B$53:$Y$55,V$53,$B$62:$C74)</f>
        <v>0.22019170410756517</v>
      </c>
      <c r="W74" s="93">
        <f>DSUM($B$53:$Y$55,W$53,$B$62:$C74)</f>
        <v>0.21597913668066065</v>
      </c>
      <c r="X74" s="93">
        <f>DSUM($B$53:$Y$55,X$53,$B$62:$C74)</f>
        <v>0.2186286882634618</v>
      </c>
      <c r="Y74" s="45">
        <f>DSUM($B$53:$Y$55,Y$53,$B$62:$C74)</f>
        <v>3.3822770456856448</v>
      </c>
      <c r="AA74" s="24"/>
      <c r="AB74" s="24"/>
      <c r="AC74" s="24"/>
    </row>
    <row r="75" spans="1:29">
      <c r="A75" s="24" t="s">
        <v>104</v>
      </c>
      <c r="B75" s="92" t="s">
        <v>105</v>
      </c>
      <c r="C75" s="92" t="s">
        <v>106</v>
      </c>
      <c r="D75" s="92"/>
      <c r="E75" s="93">
        <f>DSUM($B$53:$Y$55,E$53,$B$62:$C75)</f>
        <v>5.8579100721019552E-2</v>
      </c>
      <c r="F75" s="93">
        <f>DSUM($B$53:$Y$55,F$53,$B$62:$C75)</f>
        <v>8.6108356493609053E-2</v>
      </c>
      <c r="G75" s="93">
        <f>DSUM($B$53:$Y$55,G$53,$B$62:$C75)</f>
        <v>9.6155055834682229E-2</v>
      </c>
      <c r="H75" s="93">
        <f>DSUM($B$53:$Y$55,H$53,$B$62:$C75)</f>
        <v>0.1124762743357684</v>
      </c>
      <c r="I75" s="93">
        <f>DSUM($B$53:$Y$55,I$53,$B$62:$C75)</f>
        <v>0.10855836952869645</v>
      </c>
      <c r="J75" s="93">
        <f>DSUM($B$53:$Y$55,J$53,$B$62:$C75)</f>
        <v>0.10881933609519039</v>
      </c>
      <c r="K75" s="93">
        <f>DSUM($B$53:$Y$55,K$53,$B$62:$C75)</f>
        <v>0.12835026972308941</v>
      </c>
      <c r="L75" s="93">
        <f>DSUM($B$53:$Y$55,L$53,$B$62:$C75)</f>
        <v>0.13540415049179771</v>
      </c>
      <c r="M75" s="93">
        <f>DSUM($B$53:$Y$55,M$53,$B$62:$C75)</f>
        <v>0.15270079903086023</v>
      </c>
      <c r="N75" s="93">
        <f>DSUM($B$53:$Y$55,N$53,$B$62:$C75)</f>
        <v>0.16941461544494188</v>
      </c>
      <c r="O75" s="93">
        <f>DSUM($B$53:$Y$55,O$53,$B$62:$C75)</f>
        <v>0.18572454225106977</v>
      </c>
      <c r="P75" s="93">
        <f>DSUM($B$53:$Y$55,P$53,$B$62:$C75)</f>
        <v>0.21396590138931457</v>
      </c>
      <c r="Q75" s="93">
        <f>DSUM($B$53:$Y$55,Q$53,$B$62:$C75)</f>
        <v>0.23536110790359388</v>
      </c>
      <c r="R75" s="93">
        <f>DSUM($B$53:$Y$55,R$53,$B$62:$C75)</f>
        <v>0.2277519066393428</v>
      </c>
      <c r="S75" s="93">
        <f>DSUM($B$53:$Y$55,S$53,$B$62:$C75)</f>
        <v>0.24154125908429405</v>
      </c>
      <c r="T75" s="93">
        <f>DSUM($B$53:$Y$55,T$53,$B$62:$C75)</f>
        <v>0.23525279103135455</v>
      </c>
      <c r="U75" s="93">
        <f>DSUM($B$53:$Y$55,U$53,$B$62:$C75)</f>
        <v>0.23131368063533228</v>
      </c>
      <c r="V75" s="93">
        <f>DSUM($B$53:$Y$55,V$53,$B$62:$C75)</f>
        <v>0.22019170410756517</v>
      </c>
      <c r="W75" s="93">
        <f>DSUM($B$53:$Y$55,W$53,$B$62:$C75)</f>
        <v>0.21597913668066065</v>
      </c>
      <c r="X75" s="93">
        <f>DSUM($B$53:$Y$55,X$53,$B$62:$C75)</f>
        <v>0.2186286882634618</v>
      </c>
      <c r="Y75" s="45">
        <f>DSUM($B$53:$Y$55,Y$53,$B$62:$C75)</f>
        <v>3.3822770456856448</v>
      </c>
      <c r="AA75" s="24"/>
      <c r="AB75" s="24"/>
      <c r="AC75" s="24"/>
    </row>
    <row r="76" spans="1:29">
      <c r="A76" s="24" t="s">
        <v>107</v>
      </c>
      <c r="B76" s="92" t="s">
        <v>108</v>
      </c>
      <c r="C76" s="92" t="s">
        <v>109</v>
      </c>
      <c r="D76" s="92"/>
      <c r="E76" s="93">
        <f>DSUM($B$53:$Y$55,E$53,$B$62:$C76)</f>
        <v>5.8579100721019552E-2</v>
      </c>
      <c r="F76" s="93">
        <f>DSUM($B$53:$Y$55,F$53,$B$62:$C76)</f>
        <v>8.6108356493609053E-2</v>
      </c>
      <c r="G76" s="93">
        <f>DSUM($B$53:$Y$55,G$53,$B$62:$C76)</f>
        <v>9.6155055834682229E-2</v>
      </c>
      <c r="H76" s="93">
        <f>DSUM($B$53:$Y$55,H$53,$B$62:$C76)</f>
        <v>0.1124762743357684</v>
      </c>
      <c r="I76" s="93">
        <f>DSUM($B$53:$Y$55,I$53,$B$62:$C76)</f>
        <v>0.10855836952869645</v>
      </c>
      <c r="J76" s="93">
        <f>DSUM($B$53:$Y$55,J$53,$B$62:$C76)</f>
        <v>0.10881933609519039</v>
      </c>
      <c r="K76" s="93">
        <f>DSUM($B$53:$Y$55,K$53,$B$62:$C76)</f>
        <v>0.12835026972308941</v>
      </c>
      <c r="L76" s="93">
        <f>DSUM($B$53:$Y$55,L$53,$B$62:$C76)</f>
        <v>0.13540415049179771</v>
      </c>
      <c r="M76" s="93">
        <f>DSUM($B$53:$Y$55,M$53,$B$62:$C76)</f>
        <v>0.15270079903086023</v>
      </c>
      <c r="N76" s="93">
        <f>DSUM($B$53:$Y$55,N$53,$B$62:$C76)</f>
        <v>0.16941461544494188</v>
      </c>
      <c r="O76" s="93">
        <f>DSUM($B$53:$Y$55,O$53,$B$62:$C76)</f>
        <v>0.18572454225106977</v>
      </c>
      <c r="P76" s="93">
        <f>DSUM($B$53:$Y$55,P$53,$B$62:$C76)</f>
        <v>0.21396590138931457</v>
      </c>
      <c r="Q76" s="93">
        <f>DSUM($B$53:$Y$55,Q$53,$B$62:$C76)</f>
        <v>0.23536110790359388</v>
      </c>
      <c r="R76" s="93">
        <f>DSUM($B$53:$Y$55,R$53,$B$62:$C76)</f>
        <v>0.2277519066393428</v>
      </c>
      <c r="S76" s="93">
        <f>DSUM($B$53:$Y$55,S$53,$B$62:$C76)</f>
        <v>0.24154125908429405</v>
      </c>
      <c r="T76" s="93">
        <f>DSUM($B$53:$Y$55,T$53,$B$62:$C76)</f>
        <v>0.23525279103135455</v>
      </c>
      <c r="U76" s="93">
        <f>DSUM($B$53:$Y$55,U$53,$B$62:$C76)</f>
        <v>0.23131368063533228</v>
      </c>
      <c r="V76" s="93">
        <f>DSUM($B$53:$Y$55,V$53,$B$62:$C76)</f>
        <v>0.22019170410756517</v>
      </c>
      <c r="W76" s="93">
        <f>DSUM($B$53:$Y$55,W$53,$B$62:$C76)</f>
        <v>0.21597913668066065</v>
      </c>
      <c r="X76" s="93">
        <f>DSUM($B$53:$Y$55,X$53,$B$62:$C76)</f>
        <v>0.2186286882634618</v>
      </c>
      <c r="Y76" s="45">
        <f>DSUM($B$53:$Y$55,Y$53,$B$62:$C76)</f>
        <v>3.3822770456856448</v>
      </c>
      <c r="AA76" s="24"/>
      <c r="AB76" s="24"/>
      <c r="AC76" s="24"/>
    </row>
    <row r="77" spans="1:29">
      <c r="A77" s="24" t="s">
        <v>110</v>
      </c>
      <c r="B77" s="92" t="s">
        <v>111</v>
      </c>
      <c r="C77" s="92" t="s">
        <v>112</v>
      </c>
      <c r="D77" s="92"/>
      <c r="E77" s="93">
        <f>DSUM($B$53:$Y$55,E$53,$B$62:$C77)</f>
        <v>5.8579100721019552E-2</v>
      </c>
      <c r="F77" s="93">
        <f>DSUM($B$53:$Y$55,F$53,$B$62:$C77)</f>
        <v>8.6108356493609053E-2</v>
      </c>
      <c r="G77" s="93">
        <f>DSUM($B$53:$Y$55,G$53,$B$62:$C77)</f>
        <v>9.6155055834682229E-2</v>
      </c>
      <c r="H77" s="93">
        <f>DSUM($B$53:$Y$55,H$53,$B$62:$C77)</f>
        <v>0.1124762743357684</v>
      </c>
      <c r="I77" s="93">
        <f>DSUM($B$53:$Y$55,I$53,$B$62:$C77)</f>
        <v>0.10855836952869645</v>
      </c>
      <c r="J77" s="93">
        <f>DSUM($B$53:$Y$55,J$53,$B$62:$C77)</f>
        <v>0.10881933609519039</v>
      </c>
      <c r="K77" s="93">
        <f>DSUM($B$53:$Y$55,K$53,$B$62:$C77)</f>
        <v>0.12835026972308941</v>
      </c>
      <c r="L77" s="93">
        <f>DSUM($B$53:$Y$55,L$53,$B$62:$C77)</f>
        <v>0.13540415049179771</v>
      </c>
      <c r="M77" s="93">
        <f>DSUM($B$53:$Y$55,M$53,$B$62:$C77)</f>
        <v>0.15270079903086023</v>
      </c>
      <c r="N77" s="93">
        <f>DSUM($B$53:$Y$55,N$53,$B$62:$C77)</f>
        <v>0.16941461544494188</v>
      </c>
      <c r="O77" s="93">
        <f>DSUM($B$53:$Y$55,O$53,$B$62:$C77)</f>
        <v>0.18572454225106977</v>
      </c>
      <c r="P77" s="93">
        <f>DSUM($B$53:$Y$55,P$53,$B$62:$C77)</f>
        <v>0.21396590138931457</v>
      </c>
      <c r="Q77" s="93">
        <f>DSUM($B$53:$Y$55,Q$53,$B$62:$C77)</f>
        <v>0.23536110790359388</v>
      </c>
      <c r="R77" s="93">
        <f>DSUM($B$53:$Y$55,R$53,$B$62:$C77)</f>
        <v>0.2277519066393428</v>
      </c>
      <c r="S77" s="93">
        <f>DSUM($B$53:$Y$55,S$53,$B$62:$C77)</f>
        <v>0.24154125908429405</v>
      </c>
      <c r="T77" s="93">
        <f>DSUM($B$53:$Y$55,T$53,$B$62:$C77)</f>
        <v>0.23525279103135455</v>
      </c>
      <c r="U77" s="93">
        <f>DSUM($B$53:$Y$55,U$53,$B$62:$C77)</f>
        <v>0.23131368063533228</v>
      </c>
      <c r="V77" s="93">
        <f>DSUM($B$53:$Y$55,V$53,$B$62:$C77)</f>
        <v>0.22019170410756517</v>
      </c>
      <c r="W77" s="93">
        <f>DSUM($B$53:$Y$55,W$53,$B$62:$C77)</f>
        <v>0.21597913668066065</v>
      </c>
      <c r="X77" s="93">
        <f>DSUM($B$53:$Y$55,X$53,$B$62:$C77)</f>
        <v>0.2186286882634618</v>
      </c>
      <c r="Y77" s="45">
        <f>DSUM($B$53:$Y$55,Y$53,$B$62:$C77)</f>
        <v>3.3822770456856448</v>
      </c>
      <c r="AA77" s="24"/>
      <c r="AB77" s="24"/>
      <c r="AC77" s="24"/>
    </row>
    <row r="78" spans="1:29">
      <c r="A78" s="24" t="s">
        <v>113</v>
      </c>
      <c r="B78" s="92" t="s">
        <v>114</v>
      </c>
      <c r="C78" s="92" t="s">
        <v>115</v>
      </c>
      <c r="D78" s="92"/>
      <c r="E78" s="93">
        <f>DSUM($B$53:$Y$55,E$53,$B$62:$C78)</f>
        <v>5.8579100721019552E-2</v>
      </c>
      <c r="F78" s="93">
        <f>DSUM($B$53:$Y$55,F$53,$B$62:$C78)</f>
        <v>8.6108356493609053E-2</v>
      </c>
      <c r="G78" s="93">
        <f>DSUM($B$53:$Y$55,G$53,$B$62:$C78)</f>
        <v>9.6155055834682229E-2</v>
      </c>
      <c r="H78" s="93">
        <f>DSUM($B$53:$Y$55,H$53,$B$62:$C78)</f>
        <v>0.1124762743357684</v>
      </c>
      <c r="I78" s="93">
        <f>DSUM($B$53:$Y$55,I$53,$B$62:$C78)</f>
        <v>0.10855836952869645</v>
      </c>
      <c r="J78" s="93">
        <f>DSUM($B$53:$Y$55,J$53,$B$62:$C78)</f>
        <v>0.10881933609519039</v>
      </c>
      <c r="K78" s="93">
        <f>DSUM($B$53:$Y$55,K$53,$B$62:$C78)</f>
        <v>0.12835026972308941</v>
      </c>
      <c r="L78" s="93">
        <f>DSUM($B$53:$Y$55,L$53,$B$62:$C78)</f>
        <v>0.13540415049179771</v>
      </c>
      <c r="M78" s="93">
        <f>DSUM($B$53:$Y$55,M$53,$B$62:$C78)</f>
        <v>0.15270079903086023</v>
      </c>
      <c r="N78" s="93">
        <f>DSUM($B$53:$Y$55,N$53,$B$62:$C78)</f>
        <v>0.16941461544494188</v>
      </c>
      <c r="O78" s="93">
        <f>DSUM($B$53:$Y$55,O$53,$B$62:$C78)</f>
        <v>0.18572454225106977</v>
      </c>
      <c r="P78" s="93">
        <f>DSUM($B$53:$Y$55,P$53,$B$62:$C78)</f>
        <v>0.21396590138931457</v>
      </c>
      <c r="Q78" s="93">
        <f>DSUM($B$53:$Y$55,Q$53,$B$62:$C78)</f>
        <v>0.23536110790359388</v>
      </c>
      <c r="R78" s="93">
        <f>DSUM($B$53:$Y$55,R$53,$B$62:$C78)</f>
        <v>0.2277519066393428</v>
      </c>
      <c r="S78" s="93">
        <f>DSUM($B$53:$Y$55,S$53,$B$62:$C78)</f>
        <v>0.24154125908429405</v>
      </c>
      <c r="T78" s="93">
        <f>DSUM($B$53:$Y$55,T$53,$B$62:$C78)</f>
        <v>0.23525279103135455</v>
      </c>
      <c r="U78" s="93">
        <f>DSUM($B$53:$Y$55,U$53,$B$62:$C78)</f>
        <v>0.23131368063533228</v>
      </c>
      <c r="V78" s="93">
        <f>DSUM($B$53:$Y$55,V$53,$B$62:$C78)</f>
        <v>0.22019170410756517</v>
      </c>
      <c r="W78" s="93">
        <f>DSUM($B$53:$Y$55,W$53,$B$62:$C78)</f>
        <v>0.21597913668066065</v>
      </c>
      <c r="X78" s="93">
        <f>DSUM($B$53:$Y$55,X$53,$B$62:$C78)</f>
        <v>0.2186286882634618</v>
      </c>
      <c r="Y78" s="45">
        <f>DSUM($B$53:$Y$55,Y$53,$B$62:$C78)</f>
        <v>3.3822770456856448</v>
      </c>
      <c r="AA78" s="24"/>
      <c r="AB78" s="24"/>
      <c r="AC78" s="24"/>
    </row>
    <row r="79" spans="1:29">
      <c r="A79" s="24" t="s">
        <v>116</v>
      </c>
      <c r="B79" s="92" t="s">
        <v>117</v>
      </c>
      <c r="C79" s="92" t="s">
        <v>118</v>
      </c>
      <c r="D79" s="92"/>
      <c r="E79" s="93">
        <f>DSUM($B$53:$Y$55,E$53,$B$62:$C79)</f>
        <v>5.8579100721019552E-2</v>
      </c>
      <c r="F79" s="93">
        <f>DSUM($B$53:$Y$55,F$53,$B$62:$C79)</f>
        <v>8.6108356493609053E-2</v>
      </c>
      <c r="G79" s="93">
        <f>DSUM($B$53:$Y$55,G$53,$B$62:$C79)</f>
        <v>9.6155055834682229E-2</v>
      </c>
      <c r="H79" s="93">
        <f>DSUM($B$53:$Y$55,H$53,$B$62:$C79)</f>
        <v>0.1124762743357684</v>
      </c>
      <c r="I79" s="93">
        <f>DSUM($B$53:$Y$55,I$53,$B$62:$C79)</f>
        <v>0.10855836952869645</v>
      </c>
      <c r="J79" s="93">
        <f>DSUM($B$53:$Y$55,J$53,$B$62:$C79)</f>
        <v>0.10881933609519039</v>
      </c>
      <c r="K79" s="93">
        <f>DSUM($B$53:$Y$55,K$53,$B$62:$C79)</f>
        <v>0.12835026972308941</v>
      </c>
      <c r="L79" s="93">
        <f>DSUM($B$53:$Y$55,L$53,$B$62:$C79)</f>
        <v>0.13540415049179771</v>
      </c>
      <c r="M79" s="93">
        <f>DSUM($B$53:$Y$55,M$53,$B$62:$C79)</f>
        <v>0.15270079903086023</v>
      </c>
      <c r="N79" s="93">
        <f>DSUM($B$53:$Y$55,N$53,$B$62:$C79)</f>
        <v>0.16941461544494188</v>
      </c>
      <c r="O79" s="93">
        <f>DSUM($B$53:$Y$55,O$53,$B$62:$C79)</f>
        <v>0.18572454225106977</v>
      </c>
      <c r="P79" s="93">
        <f>DSUM($B$53:$Y$55,P$53,$B$62:$C79)</f>
        <v>0.21396590138931457</v>
      </c>
      <c r="Q79" s="93">
        <f>DSUM($B$53:$Y$55,Q$53,$B$62:$C79)</f>
        <v>0.23536110790359388</v>
      </c>
      <c r="R79" s="93">
        <f>DSUM($B$53:$Y$55,R$53,$B$62:$C79)</f>
        <v>0.2277519066393428</v>
      </c>
      <c r="S79" s="93">
        <f>DSUM($B$53:$Y$55,S$53,$B$62:$C79)</f>
        <v>0.24154125908429405</v>
      </c>
      <c r="T79" s="93">
        <f>DSUM($B$53:$Y$55,T$53,$B$62:$C79)</f>
        <v>0.23525279103135455</v>
      </c>
      <c r="U79" s="93">
        <f>DSUM($B$53:$Y$55,U$53,$B$62:$C79)</f>
        <v>0.23131368063533228</v>
      </c>
      <c r="V79" s="93">
        <f>DSUM($B$53:$Y$55,V$53,$B$62:$C79)</f>
        <v>0.22019170410756517</v>
      </c>
      <c r="W79" s="93">
        <f>DSUM($B$53:$Y$55,W$53,$B$62:$C79)</f>
        <v>0.21597913668066065</v>
      </c>
      <c r="X79" s="93">
        <f>DSUM($B$53:$Y$55,X$53,$B$62:$C79)</f>
        <v>0.2186286882634618</v>
      </c>
      <c r="Y79" s="45">
        <f>DSUM($B$53:$Y$55,Y$53,$B$62:$C79)</f>
        <v>3.3822770456856448</v>
      </c>
      <c r="AA79" s="24"/>
      <c r="AB79" s="24"/>
      <c r="AC79" s="24"/>
    </row>
    <row r="80" spans="1:29">
      <c r="A80" s="24" t="s">
        <v>119</v>
      </c>
      <c r="B80" s="92" t="s">
        <v>120</v>
      </c>
      <c r="C80" s="92" t="s">
        <v>121</v>
      </c>
      <c r="D80" s="92"/>
      <c r="E80" s="93">
        <f>DSUM($B$53:$Y$55,E$53,$B$62:$C80)</f>
        <v>5.8579100721019552E-2</v>
      </c>
      <c r="F80" s="93">
        <f>DSUM($B$53:$Y$55,F$53,$B$62:$C80)</f>
        <v>8.6108356493609053E-2</v>
      </c>
      <c r="G80" s="93">
        <f>DSUM($B$53:$Y$55,G$53,$B$62:$C80)</f>
        <v>9.6155055834682229E-2</v>
      </c>
      <c r="H80" s="93">
        <f>DSUM($B$53:$Y$55,H$53,$B$62:$C80)</f>
        <v>0.1124762743357684</v>
      </c>
      <c r="I80" s="93">
        <f>DSUM($B$53:$Y$55,I$53,$B$62:$C80)</f>
        <v>0.10855836952869645</v>
      </c>
      <c r="J80" s="93">
        <f>DSUM($B$53:$Y$55,J$53,$B$62:$C80)</f>
        <v>0.10881933609519039</v>
      </c>
      <c r="K80" s="93">
        <f>DSUM($B$53:$Y$55,K$53,$B$62:$C80)</f>
        <v>0.12835026972308941</v>
      </c>
      <c r="L80" s="93">
        <f>DSUM($B$53:$Y$55,L$53,$B$62:$C80)</f>
        <v>0.13540415049179771</v>
      </c>
      <c r="M80" s="93">
        <f>DSUM($B$53:$Y$55,M$53,$B$62:$C80)</f>
        <v>0.15270079903086023</v>
      </c>
      <c r="N80" s="93">
        <f>DSUM($B$53:$Y$55,N$53,$B$62:$C80)</f>
        <v>0.16941461544494188</v>
      </c>
      <c r="O80" s="93">
        <f>DSUM($B$53:$Y$55,O$53,$B$62:$C80)</f>
        <v>0.18572454225106977</v>
      </c>
      <c r="P80" s="93">
        <f>DSUM($B$53:$Y$55,P$53,$B$62:$C80)</f>
        <v>0.21396590138931457</v>
      </c>
      <c r="Q80" s="93">
        <f>DSUM($B$53:$Y$55,Q$53,$B$62:$C80)</f>
        <v>0.23536110790359388</v>
      </c>
      <c r="R80" s="93">
        <f>DSUM($B$53:$Y$55,R$53,$B$62:$C80)</f>
        <v>0.2277519066393428</v>
      </c>
      <c r="S80" s="93">
        <f>DSUM($B$53:$Y$55,S$53,$B$62:$C80)</f>
        <v>0.24154125908429405</v>
      </c>
      <c r="T80" s="93">
        <f>DSUM($B$53:$Y$55,T$53,$B$62:$C80)</f>
        <v>0.23525279103135455</v>
      </c>
      <c r="U80" s="93">
        <f>DSUM($B$53:$Y$55,U$53,$B$62:$C80)</f>
        <v>0.23131368063533228</v>
      </c>
      <c r="V80" s="93">
        <f>DSUM($B$53:$Y$55,V$53,$B$62:$C80)</f>
        <v>0.22019170410756517</v>
      </c>
      <c r="W80" s="93">
        <f>DSUM($B$53:$Y$55,W$53,$B$62:$C80)</f>
        <v>0.21597913668066065</v>
      </c>
      <c r="X80" s="93">
        <f>DSUM($B$53:$Y$55,X$53,$B$62:$C80)</f>
        <v>0.2186286882634618</v>
      </c>
      <c r="Y80" s="45">
        <f>DSUM($B$53:$Y$55,Y$53,$B$62:$C80)</f>
        <v>3.3822770456856448</v>
      </c>
      <c r="AA80" s="24"/>
      <c r="AB80" s="24"/>
      <c r="AC80" s="24"/>
    </row>
    <row r="81" spans="1:29">
      <c r="A81" s="24" t="s">
        <v>122</v>
      </c>
      <c r="B81" s="92" t="s">
        <v>123</v>
      </c>
      <c r="C81" s="92" t="s">
        <v>124</v>
      </c>
      <c r="D81" s="92"/>
      <c r="E81" s="93">
        <f>DSUM($B$53:$Y$55,E$53,$B$62:$C81)</f>
        <v>5.8579100721019552E-2</v>
      </c>
      <c r="F81" s="93">
        <f>DSUM($B$53:$Y$55,F$53,$B$62:$C81)</f>
        <v>8.6108356493609053E-2</v>
      </c>
      <c r="G81" s="93">
        <f>DSUM($B$53:$Y$55,G$53,$B$62:$C81)</f>
        <v>9.6155055834682229E-2</v>
      </c>
      <c r="H81" s="93">
        <f>DSUM($B$53:$Y$55,H$53,$B$62:$C81)</f>
        <v>0.1124762743357684</v>
      </c>
      <c r="I81" s="93">
        <f>DSUM($B$53:$Y$55,I$53,$B$62:$C81)</f>
        <v>0.10855836952869645</v>
      </c>
      <c r="J81" s="93">
        <f>DSUM($B$53:$Y$55,J$53,$B$62:$C81)</f>
        <v>0.10881933609519039</v>
      </c>
      <c r="K81" s="93">
        <f>DSUM($B$53:$Y$55,K$53,$B$62:$C81)</f>
        <v>0.12835026972308941</v>
      </c>
      <c r="L81" s="93">
        <f>DSUM($B$53:$Y$55,L$53,$B$62:$C81)</f>
        <v>0.13540415049179771</v>
      </c>
      <c r="M81" s="93">
        <f>DSUM($B$53:$Y$55,M$53,$B$62:$C81)</f>
        <v>0.15270079903086023</v>
      </c>
      <c r="N81" s="93">
        <f>DSUM($B$53:$Y$55,N$53,$B$62:$C81)</f>
        <v>0.16941461544494188</v>
      </c>
      <c r="O81" s="93">
        <f>DSUM($B$53:$Y$55,O$53,$B$62:$C81)</f>
        <v>0.18572454225106977</v>
      </c>
      <c r="P81" s="93">
        <f>DSUM($B$53:$Y$55,P$53,$B$62:$C81)</f>
        <v>0.21396590138931457</v>
      </c>
      <c r="Q81" s="93">
        <f>DSUM($B$53:$Y$55,Q$53,$B$62:$C81)</f>
        <v>0.23536110790359388</v>
      </c>
      <c r="R81" s="93">
        <f>DSUM($B$53:$Y$55,R$53,$B$62:$C81)</f>
        <v>0.2277519066393428</v>
      </c>
      <c r="S81" s="93">
        <f>DSUM($B$53:$Y$55,S$53,$B$62:$C81)</f>
        <v>0.24154125908429405</v>
      </c>
      <c r="T81" s="93">
        <f>DSUM($B$53:$Y$55,T$53,$B$62:$C81)</f>
        <v>0.23525279103135455</v>
      </c>
      <c r="U81" s="93">
        <f>DSUM($B$53:$Y$55,U$53,$B$62:$C81)</f>
        <v>0.23131368063533228</v>
      </c>
      <c r="V81" s="93">
        <f>DSUM($B$53:$Y$55,V$53,$B$62:$C81)</f>
        <v>0.22019170410756517</v>
      </c>
      <c r="W81" s="93">
        <f>DSUM($B$53:$Y$55,W$53,$B$62:$C81)</f>
        <v>0.21597913668066065</v>
      </c>
      <c r="X81" s="93">
        <f>DSUM($B$53:$Y$55,X$53,$B$62:$C81)</f>
        <v>0.2186286882634618</v>
      </c>
      <c r="Y81" s="45">
        <f>DSUM($B$53:$Y$55,Y$53,$B$62:$C81)</f>
        <v>3.3822770456856448</v>
      </c>
      <c r="AA81" s="24"/>
      <c r="AB81" s="24"/>
      <c r="AC81" s="24"/>
    </row>
    <row r="82" spans="1:29">
      <c r="A82" s="24" t="s">
        <v>125</v>
      </c>
      <c r="B82" s="92" t="s">
        <v>126</v>
      </c>
      <c r="C82" s="92" t="s">
        <v>127</v>
      </c>
      <c r="D82" s="92"/>
      <c r="E82" s="93">
        <f>DSUM($B$53:$Y$55,E$53,$B$62:$C82)</f>
        <v>5.8579100721019552E-2</v>
      </c>
      <c r="F82" s="93">
        <f>DSUM($B$53:$Y$55,F$53,$B$62:$C82)</f>
        <v>8.6108356493609053E-2</v>
      </c>
      <c r="G82" s="93">
        <f>DSUM($B$53:$Y$55,G$53,$B$62:$C82)</f>
        <v>9.6155055834682229E-2</v>
      </c>
      <c r="H82" s="93">
        <f>DSUM($B$53:$Y$55,H$53,$B$62:$C82)</f>
        <v>0.1124762743357684</v>
      </c>
      <c r="I82" s="93">
        <f>DSUM($B$53:$Y$55,I$53,$B$62:$C82)</f>
        <v>0.10855836952869645</v>
      </c>
      <c r="J82" s="93">
        <f>DSUM($B$53:$Y$55,J$53,$B$62:$C82)</f>
        <v>0.10881933609519039</v>
      </c>
      <c r="K82" s="93">
        <f>DSUM($B$53:$Y$55,K$53,$B$62:$C82)</f>
        <v>0.12835026972308941</v>
      </c>
      <c r="L82" s="93">
        <f>DSUM($B$53:$Y$55,L$53,$B$62:$C82)</f>
        <v>0.13540415049179771</v>
      </c>
      <c r="M82" s="93">
        <f>DSUM($B$53:$Y$55,M$53,$B$62:$C82)</f>
        <v>0.15270079903086023</v>
      </c>
      <c r="N82" s="93">
        <f>DSUM($B$53:$Y$55,N$53,$B$62:$C82)</f>
        <v>0.16941461544494188</v>
      </c>
      <c r="O82" s="93">
        <f>DSUM($B$53:$Y$55,O$53,$B$62:$C82)</f>
        <v>0.18572454225106977</v>
      </c>
      <c r="P82" s="93">
        <f>DSUM($B$53:$Y$55,P$53,$B$62:$C82)</f>
        <v>0.21396590138931457</v>
      </c>
      <c r="Q82" s="93">
        <f>DSUM($B$53:$Y$55,Q$53,$B$62:$C82)</f>
        <v>0.23536110790359388</v>
      </c>
      <c r="R82" s="93">
        <f>DSUM($B$53:$Y$55,R$53,$B$62:$C82)</f>
        <v>0.2277519066393428</v>
      </c>
      <c r="S82" s="93">
        <f>DSUM($B$53:$Y$55,S$53,$B$62:$C82)</f>
        <v>0.24154125908429405</v>
      </c>
      <c r="T82" s="93">
        <f>DSUM($B$53:$Y$55,T$53,$B$62:$C82)</f>
        <v>0.23525279103135455</v>
      </c>
      <c r="U82" s="93">
        <f>DSUM($B$53:$Y$55,U$53,$B$62:$C82)</f>
        <v>0.23131368063533228</v>
      </c>
      <c r="V82" s="93">
        <f>DSUM($B$53:$Y$55,V$53,$B$62:$C82)</f>
        <v>0.22019170410756517</v>
      </c>
      <c r="W82" s="93">
        <f>DSUM($B$53:$Y$55,W$53,$B$62:$C82)</f>
        <v>0.21597913668066065</v>
      </c>
      <c r="X82" s="93">
        <f>DSUM($B$53:$Y$55,X$53,$B$62:$C82)</f>
        <v>0.2186286882634618</v>
      </c>
      <c r="Y82" s="45">
        <f>DSUM($B$53:$Y$55,Y$53,$B$62:$C82)</f>
        <v>3.3822770456856448</v>
      </c>
      <c r="AA82" s="24"/>
      <c r="AB82" s="24"/>
      <c r="AC82" s="24"/>
    </row>
    <row r="83" spans="1:29">
      <c r="A83" s="24" t="s">
        <v>128</v>
      </c>
      <c r="B83" s="92" t="s">
        <v>129</v>
      </c>
      <c r="C83" s="92" t="s">
        <v>130</v>
      </c>
      <c r="D83" s="92"/>
      <c r="E83" s="93">
        <f>DSUM($B$53:$Y$55,E$53,$B$62:$C83)</f>
        <v>5.8579100721019552E-2</v>
      </c>
      <c r="F83" s="93">
        <f>DSUM($B$53:$Y$55,F$53,$B$62:$C83)</f>
        <v>8.6108356493609053E-2</v>
      </c>
      <c r="G83" s="93">
        <f>DSUM($B$53:$Y$55,G$53,$B$62:$C83)</f>
        <v>9.6155055834682229E-2</v>
      </c>
      <c r="H83" s="93">
        <f>DSUM($B$53:$Y$55,H$53,$B$62:$C83)</f>
        <v>0.1124762743357684</v>
      </c>
      <c r="I83" s="93">
        <f>DSUM($B$53:$Y$55,I$53,$B$62:$C83)</f>
        <v>0.10855836952869645</v>
      </c>
      <c r="J83" s="93">
        <f>DSUM($B$53:$Y$55,J$53,$B$62:$C83)</f>
        <v>0.10881933609519039</v>
      </c>
      <c r="K83" s="93">
        <f>DSUM($B$53:$Y$55,K$53,$B$62:$C83)</f>
        <v>0.12835026972308941</v>
      </c>
      <c r="L83" s="93">
        <f>DSUM($B$53:$Y$55,L$53,$B$62:$C83)</f>
        <v>0.13540415049179771</v>
      </c>
      <c r="M83" s="93">
        <f>DSUM($B$53:$Y$55,M$53,$B$62:$C83)</f>
        <v>0.15270079903086023</v>
      </c>
      <c r="N83" s="93">
        <f>DSUM($B$53:$Y$55,N$53,$B$62:$C83)</f>
        <v>0.16941461544494188</v>
      </c>
      <c r="O83" s="93">
        <f>DSUM($B$53:$Y$55,O$53,$B$62:$C83)</f>
        <v>0.18572454225106977</v>
      </c>
      <c r="P83" s="93">
        <f>DSUM($B$53:$Y$55,P$53,$B$62:$C83)</f>
        <v>0.21396590138931457</v>
      </c>
      <c r="Q83" s="93">
        <f>DSUM($B$53:$Y$55,Q$53,$B$62:$C83)</f>
        <v>0.23536110790359388</v>
      </c>
      <c r="R83" s="93">
        <f>DSUM($B$53:$Y$55,R$53,$B$62:$C83)</f>
        <v>0.2277519066393428</v>
      </c>
      <c r="S83" s="93">
        <f>DSUM($B$53:$Y$55,S$53,$B$62:$C83)</f>
        <v>0.24154125908429405</v>
      </c>
      <c r="T83" s="93">
        <f>DSUM($B$53:$Y$55,T$53,$B$62:$C83)</f>
        <v>0.23525279103135455</v>
      </c>
      <c r="U83" s="93">
        <f>DSUM($B$53:$Y$55,U$53,$B$62:$C83)</f>
        <v>0.23131368063533228</v>
      </c>
      <c r="V83" s="93">
        <f>DSUM($B$53:$Y$55,V$53,$B$62:$C83)</f>
        <v>0.22019170410756517</v>
      </c>
      <c r="W83" s="93">
        <f>DSUM($B$53:$Y$55,W$53,$B$62:$C83)</f>
        <v>0.21597913668066065</v>
      </c>
      <c r="X83" s="93">
        <f>DSUM($B$53:$Y$55,X$53,$B$62:$C83)</f>
        <v>0.2186286882634618</v>
      </c>
      <c r="Y83" s="45">
        <f>DSUM($B$53:$Y$55,Y$53,$B$62:$C83)</f>
        <v>3.3822770456856448</v>
      </c>
      <c r="AA83" s="24"/>
      <c r="AB83" s="24"/>
      <c r="AC83" s="24"/>
    </row>
    <row r="84" spans="1:29">
      <c r="A84" s="24" t="s">
        <v>131</v>
      </c>
      <c r="B84" s="92" t="s">
        <v>132</v>
      </c>
      <c r="C84" s="92" t="s">
        <v>133</v>
      </c>
      <c r="D84" s="92"/>
      <c r="E84" s="93">
        <f>DSUM($B$53:$Y$55,E$53,$B$62:$C84)</f>
        <v>5.8579100721019552E-2</v>
      </c>
      <c r="F84" s="93">
        <f>DSUM($B$53:$Y$55,F$53,$B$62:$C84)</f>
        <v>8.6108356493609053E-2</v>
      </c>
      <c r="G84" s="93">
        <f>DSUM($B$53:$Y$55,G$53,$B$62:$C84)</f>
        <v>9.6155055834682229E-2</v>
      </c>
      <c r="H84" s="93">
        <f>DSUM($B$53:$Y$55,H$53,$B$62:$C84)</f>
        <v>0.1124762743357684</v>
      </c>
      <c r="I84" s="93">
        <f>DSUM($B$53:$Y$55,I$53,$B$62:$C84)</f>
        <v>0.10855836952869645</v>
      </c>
      <c r="J84" s="93">
        <f>DSUM($B$53:$Y$55,J$53,$B$62:$C84)</f>
        <v>0.10881933609519039</v>
      </c>
      <c r="K84" s="93">
        <f>DSUM($B$53:$Y$55,K$53,$B$62:$C84)</f>
        <v>0.12835026972308941</v>
      </c>
      <c r="L84" s="93">
        <f>DSUM($B$53:$Y$55,L$53,$B$62:$C84)</f>
        <v>0.13540415049179771</v>
      </c>
      <c r="M84" s="93">
        <f>DSUM($B$53:$Y$55,M$53,$B$62:$C84)</f>
        <v>0.15270079903086023</v>
      </c>
      <c r="N84" s="93">
        <f>DSUM($B$53:$Y$55,N$53,$B$62:$C84)</f>
        <v>0.16941461544494188</v>
      </c>
      <c r="O84" s="93">
        <f>DSUM($B$53:$Y$55,O$53,$B$62:$C84)</f>
        <v>0.18572454225106977</v>
      </c>
      <c r="P84" s="93">
        <f>DSUM($B$53:$Y$55,P$53,$B$62:$C84)</f>
        <v>0.21396590138931457</v>
      </c>
      <c r="Q84" s="93">
        <f>DSUM($B$53:$Y$55,Q$53,$B$62:$C84)</f>
        <v>0.23536110790359388</v>
      </c>
      <c r="R84" s="93">
        <f>DSUM($B$53:$Y$55,R$53,$B$62:$C84)</f>
        <v>0.2277519066393428</v>
      </c>
      <c r="S84" s="93">
        <f>DSUM($B$53:$Y$55,S$53,$B$62:$C84)</f>
        <v>0.24154125908429405</v>
      </c>
      <c r="T84" s="93">
        <f>DSUM($B$53:$Y$55,T$53,$B$62:$C84)</f>
        <v>0.23525279103135455</v>
      </c>
      <c r="U84" s="93">
        <f>DSUM($B$53:$Y$55,U$53,$B$62:$C84)</f>
        <v>0.23131368063533228</v>
      </c>
      <c r="V84" s="93">
        <f>DSUM($B$53:$Y$55,V$53,$B$62:$C84)</f>
        <v>0.22019170410756517</v>
      </c>
      <c r="W84" s="93">
        <f>DSUM($B$53:$Y$55,W$53,$B$62:$C84)</f>
        <v>0.21597913668066065</v>
      </c>
      <c r="X84" s="93">
        <f>DSUM($B$53:$Y$55,X$53,$B$62:$C84)</f>
        <v>0.2186286882634618</v>
      </c>
      <c r="Y84" s="45">
        <f>DSUM($B$53:$Y$55,Y$53,$B$62:$C84)</f>
        <v>3.3822770456856448</v>
      </c>
      <c r="AA84" s="24"/>
      <c r="AB84" s="24"/>
      <c r="AC84" s="24"/>
    </row>
    <row r="85" spans="1:29">
      <c r="A85" s="24" t="s">
        <v>134</v>
      </c>
      <c r="B85" s="92" t="s">
        <v>135</v>
      </c>
      <c r="C85" s="92" t="s">
        <v>136</v>
      </c>
      <c r="D85" s="92"/>
      <c r="E85" s="93">
        <f>DSUM($B$53:$Y$55,E$53,$B$62:$C85)</f>
        <v>5.8579100721019552E-2</v>
      </c>
      <c r="F85" s="93">
        <f>DSUM($B$53:$Y$55,F$53,$B$62:$C85)</f>
        <v>8.6108356493609053E-2</v>
      </c>
      <c r="G85" s="93">
        <f>DSUM($B$53:$Y$55,G$53,$B$62:$C85)</f>
        <v>9.6155055834682229E-2</v>
      </c>
      <c r="H85" s="93">
        <f>DSUM($B$53:$Y$55,H$53,$B$62:$C85)</f>
        <v>0.1124762743357684</v>
      </c>
      <c r="I85" s="93">
        <f>DSUM($B$53:$Y$55,I$53,$B$62:$C85)</f>
        <v>0.10855836952869645</v>
      </c>
      <c r="J85" s="93">
        <f>DSUM($B$53:$Y$55,J$53,$B$62:$C85)</f>
        <v>0.10881933609519039</v>
      </c>
      <c r="K85" s="93">
        <f>DSUM($B$53:$Y$55,K$53,$B$62:$C85)</f>
        <v>0.12835026972308941</v>
      </c>
      <c r="L85" s="93">
        <f>DSUM($B$53:$Y$55,L$53,$B$62:$C85)</f>
        <v>0.13540415049179771</v>
      </c>
      <c r="M85" s="93">
        <f>DSUM($B$53:$Y$55,M$53,$B$62:$C85)</f>
        <v>0.15270079903086023</v>
      </c>
      <c r="N85" s="93">
        <f>DSUM($B$53:$Y$55,N$53,$B$62:$C85)</f>
        <v>0.16941461544494188</v>
      </c>
      <c r="O85" s="93">
        <f>DSUM($B$53:$Y$55,O$53,$B$62:$C85)</f>
        <v>0.18572454225106977</v>
      </c>
      <c r="P85" s="93">
        <f>DSUM($B$53:$Y$55,P$53,$B$62:$C85)</f>
        <v>0.21396590138931457</v>
      </c>
      <c r="Q85" s="93">
        <f>DSUM($B$53:$Y$55,Q$53,$B$62:$C85)</f>
        <v>0.23536110790359388</v>
      </c>
      <c r="R85" s="93">
        <f>DSUM($B$53:$Y$55,R$53,$B$62:$C85)</f>
        <v>0.2277519066393428</v>
      </c>
      <c r="S85" s="93">
        <f>DSUM($B$53:$Y$55,S$53,$B$62:$C85)</f>
        <v>0.24154125908429405</v>
      </c>
      <c r="T85" s="93">
        <f>DSUM($B$53:$Y$55,T$53,$B$62:$C85)</f>
        <v>0.23525279103135455</v>
      </c>
      <c r="U85" s="93">
        <f>DSUM($B$53:$Y$55,U$53,$B$62:$C85)</f>
        <v>0.23131368063533228</v>
      </c>
      <c r="V85" s="93">
        <f>DSUM($B$53:$Y$55,V$53,$B$62:$C85)</f>
        <v>0.22019170410756517</v>
      </c>
      <c r="W85" s="93">
        <f>DSUM($B$53:$Y$55,W$53,$B$62:$C85)</f>
        <v>0.21597913668066065</v>
      </c>
      <c r="X85" s="93">
        <f>DSUM($B$53:$Y$55,X$53,$B$62:$C85)</f>
        <v>0.2186286882634618</v>
      </c>
      <c r="Y85" s="45">
        <f>DSUM($B$53:$Y$55,Y$53,$B$62:$C85)</f>
        <v>3.3822770456856448</v>
      </c>
      <c r="AA85" s="24"/>
      <c r="AB85" s="24"/>
      <c r="AC85" s="24"/>
    </row>
    <row r="86" spans="1:29">
      <c r="A86" s="24" t="s">
        <v>137</v>
      </c>
      <c r="B86" s="92" t="s">
        <v>138</v>
      </c>
      <c r="C86" s="92" t="s">
        <v>139</v>
      </c>
      <c r="D86" s="92"/>
      <c r="E86" s="93">
        <f>DSUM($B$53:$Y$55,E$53,$B$62:$C86)</f>
        <v>5.8579100721019552E-2</v>
      </c>
      <c r="F86" s="93">
        <f>DSUM($B$53:$Y$55,F$53,$B$62:$C86)</f>
        <v>8.6108356493609053E-2</v>
      </c>
      <c r="G86" s="93">
        <f>DSUM($B$53:$Y$55,G$53,$B$62:$C86)</f>
        <v>9.6155055834682229E-2</v>
      </c>
      <c r="H86" s="93">
        <f>DSUM($B$53:$Y$55,H$53,$B$62:$C86)</f>
        <v>0.1124762743357684</v>
      </c>
      <c r="I86" s="93">
        <f>DSUM($B$53:$Y$55,I$53,$B$62:$C86)</f>
        <v>0.10855836952869645</v>
      </c>
      <c r="J86" s="93">
        <f>DSUM($B$53:$Y$55,J$53,$B$62:$C86)</f>
        <v>0.10881933609519039</v>
      </c>
      <c r="K86" s="93">
        <f>DSUM($B$53:$Y$55,K$53,$B$62:$C86)</f>
        <v>0.12835026972308941</v>
      </c>
      <c r="L86" s="93">
        <f>DSUM($B$53:$Y$55,L$53,$B$62:$C86)</f>
        <v>0.13540415049179771</v>
      </c>
      <c r="M86" s="93">
        <f>DSUM($B$53:$Y$55,M$53,$B$62:$C86)</f>
        <v>0.15270079903086023</v>
      </c>
      <c r="N86" s="93">
        <f>DSUM($B$53:$Y$55,N$53,$B$62:$C86)</f>
        <v>0.16941461544494188</v>
      </c>
      <c r="O86" s="93">
        <f>DSUM($B$53:$Y$55,O$53,$B$62:$C86)</f>
        <v>0.18572454225106977</v>
      </c>
      <c r="P86" s="93">
        <f>DSUM($B$53:$Y$55,P$53,$B$62:$C86)</f>
        <v>0.21396590138931457</v>
      </c>
      <c r="Q86" s="93">
        <f>DSUM($B$53:$Y$55,Q$53,$B$62:$C86)</f>
        <v>0.23536110790359388</v>
      </c>
      <c r="R86" s="93">
        <f>DSUM($B$53:$Y$55,R$53,$B$62:$C86)</f>
        <v>0.2277519066393428</v>
      </c>
      <c r="S86" s="93">
        <f>DSUM($B$53:$Y$55,S$53,$B$62:$C86)</f>
        <v>0.24154125908429405</v>
      </c>
      <c r="T86" s="93">
        <f>DSUM($B$53:$Y$55,T$53,$B$62:$C86)</f>
        <v>0.23525279103135455</v>
      </c>
      <c r="U86" s="93">
        <f>DSUM($B$53:$Y$55,U$53,$B$62:$C86)</f>
        <v>0.23131368063533228</v>
      </c>
      <c r="V86" s="93">
        <f>DSUM($B$53:$Y$55,V$53,$B$62:$C86)</f>
        <v>0.22019170410756517</v>
      </c>
      <c r="W86" s="93">
        <f>DSUM($B$53:$Y$55,W$53,$B$62:$C86)</f>
        <v>0.21597913668066065</v>
      </c>
      <c r="X86" s="93">
        <f>DSUM($B$53:$Y$55,X$53,$B$62:$C86)</f>
        <v>0.2186286882634618</v>
      </c>
      <c r="Y86" s="45">
        <f>DSUM($B$53:$Y$55,Y$53,$B$62:$C86)</f>
        <v>3.3822770456856448</v>
      </c>
      <c r="AA86" s="24"/>
      <c r="AB86" s="24"/>
      <c r="AC86" s="24"/>
    </row>
    <row r="87" spans="1:29">
      <c r="A87" s="24" t="s">
        <v>140</v>
      </c>
      <c r="B87" s="92" t="s">
        <v>141</v>
      </c>
      <c r="C87" s="92" t="s">
        <v>142</v>
      </c>
      <c r="D87" s="92"/>
      <c r="E87" s="93">
        <f>DSUM($B$53:$Y$55,E$53,$B$62:$C87)</f>
        <v>5.8579100721019552E-2</v>
      </c>
      <c r="F87" s="93">
        <f>DSUM($B$53:$Y$55,F$53,$B$62:$C87)</f>
        <v>8.6108356493609053E-2</v>
      </c>
      <c r="G87" s="93">
        <f>DSUM($B$53:$Y$55,G$53,$B$62:$C87)</f>
        <v>9.6155055834682229E-2</v>
      </c>
      <c r="H87" s="93">
        <f>DSUM($B$53:$Y$55,H$53,$B$62:$C87)</f>
        <v>0.1124762743357684</v>
      </c>
      <c r="I87" s="93">
        <f>DSUM($B$53:$Y$55,I$53,$B$62:$C87)</f>
        <v>0.10855836952869645</v>
      </c>
      <c r="J87" s="93">
        <f>DSUM($B$53:$Y$55,J$53,$B$62:$C87)</f>
        <v>0.10881933609519039</v>
      </c>
      <c r="K87" s="93">
        <f>DSUM($B$53:$Y$55,K$53,$B$62:$C87)</f>
        <v>0.12835026972308941</v>
      </c>
      <c r="L87" s="93">
        <f>DSUM($B$53:$Y$55,L$53,$B$62:$C87)</f>
        <v>0.13540415049179771</v>
      </c>
      <c r="M87" s="93">
        <f>DSUM($B$53:$Y$55,M$53,$B$62:$C87)</f>
        <v>0.15270079903086023</v>
      </c>
      <c r="N87" s="93">
        <f>DSUM($B$53:$Y$55,N$53,$B$62:$C87)</f>
        <v>0.16941461544494188</v>
      </c>
      <c r="O87" s="93">
        <f>DSUM($B$53:$Y$55,O$53,$B$62:$C87)</f>
        <v>0.18572454225106977</v>
      </c>
      <c r="P87" s="93">
        <f>DSUM($B$53:$Y$55,P$53,$B$62:$C87)</f>
        <v>0.21396590138931457</v>
      </c>
      <c r="Q87" s="93">
        <f>DSUM($B$53:$Y$55,Q$53,$B$62:$C87)</f>
        <v>0.23536110790359388</v>
      </c>
      <c r="R87" s="93">
        <f>DSUM($B$53:$Y$55,R$53,$B$62:$C87)</f>
        <v>0.2277519066393428</v>
      </c>
      <c r="S87" s="93">
        <f>DSUM($B$53:$Y$55,S$53,$B$62:$C87)</f>
        <v>0.24154125908429405</v>
      </c>
      <c r="T87" s="93">
        <f>DSUM($B$53:$Y$55,T$53,$B$62:$C87)</f>
        <v>0.23525279103135455</v>
      </c>
      <c r="U87" s="93">
        <f>DSUM($B$53:$Y$55,U$53,$B$62:$C87)</f>
        <v>0.23131368063533228</v>
      </c>
      <c r="V87" s="93">
        <f>DSUM($B$53:$Y$55,V$53,$B$62:$C87)</f>
        <v>0.22019170410756517</v>
      </c>
      <c r="W87" s="93">
        <f>DSUM($B$53:$Y$55,W$53,$B$62:$C87)</f>
        <v>0.21597913668066065</v>
      </c>
      <c r="X87" s="93">
        <f>DSUM($B$53:$Y$55,X$53,$B$62:$C87)</f>
        <v>0.2186286882634618</v>
      </c>
      <c r="Y87" s="45">
        <f>DSUM($B$53:$Y$55,Y$53,$B$62:$C87)</f>
        <v>3.3822770456856448</v>
      </c>
      <c r="AA87" s="24"/>
      <c r="AB87" s="24"/>
      <c r="AC87" s="24"/>
    </row>
    <row r="88" spans="1:29">
      <c r="A88" s="24" t="s">
        <v>143</v>
      </c>
      <c r="B88" s="92" t="s">
        <v>144</v>
      </c>
      <c r="C88" s="92" t="s">
        <v>145</v>
      </c>
      <c r="D88" s="92"/>
      <c r="E88" s="93">
        <f>DSUM($B$53:$Y$55,E$53,$B$62:$C88)</f>
        <v>5.8579100721019552E-2</v>
      </c>
      <c r="F88" s="93">
        <f>DSUM($B$53:$Y$55,F$53,$B$62:$C88)</f>
        <v>8.6108356493609053E-2</v>
      </c>
      <c r="G88" s="93">
        <f>DSUM($B$53:$Y$55,G$53,$B$62:$C88)</f>
        <v>9.6155055834682229E-2</v>
      </c>
      <c r="H88" s="93">
        <f>DSUM($B$53:$Y$55,H$53,$B$62:$C88)</f>
        <v>0.1124762743357684</v>
      </c>
      <c r="I88" s="93">
        <f>DSUM($B$53:$Y$55,I$53,$B$62:$C88)</f>
        <v>0.10855836952869645</v>
      </c>
      <c r="J88" s="93">
        <f>DSUM($B$53:$Y$55,J$53,$B$62:$C88)</f>
        <v>0.10881933609519039</v>
      </c>
      <c r="K88" s="93">
        <f>DSUM($B$53:$Y$55,K$53,$B$62:$C88)</f>
        <v>0.12835026972308941</v>
      </c>
      <c r="L88" s="93">
        <f>DSUM($B$53:$Y$55,L$53,$B$62:$C88)</f>
        <v>0.13540415049179771</v>
      </c>
      <c r="M88" s="93">
        <f>DSUM($B$53:$Y$55,M$53,$B$62:$C88)</f>
        <v>0.15270079903086023</v>
      </c>
      <c r="N88" s="93">
        <f>DSUM($B$53:$Y$55,N$53,$B$62:$C88)</f>
        <v>0.16941461544494188</v>
      </c>
      <c r="O88" s="93">
        <f>DSUM($B$53:$Y$55,O$53,$B$62:$C88)</f>
        <v>0.18572454225106977</v>
      </c>
      <c r="P88" s="93">
        <f>DSUM($B$53:$Y$55,P$53,$B$62:$C88)</f>
        <v>0.21396590138931457</v>
      </c>
      <c r="Q88" s="93">
        <f>DSUM($B$53:$Y$55,Q$53,$B$62:$C88)</f>
        <v>0.23536110790359388</v>
      </c>
      <c r="R88" s="93">
        <f>DSUM($B$53:$Y$55,R$53,$B$62:$C88)</f>
        <v>0.2277519066393428</v>
      </c>
      <c r="S88" s="93">
        <f>DSUM($B$53:$Y$55,S$53,$B$62:$C88)</f>
        <v>0.24154125908429405</v>
      </c>
      <c r="T88" s="93">
        <f>DSUM($B$53:$Y$55,T$53,$B$62:$C88)</f>
        <v>0.23525279103135455</v>
      </c>
      <c r="U88" s="93">
        <f>DSUM($B$53:$Y$55,U$53,$B$62:$C88)</f>
        <v>0.23131368063533228</v>
      </c>
      <c r="V88" s="93">
        <f>DSUM($B$53:$Y$55,V$53,$B$62:$C88)</f>
        <v>0.22019170410756517</v>
      </c>
      <c r="W88" s="93">
        <f>DSUM($B$53:$Y$55,W$53,$B$62:$C88)</f>
        <v>0.21597913668066065</v>
      </c>
      <c r="X88" s="93">
        <f>DSUM($B$53:$Y$55,X$53,$B$62:$C88)</f>
        <v>0.2186286882634618</v>
      </c>
      <c r="Y88" s="45">
        <f>DSUM($B$53:$Y$55,Y$53,$B$62:$C88)</f>
        <v>3.3822770456856448</v>
      </c>
      <c r="AA88" s="24"/>
      <c r="AB88" s="24"/>
      <c r="AC88" s="24"/>
    </row>
    <row r="89" spans="1:29">
      <c r="A89" s="24" t="s">
        <v>146</v>
      </c>
      <c r="B89" s="92" t="s">
        <v>147</v>
      </c>
      <c r="C89" s="92" t="s">
        <v>148</v>
      </c>
      <c r="D89" s="92"/>
      <c r="E89" s="93">
        <f>DSUM($B$53:$Y$55,E$53,$B$62:$C89)</f>
        <v>5.8579100721019552E-2</v>
      </c>
      <c r="F89" s="93">
        <f>DSUM($B$53:$Y$55,F$53,$B$62:$C89)</f>
        <v>8.6108356493609053E-2</v>
      </c>
      <c r="G89" s="93">
        <f>DSUM($B$53:$Y$55,G$53,$B$62:$C89)</f>
        <v>9.6155055834682229E-2</v>
      </c>
      <c r="H89" s="93">
        <f>DSUM($B$53:$Y$55,H$53,$B$62:$C89)</f>
        <v>0.1124762743357684</v>
      </c>
      <c r="I89" s="93">
        <f>DSUM($B$53:$Y$55,I$53,$B$62:$C89)</f>
        <v>0.10855836952869645</v>
      </c>
      <c r="J89" s="93">
        <f>DSUM($B$53:$Y$55,J$53,$B$62:$C89)</f>
        <v>0.10881933609519039</v>
      </c>
      <c r="K89" s="93">
        <f>DSUM($B$53:$Y$55,K$53,$B$62:$C89)</f>
        <v>0.12835026972308941</v>
      </c>
      <c r="L89" s="93">
        <f>DSUM($B$53:$Y$55,L$53,$B$62:$C89)</f>
        <v>0.13540415049179771</v>
      </c>
      <c r="M89" s="93">
        <f>DSUM($B$53:$Y$55,M$53,$B$62:$C89)</f>
        <v>0.15270079903086023</v>
      </c>
      <c r="N89" s="93">
        <f>DSUM($B$53:$Y$55,N$53,$B$62:$C89)</f>
        <v>0.16941461544494188</v>
      </c>
      <c r="O89" s="93">
        <f>DSUM($B$53:$Y$55,O$53,$B$62:$C89)</f>
        <v>0.18572454225106977</v>
      </c>
      <c r="P89" s="93">
        <f>DSUM($B$53:$Y$55,P$53,$B$62:$C89)</f>
        <v>0.21396590138931457</v>
      </c>
      <c r="Q89" s="93">
        <f>DSUM($B$53:$Y$55,Q$53,$B$62:$C89)</f>
        <v>0.23536110790359388</v>
      </c>
      <c r="R89" s="93">
        <f>DSUM($B$53:$Y$55,R$53,$B$62:$C89)</f>
        <v>0.2277519066393428</v>
      </c>
      <c r="S89" s="93">
        <f>DSUM($B$53:$Y$55,S$53,$B$62:$C89)</f>
        <v>0.24154125908429405</v>
      </c>
      <c r="T89" s="93">
        <f>DSUM($B$53:$Y$55,T$53,$B$62:$C89)</f>
        <v>0.23525279103135455</v>
      </c>
      <c r="U89" s="93">
        <f>DSUM($B$53:$Y$55,U$53,$B$62:$C89)</f>
        <v>0.23131368063533228</v>
      </c>
      <c r="V89" s="93">
        <f>DSUM($B$53:$Y$55,V$53,$B$62:$C89)</f>
        <v>0.22019170410756517</v>
      </c>
      <c r="W89" s="93">
        <f>DSUM($B$53:$Y$55,W$53,$B$62:$C89)</f>
        <v>0.21597913668066065</v>
      </c>
      <c r="X89" s="93">
        <f>DSUM($B$53:$Y$55,X$53,$B$62:$C89)</f>
        <v>0.2186286882634618</v>
      </c>
      <c r="Y89" s="45">
        <f>DSUM($B$53:$Y$55,Y$53,$B$62:$C89)</f>
        <v>3.3822770456856448</v>
      </c>
      <c r="AA89" s="24"/>
      <c r="AB89" s="24"/>
      <c r="AC89" s="24"/>
    </row>
    <row r="90" spans="1:29">
      <c r="A90" s="24" t="s">
        <v>149</v>
      </c>
      <c r="B90" s="92" t="s">
        <v>150</v>
      </c>
      <c r="C90" s="92" t="s">
        <v>151</v>
      </c>
      <c r="D90" s="92"/>
      <c r="E90" s="93">
        <f>DSUM($B$53:$Y$55,E$53,$B$62:$C90)</f>
        <v>5.8579100721019552E-2</v>
      </c>
      <c r="F90" s="93">
        <f>DSUM($B$53:$Y$55,F$53,$B$62:$C90)</f>
        <v>8.6108356493609053E-2</v>
      </c>
      <c r="G90" s="93">
        <f>DSUM($B$53:$Y$55,G$53,$B$62:$C90)</f>
        <v>9.6155055834682229E-2</v>
      </c>
      <c r="H90" s="93">
        <f>DSUM($B$53:$Y$55,H$53,$B$62:$C90)</f>
        <v>0.1124762743357684</v>
      </c>
      <c r="I90" s="93">
        <f>DSUM($B$53:$Y$55,I$53,$B$62:$C90)</f>
        <v>0.10855836952869645</v>
      </c>
      <c r="J90" s="93">
        <f>DSUM($B$53:$Y$55,J$53,$B$62:$C90)</f>
        <v>0.10881933609519039</v>
      </c>
      <c r="K90" s="93">
        <f>DSUM($B$53:$Y$55,K$53,$B$62:$C90)</f>
        <v>0.12835026972308941</v>
      </c>
      <c r="L90" s="93">
        <f>DSUM($B$53:$Y$55,L$53,$B$62:$C90)</f>
        <v>0.13540415049179771</v>
      </c>
      <c r="M90" s="93">
        <f>DSUM($B$53:$Y$55,M$53,$B$62:$C90)</f>
        <v>0.15270079903086023</v>
      </c>
      <c r="N90" s="93">
        <f>DSUM($B$53:$Y$55,N$53,$B$62:$C90)</f>
        <v>0.16941461544494188</v>
      </c>
      <c r="O90" s="93">
        <f>DSUM($B$53:$Y$55,O$53,$B$62:$C90)</f>
        <v>0.18572454225106977</v>
      </c>
      <c r="P90" s="93">
        <f>DSUM($B$53:$Y$55,P$53,$B$62:$C90)</f>
        <v>0.21396590138931457</v>
      </c>
      <c r="Q90" s="93">
        <f>DSUM($B$53:$Y$55,Q$53,$B$62:$C90)</f>
        <v>0.23536110790359388</v>
      </c>
      <c r="R90" s="93">
        <f>DSUM($B$53:$Y$55,R$53,$B$62:$C90)</f>
        <v>0.2277519066393428</v>
      </c>
      <c r="S90" s="93">
        <f>DSUM($B$53:$Y$55,S$53,$B$62:$C90)</f>
        <v>0.24154125908429405</v>
      </c>
      <c r="T90" s="93">
        <f>DSUM($B$53:$Y$55,T$53,$B$62:$C90)</f>
        <v>0.23525279103135455</v>
      </c>
      <c r="U90" s="93">
        <f>DSUM($B$53:$Y$55,U$53,$B$62:$C90)</f>
        <v>0.23131368063533228</v>
      </c>
      <c r="V90" s="93">
        <f>DSUM($B$53:$Y$55,V$53,$B$62:$C90)</f>
        <v>0.22019170410756517</v>
      </c>
      <c r="W90" s="93">
        <f>DSUM($B$53:$Y$55,W$53,$B$62:$C90)</f>
        <v>0.21597913668066065</v>
      </c>
      <c r="X90" s="93">
        <f>DSUM($B$53:$Y$55,X$53,$B$62:$C90)</f>
        <v>0.2186286882634618</v>
      </c>
      <c r="Y90" s="45">
        <f>DSUM($B$53:$Y$55,Y$53,$B$62:$C90)</f>
        <v>3.3822770456856448</v>
      </c>
      <c r="AA90" s="24"/>
      <c r="AB90" s="24"/>
      <c r="AC90" s="24"/>
    </row>
    <row r="91" spans="1:29">
      <c r="A91" s="24" t="s">
        <v>152</v>
      </c>
      <c r="B91" s="92" t="s">
        <v>153</v>
      </c>
      <c r="C91" s="92" t="s">
        <v>154</v>
      </c>
      <c r="D91" s="92"/>
      <c r="E91" s="93">
        <f>DSUM($B$53:$Y$55,E$53,$B$62:$C91)</f>
        <v>5.8579100721019552E-2</v>
      </c>
      <c r="F91" s="93">
        <f>DSUM($B$53:$Y$55,F$53,$B$62:$C91)</f>
        <v>8.6108356493609053E-2</v>
      </c>
      <c r="G91" s="93">
        <f>DSUM($B$53:$Y$55,G$53,$B$62:$C91)</f>
        <v>9.6155055834682229E-2</v>
      </c>
      <c r="H91" s="93">
        <f>DSUM($B$53:$Y$55,H$53,$B$62:$C91)</f>
        <v>0.1124762743357684</v>
      </c>
      <c r="I91" s="93">
        <f>DSUM($B$53:$Y$55,I$53,$B$62:$C91)</f>
        <v>0.10855836952869645</v>
      </c>
      <c r="J91" s="93">
        <f>DSUM($B$53:$Y$55,J$53,$B$62:$C91)</f>
        <v>0.10881933609519039</v>
      </c>
      <c r="K91" s="93">
        <f>DSUM($B$53:$Y$55,K$53,$B$62:$C91)</f>
        <v>0.12835026972308941</v>
      </c>
      <c r="L91" s="93">
        <f>DSUM($B$53:$Y$55,L$53,$B$62:$C91)</f>
        <v>0.13540415049179771</v>
      </c>
      <c r="M91" s="93">
        <f>DSUM($B$53:$Y$55,M$53,$B$62:$C91)</f>
        <v>0.15270079903086023</v>
      </c>
      <c r="N91" s="93">
        <f>DSUM($B$53:$Y$55,N$53,$B$62:$C91)</f>
        <v>0.16941461544494188</v>
      </c>
      <c r="O91" s="93">
        <f>DSUM($B$53:$Y$55,O$53,$B$62:$C91)</f>
        <v>0.18572454225106977</v>
      </c>
      <c r="P91" s="93">
        <f>DSUM($B$53:$Y$55,P$53,$B$62:$C91)</f>
        <v>0.21396590138931457</v>
      </c>
      <c r="Q91" s="93">
        <f>DSUM($B$53:$Y$55,Q$53,$B$62:$C91)</f>
        <v>0.23536110790359388</v>
      </c>
      <c r="R91" s="93">
        <f>DSUM($B$53:$Y$55,R$53,$B$62:$C91)</f>
        <v>0.2277519066393428</v>
      </c>
      <c r="S91" s="93">
        <f>DSUM($B$53:$Y$55,S$53,$B$62:$C91)</f>
        <v>0.24154125908429405</v>
      </c>
      <c r="T91" s="93">
        <f>DSUM($B$53:$Y$55,T$53,$B$62:$C91)</f>
        <v>0.23525279103135455</v>
      </c>
      <c r="U91" s="93">
        <f>DSUM($B$53:$Y$55,U$53,$B$62:$C91)</f>
        <v>0.23131368063533228</v>
      </c>
      <c r="V91" s="93">
        <f>DSUM($B$53:$Y$55,V$53,$B$62:$C91)</f>
        <v>0.22019170410756517</v>
      </c>
      <c r="W91" s="93">
        <f>DSUM($B$53:$Y$55,W$53,$B$62:$C91)</f>
        <v>0.21597913668066065</v>
      </c>
      <c r="X91" s="93">
        <f>DSUM($B$53:$Y$55,X$53,$B$62:$C91)</f>
        <v>0.2186286882634618</v>
      </c>
      <c r="Y91" s="45">
        <f>DSUM($B$53:$Y$55,Y$53,$B$62:$C91)</f>
        <v>3.3822770456856448</v>
      </c>
      <c r="AA91" s="24"/>
      <c r="AB91" s="24"/>
      <c r="AC91" s="24"/>
    </row>
    <row r="92" spans="1:29">
      <c r="A92" s="24" t="s">
        <v>155</v>
      </c>
      <c r="B92" s="92" t="s">
        <v>156</v>
      </c>
      <c r="C92" s="92" t="s">
        <v>157</v>
      </c>
      <c r="D92" s="92"/>
      <c r="E92" s="93">
        <f>DSUM($B$53:$Y$55,E$53,$B$62:$C92)</f>
        <v>5.8579100721019552E-2</v>
      </c>
      <c r="F92" s="93">
        <f>DSUM($B$53:$Y$55,F$53,$B$62:$C92)</f>
        <v>8.6108356493609053E-2</v>
      </c>
      <c r="G92" s="93">
        <f>DSUM($B$53:$Y$55,G$53,$B$62:$C92)</f>
        <v>9.6155055834682229E-2</v>
      </c>
      <c r="H92" s="93">
        <f>DSUM($B$53:$Y$55,H$53,$B$62:$C92)</f>
        <v>0.1124762743357684</v>
      </c>
      <c r="I92" s="93">
        <f>DSUM($B$53:$Y$55,I$53,$B$62:$C92)</f>
        <v>0.10855836952869645</v>
      </c>
      <c r="J92" s="93">
        <f>DSUM($B$53:$Y$55,J$53,$B$62:$C92)</f>
        <v>0.10881933609519039</v>
      </c>
      <c r="K92" s="93">
        <f>DSUM($B$53:$Y$55,K$53,$B$62:$C92)</f>
        <v>0.12835026972308941</v>
      </c>
      <c r="L92" s="93">
        <f>DSUM($B$53:$Y$55,L$53,$B$62:$C92)</f>
        <v>0.13540415049179771</v>
      </c>
      <c r="M92" s="93">
        <f>DSUM($B$53:$Y$55,M$53,$B$62:$C92)</f>
        <v>0.15270079903086023</v>
      </c>
      <c r="N92" s="93">
        <f>DSUM($B$53:$Y$55,N$53,$B$62:$C92)</f>
        <v>0.16941461544494188</v>
      </c>
      <c r="O92" s="93">
        <f>DSUM($B$53:$Y$55,O$53,$B$62:$C92)</f>
        <v>0.18572454225106977</v>
      </c>
      <c r="P92" s="93">
        <f>DSUM($B$53:$Y$55,P$53,$B$62:$C92)</f>
        <v>0.21396590138931457</v>
      </c>
      <c r="Q92" s="93">
        <f>DSUM($B$53:$Y$55,Q$53,$B$62:$C92)</f>
        <v>0.23536110790359388</v>
      </c>
      <c r="R92" s="93">
        <f>DSUM($B$53:$Y$55,R$53,$B$62:$C92)</f>
        <v>0.2277519066393428</v>
      </c>
      <c r="S92" s="93">
        <f>DSUM($B$53:$Y$55,S$53,$B$62:$C92)</f>
        <v>0.24154125908429405</v>
      </c>
      <c r="T92" s="93">
        <f>DSUM($B$53:$Y$55,T$53,$B$62:$C92)</f>
        <v>0.23525279103135455</v>
      </c>
      <c r="U92" s="93">
        <f>DSUM($B$53:$Y$55,U$53,$B$62:$C92)</f>
        <v>0.23131368063533228</v>
      </c>
      <c r="V92" s="93">
        <f>DSUM($B$53:$Y$55,V$53,$B$62:$C92)</f>
        <v>0.22019170410756517</v>
      </c>
      <c r="W92" s="93">
        <f>DSUM($B$53:$Y$55,W$53,$B$62:$C92)</f>
        <v>0.21597913668066065</v>
      </c>
      <c r="X92" s="93">
        <f>DSUM($B$53:$Y$55,X$53,$B$62:$C92)</f>
        <v>0.2186286882634618</v>
      </c>
      <c r="Y92" s="45">
        <f>DSUM($B$53:$Y$55,Y$53,$B$62:$C92)</f>
        <v>3.3822770456856448</v>
      </c>
      <c r="AA92" s="24"/>
      <c r="AB92" s="24"/>
      <c r="AC92" s="24"/>
    </row>
    <row r="93" spans="1:29">
      <c r="A93" s="24" t="s">
        <v>158</v>
      </c>
      <c r="B93" s="92" t="s">
        <v>159</v>
      </c>
      <c r="C93" s="92" t="s">
        <v>160</v>
      </c>
      <c r="D93" s="92"/>
      <c r="E93" s="93">
        <f>DSUM($B$53:$Y$55,E$53,$B$62:$C93)</f>
        <v>5.8579100721019552E-2</v>
      </c>
      <c r="F93" s="93">
        <f>DSUM($B$53:$Y$55,F$53,$B$62:$C93)</f>
        <v>8.6108356493609053E-2</v>
      </c>
      <c r="G93" s="93">
        <f>DSUM($B$53:$Y$55,G$53,$B$62:$C93)</f>
        <v>9.6155055834682229E-2</v>
      </c>
      <c r="H93" s="93">
        <f>DSUM($B$53:$Y$55,H$53,$B$62:$C93)</f>
        <v>0.1124762743357684</v>
      </c>
      <c r="I93" s="93">
        <f>DSUM($B$53:$Y$55,I$53,$B$62:$C93)</f>
        <v>0.10855836952869645</v>
      </c>
      <c r="J93" s="93">
        <f>DSUM($B$53:$Y$55,J$53,$B$62:$C93)</f>
        <v>0.10881933609519039</v>
      </c>
      <c r="K93" s="93">
        <f>DSUM($B$53:$Y$55,K$53,$B$62:$C93)</f>
        <v>0.12835026972308941</v>
      </c>
      <c r="L93" s="93">
        <f>DSUM($B$53:$Y$55,L$53,$B$62:$C93)</f>
        <v>0.13540415049179771</v>
      </c>
      <c r="M93" s="93">
        <f>DSUM($B$53:$Y$55,M$53,$B$62:$C93)</f>
        <v>0.15270079903086023</v>
      </c>
      <c r="N93" s="93">
        <f>DSUM($B$53:$Y$55,N$53,$B$62:$C93)</f>
        <v>0.16941461544494188</v>
      </c>
      <c r="O93" s="93">
        <f>DSUM($B$53:$Y$55,O$53,$B$62:$C93)</f>
        <v>0.18572454225106977</v>
      </c>
      <c r="P93" s="93">
        <f>DSUM($B$53:$Y$55,P$53,$B$62:$C93)</f>
        <v>0.21396590138931457</v>
      </c>
      <c r="Q93" s="93">
        <f>DSUM($B$53:$Y$55,Q$53,$B$62:$C93)</f>
        <v>0.23536110790359388</v>
      </c>
      <c r="R93" s="93">
        <f>DSUM($B$53:$Y$55,R$53,$B$62:$C93)</f>
        <v>0.2277519066393428</v>
      </c>
      <c r="S93" s="93">
        <f>DSUM($B$53:$Y$55,S$53,$B$62:$C93)</f>
        <v>0.24154125908429405</v>
      </c>
      <c r="T93" s="93">
        <f>DSUM($B$53:$Y$55,T$53,$B$62:$C93)</f>
        <v>0.23525279103135455</v>
      </c>
      <c r="U93" s="93">
        <f>DSUM($B$53:$Y$55,U$53,$B$62:$C93)</f>
        <v>0.23131368063533228</v>
      </c>
      <c r="V93" s="93">
        <f>DSUM($B$53:$Y$55,V$53,$B$62:$C93)</f>
        <v>0.22019170410756517</v>
      </c>
      <c r="W93" s="93">
        <f>DSUM($B$53:$Y$55,W$53,$B$62:$C93)</f>
        <v>0.21597913668066065</v>
      </c>
      <c r="X93" s="93">
        <f>DSUM($B$53:$Y$55,X$53,$B$62:$C93)</f>
        <v>0.2186286882634618</v>
      </c>
      <c r="Y93" s="45">
        <f>DSUM($B$53:$Y$55,Y$53,$B$62:$C93)</f>
        <v>3.3822770456856448</v>
      </c>
      <c r="AA93" s="24"/>
      <c r="AB93" s="24"/>
      <c r="AC93" s="24"/>
    </row>
    <row r="94" spans="1:29">
      <c r="A94" s="24" t="s">
        <v>161</v>
      </c>
      <c r="B94" s="92" t="s">
        <v>162</v>
      </c>
      <c r="C94" s="92" t="s">
        <v>163</v>
      </c>
      <c r="D94" s="92"/>
      <c r="E94" s="93">
        <f>DSUM($B$53:$Y$55,E$53,$B$62:$C94)</f>
        <v>5.8579100721019552E-2</v>
      </c>
      <c r="F94" s="93">
        <f>DSUM($B$53:$Y$55,F$53,$B$62:$C94)</f>
        <v>8.6108356493609053E-2</v>
      </c>
      <c r="G94" s="93">
        <f>DSUM($B$53:$Y$55,G$53,$B$62:$C94)</f>
        <v>9.6155055834682229E-2</v>
      </c>
      <c r="H94" s="93">
        <f>DSUM($B$53:$Y$55,H$53,$B$62:$C94)</f>
        <v>0.1124762743357684</v>
      </c>
      <c r="I94" s="93">
        <f>DSUM($B$53:$Y$55,I$53,$B$62:$C94)</f>
        <v>0.10855836952869645</v>
      </c>
      <c r="J94" s="93">
        <f>DSUM($B$53:$Y$55,J$53,$B$62:$C94)</f>
        <v>0.10881933609519039</v>
      </c>
      <c r="K94" s="93">
        <f>DSUM($B$53:$Y$55,K$53,$B$62:$C94)</f>
        <v>0.12835026972308941</v>
      </c>
      <c r="L94" s="93">
        <f>DSUM($B$53:$Y$55,L$53,$B$62:$C94)</f>
        <v>0.13540415049179771</v>
      </c>
      <c r="M94" s="93">
        <f>DSUM($B$53:$Y$55,M$53,$B$62:$C94)</f>
        <v>0.15270079903086023</v>
      </c>
      <c r="N94" s="93">
        <f>DSUM($B$53:$Y$55,N$53,$B$62:$C94)</f>
        <v>0.16941461544494188</v>
      </c>
      <c r="O94" s="93">
        <f>DSUM($B$53:$Y$55,O$53,$B$62:$C94)</f>
        <v>0.18572454225106977</v>
      </c>
      <c r="P94" s="93">
        <f>DSUM($B$53:$Y$55,P$53,$B$62:$C94)</f>
        <v>0.21396590138931457</v>
      </c>
      <c r="Q94" s="93">
        <f>DSUM($B$53:$Y$55,Q$53,$B$62:$C94)</f>
        <v>0.23536110790359388</v>
      </c>
      <c r="R94" s="93">
        <f>DSUM($B$53:$Y$55,R$53,$B$62:$C94)</f>
        <v>0.2277519066393428</v>
      </c>
      <c r="S94" s="93">
        <f>DSUM($B$53:$Y$55,S$53,$B$62:$C94)</f>
        <v>0.24154125908429405</v>
      </c>
      <c r="T94" s="93">
        <f>DSUM($B$53:$Y$55,T$53,$B$62:$C94)</f>
        <v>0.23525279103135455</v>
      </c>
      <c r="U94" s="93">
        <f>DSUM($B$53:$Y$55,U$53,$B$62:$C94)</f>
        <v>0.23131368063533228</v>
      </c>
      <c r="V94" s="93">
        <f>DSUM($B$53:$Y$55,V$53,$B$62:$C94)</f>
        <v>0.22019170410756517</v>
      </c>
      <c r="W94" s="93">
        <f>DSUM($B$53:$Y$55,W$53,$B$62:$C94)</f>
        <v>0.21597913668066065</v>
      </c>
      <c r="X94" s="93">
        <f>DSUM($B$53:$Y$55,X$53,$B$62:$C94)</f>
        <v>0.2186286882634618</v>
      </c>
      <c r="Y94" s="45">
        <f>DSUM($B$53:$Y$55,Y$53,$B$62:$C94)</f>
        <v>3.3822770456856448</v>
      </c>
      <c r="AA94" s="24"/>
      <c r="AB94" s="24"/>
      <c r="AC94" s="24"/>
    </row>
    <row r="95" spans="1:29">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row>
    <row r="96" spans="1:29">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row>
    <row r="97" spans="1:29" ht="15">
      <c r="A97" s="268" t="s">
        <v>164</v>
      </c>
      <c r="B97" s="271"/>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row>
    <row r="98" spans="1:29" ht="15">
      <c r="A98" s="24"/>
      <c r="B98" s="24"/>
      <c r="C98" s="64" t="s">
        <v>165</v>
      </c>
      <c r="D98" s="64"/>
      <c r="E98" s="274">
        <f>E61</f>
        <v>2016</v>
      </c>
      <c r="F98" s="274">
        <f t="shared" ref="F98:X99" si="16">F61</f>
        <v>2017</v>
      </c>
      <c r="G98" s="274">
        <f t="shared" si="16"/>
        <v>2018</v>
      </c>
      <c r="H98" s="274">
        <f t="shared" si="16"/>
        <v>2019</v>
      </c>
      <c r="I98" s="274">
        <f t="shared" si="16"/>
        <v>2020</v>
      </c>
      <c r="J98" s="274">
        <f t="shared" si="16"/>
        <v>2021</v>
      </c>
      <c r="K98" s="274">
        <f t="shared" si="16"/>
        <v>2022</v>
      </c>
      <c r="L98" s="274">
        <f t="shared" si="16"/>
        <v>2023</v>
      </c>
      <c r="M98" s="274">
        <f t="shared" si="16"/>
        <v>2024</v>
      </c>
      <c r="N98" s="274">
        <f t="shared" si="16"/>
        <v>2025</v>
      </c>
      <c r="O98" s="274">
        <f t="shared" si="16"/>
        <v>2026</v>
      </c>
      <c r="P98" s="274">
        <f t="shared" si="16"/>
        <v>2027</v>
      </c>
      <c r="Q98" s="274">
        <f t="shared" si="16"/>
        <v>2028</v>
      </c>
      <c r="R98" s="274">
        <f t="shared" si="16"/>
        <v>2029</v>
      </c>
      <c r="S98" s="274">
        <f t="shared" si="16"/>
        <v>2030</v>
      </c>
      <c r="T98" s="274">
        <f t="shared" si="16"/>
        <v>2031</v>
      </c>
      <c r="U98" s="274">
        <f t="shared" si="16"/>
        <v>2032</v>
      </c>
      <c r="V98" s="274">
        <f t="shared" si="16"/>
        <v>2033</v>
      </c>
      <c r="W98" s="274">
        <f t="shared" si="16"/>
        <v>2034</v>
      </c>
      <c r="X98" s="274">
        <f t="shared" si="16"/>
        <v>2035</v>
      </c>
      <c r="Y98" s="67" t="s">
        <v>53</v>
      </c>
      <c r="AA98" s="24"/>
      <c r="AB98" s="24"/>
      <c r="AC98" s="24"/>
    </row>
    <row r="99" spans="1:29" ht="15">
      <c r="A99" s="24"/>
      <c r="B99" s="24"/>
      <c r="C99" s="64">
        <f>C9</f>
        <v>2035</v>
      </c>
      <c r="D99" s="64"/>
      <c r="E99" s="86" t="str">
        <f>E62</f>
        <v>aMW_2016</v>
      </c>
      <c r="F99" s="86" t="str">
        <f t="shared" si="16"/>
        <v>aMW_2017</v>
      </c>
      <c r="G99" s="86" t="str">
        <f t="shared" si="16"/>
        <v>aMW_2018</v>
      </c>
      <c r="H99" s="86" t="str">
        <f t="shared" si="16"/>
        <v>aMW_2019</v>
      </c>
      <c r="I99" s="86" t="str">
        <f t="shared" si="16"/>
        <v>aMW_2020</v>
      </c>
      <c r="J99" s="86" t="str">
        <f t="shared" si="16"/>
        <v>aMW_2021</v>
      </c>
      <c r="K99" s="86" t="str">
        <f t="shared" si="16"/>
        <v>aMW_2022</v>
      </c>
      <c r="L99" s="86" t="str">
        <f t="shared" si="16"/>
        <v>aMW_2023</v>
      </c>
      <c r="M99" s="86" t="str">
        <f t="shared" si="16"/>
        <v>aMW_2024</v>
      </c>
      <c r="N99" s="86" t="str">
        <f t="shared" si="16"/>
        <v>aMW_2025</v>
      </c>
      <c r="O99" s="86" t="str">
        <f t="shared" si="16"/>
        <v>aMW_2026</v>
      </c>
      <c r="P99" s="86" t="str">
        <f t="shared" si="16"/>
        <v>aMW_2027</v>
      </c>
      <c r="Q99" s="86" t="str">
        <f t="shared" si="16"/>
        <v>aMW_2028</v>
      </c>
      <c r="R99" s="86" t="str">
        <f t="shared" si="16"/>
        <v>aMW_2029</v>
      </c>
      <c r="S99" s="86" t="str">
        <f t="shared" si="16"/>
        <v>aMW_2030</v>
      </c>
      <c r="T99" s="86" t="str">
        <f t="shared" si="16"/>
        <v>aMW_2031</v>
      </c>
      <c r="U99" s="86" t="str">
        <f t="shared" si="16"/>
        <v>aMW_2032</v>
      </c>
      <c r="V99" s="86" t="str">
        <f t="shared" si="16"/>
        <v>aMW_2033</v>
      </c>
      <c r="W99" s="86" t="str">
        <f t="shared" si="16"/>
        <v>aMW_2034</v>
      </c>
      <c r="X99" s="86" t="str">
        <f t="shared" si="16"/>
        <v>aMW_2035</v>
      </c>
      <c r="Y99" s="67" t="s">
        <v>53</v>
      </c>
      <c r="AA99" s="24"/>
      <c r="AB99" s="24"/>
      <c r="AC99" s="24"/>
    </row>
    <row r="100" spans="1:29">
      <c r="A100" s="24"/>
      <c r="B100" s="24"/>
      <c r="C100" s="24" t="s">
        <v>68</v>
      </c>
      <c r="D100" s="24"/>
      <c r="E100" s="94">
        <f t="shared" ref="E100:X100" si="17">E63</f>
        <v>0</v>
      </c>
      <c r="F100" s="94">
        <f t="shared" si="17"/>
        <v>0</v>
      </c>
      <c r="G100" s="94">
        <f t="shared" si="17"/>
        <v>0</v>
      </c>
      <c r="H100" s="94">
        <f t="shared" si="17"/>
        <v>0</v>
      </c>
      <c r="I100" s="94">
        <f t="shared" si="17"/>
        <v>0</v>
      </c>
      <c r="J100" s="94">
        <f t="shared" si="17"/>
        <v>0</v>
      </c>
      <c r="K100" s="94">
        <f t="shared" si="17"/>
        <v>0</v>
      </c>
      <c r="L100" s="94">
        <f t="shared" si="17"/>
        <v>0</v>
      </c>
      <c r="M100" s="94">
        <f t="shared" si="17"/>
        <v>0</v>
      </c>
      <c r="N100" s="94">
        <f t="shared" si="17"/>
        <v>0</v>
      </c>
      <c r="O100" s="94">
        <f t="shared" si="17"/>
        <v>0</v>
      </c>
      <c r="P100" s="94">
        <f t="shared" si="17"/>
        <v>0</v>
      </c>
      <c r="Q100" s="94">
        <f t="shared" si="17"/>
        <v>0</v>
      </c>
      <c r="R100" s="94">
        <f t="shared" si="17"/>
        <v>0</v>
      </c>
      <c r="S100" s="94">
        <f t="shared" si="17"/>
        <v>0</v>
      </c>
      <c r="T100" s="94">
        <f t="shared" si="17"/>
        <v>0</v>
      </c>
      <c r="U100" s="94">
        <f t="shared" si="17"/>
        <v>0</v>
      </c>
      <c r="V100" s="94">
        <f t="shared" si="17"/>
        <v>0</v>
      </c>
      <c r="W100" s="94">
        <f t="shared" si="17"/>
        <v>0</v>
      </c>
      <c r="X100" s="94">
        <f t="shared" si="17"/>
        <v>0</v>
      </c>
      <c r="Y100" s="95">
        <f>Y63</f>
        <v>0</v>
      </c>
      <c r="AA100" s="24"/>
      <c r="AB100" s="24"/>
      <c r="AC100" s="24"/>
    </row>
    <row r="101" spans="1:29">
      <c r="A101" s="24"/>
      <c r="B101" s="24"/>
      <c r="C101" s="24" t="s">
        <v>71</v>
      </c>
      <c r="D101" s="24"/>
      <c r="E101" s="94">
        <f t="shared" ref="E101:Y113" si="18">E64-E63</f>
        <v>4.8601314500107184E-2</v>
      </c>
      <c r="F101" s="94">
        <f t="shared" si="18"/>
        <v>7.1441508379652741E-2</v>
      </c>
      <c r="G101" s="94">
        <f t="shared" si="18"/>
        <v>7.9776952050748723E-2</v>
      </c>
      <c r="H101" s="94">
        <f t="shared" si="18"/>
        <v>9.331817517696217E-2</v>
      </c>
      <c r="I101" s="94">
        <f t="shared" si="18"/>
        <v>9.0067607630409524E-2</v>
      </c>
      <c r="J101" s="94">
        <f t="shared" si="18"/>
        <v>9.0284123726014825E-2</v>
      </c>
      <c r="K101" s="94">
        <f t="shared" si="18"/>
        <v>0.10648835076341681</v>
      </c>
      <c r="L101" s="94">
        <f t="shared" si="18"/>
        <v>0.11234074305805025</v>
      </c>
      <c r="M101" s="94">
        <f t="shared" si="18"/>
        <v>0.12669125109074109</v>
      </c>
      <c r="N101" s="94">
        <f t="shared" si="18"/>
        <v>0.14055820087384621</v>
      </c>
      <c r="O101" s="94">
        <f t="shared" si="18"/>
        <v>0.15409005562104475</v>
      </c>
      <c r="P101" s="94">
        <f t="shared" si="18"/>
        <v>0.17752106020278294</v>
      </c>
      <c r="Q101" s="94">
        <f t="shared" si="18"/>
        <v>0.19527201827138493</v>
      </c>
      <c r="R101" s="94">
        <f t="shared" si="18"/>
        <v>0.18895889329700682</v>
      </c>
      <c r="S101" s="94">
        <f t="shared" si="18"/>
        <v>0.20039950345798563</v>
      </c>
      <c r="T101" s="94">
        <f t="shared" si="18"/>
        <v>0.19518215102677763</v>
      </c>
      <c r="U101" s="94">
        <f t="shared" si="18"/>
        <v>0.19191398984213479</v>
      </c>
      <c r="V101" s="94">
        <f t="shared" si="18"/>
        <v>0.18268642109431238</v>
      </c>
      <c r="W101" s="94">
        <f t="shared" si="18"/>
        <v>0.17919138085217995</v>
      </c>
      <c r="X101" s="94">
        <f t="shared" si="18"/>
        <v>0.18138963395226157</v>
      </c>
      <c r="Y101" s="95">
        <f t="shared" si="18"/>
        <v>2.8061733348678208</v>
      </c>
      <c r="AA101" s="24"/>
      <c r="AB101" s="24"/>
      <c r="AC101" s="24"/>
    </row>
    <row r="102" spans="1:29">
      <c r="A102" s="24"/>
      <c r="B102" s="24"/>
      <c r="C102" s="24" t="s">
        <v>74</v>
      </c>
      <c r="D102" s="24"/>
      <c r="E102" s="94">
        <f t="shared" si="18"/>
        <v>0</v>
      </c>
      <c r="F102" s="94">
        <f t="shared" si="18"/>
        <v>0</v>
      </c>
      <c r="G102" s="94">
        <f t="shared" si="18"/>
        <v>0</v>
      </c>
      <c r="H102" s="94">
        <f t="shared" si="18"/>
        <v>0</v>
      </c>
      <c r="I102" s="94">
        <f t="shared" si="18"/>
        <v>0</v>
      </c>
      <c r="J102" s="94">
        <f t="shared" si="18"/>
        <v>0</v>
      </c>
      <c r="K102" s="94">
        <f t="shared" si="18"/>
        <v>0</v>
      </c>
      <c r="L102" s="94">
        <f t="shared" si="18"/>
        <v>0</v>
      </c>
      <c r="M102" s="94">
        <f t="shared" si="18"/>
        <v>0</v>
      </c>
      <c r="N102" s="94">
        <f t="shared" si="18"/>
        <v>0</v>
      </c>
      <c r="O102" s="94">
        <f t="shared" si="18"/>
        <v>0</v>
      </c>
      <c r="P102" s="94">
        <f t="shared" si="18"/>
        <v>0</v>
      </c>
      <c r="Q102" s="94">
        <f t="shared" si="18"/>
        <v>0</v>
      </c>
      <c r="R102" s="94">
        <f t="shared" si="18"/>
        <v>0</v>
      </c>
      <c r="S102" s="94">
        <f t="shared" si="18"/>
        <v>0</v>
      </c>
      <c r="T102" s="94">
        <f t="shared" si="18"/>
        <v>0</v>
      </c>
      <c r="U102" s="94">
        <f t="shared" si="18"/>
        <v>0</v>
      </c>
      <c r="V102" s="94">
        <f t="shared" si="18"/>
        <v>0</v>
      </c>
      <c r="W102" s="94">
        <f t="shared" si="18"/>
        <v>0</v>
      </c>
      <c r="X102" s="94">
        <f t="shared" si="18"/>
        <v>0</v>
      </c>
      <c r="Y102" s="95">
        <f t="shared" si="18"/>
        <v>0</v>
      </c>
      <c r="AA102" s="24"/>
      <c r="AB102" s="24"/>
      <c r="AC102" s="24"/>
    </row>
    <row r="103" spans="1:29">
      <c r="A103" s="24"/>
      <c r="B103" s="24"/>
      <c r="C103" s="24" t="s">
        <v>77</v>
      </c>
      <c r="D103" s="24"/>
      <c r="E103" s="94">
        <f t="shared" si="18"/>
        <v>9.9777862209123672E-3</v>
      </c>
      <c r="F103" s="94">
        <f t="shared" si="18"/>
        <v>1.4666848113956313E-2</v>
      </c>
      <c r="G103" s="94">
        <f t="shared" si="18"/>
        <v>1.6378103783933506E-2</v>
      </c>
      <c r="H103" s="94">
        <f t="shared" si="18"/>
        <v>1.915809915880623E-2</v>
      </c>
      <c r="I103" s="94">
        <f t="shared" si="18"/>
        <v>1.8490761898286925E-2</v>
      </c>
      <c r="J103" s="94">
        <f t="shared" si="18"/>
        <v>1.853521236917556E-2</v>
      </c>
      <c r="K103" s="94">
        <f t="shared" si="18"/>
        <v>2.1861918959672599E-2</v>
      </c>
      <c r="L103" s="94">
        <f t="shared" si="18"/>
        <v>2.3063407433747463E-2</v>
      </c>
      <c r="M103" s="94">
        <f t="shared" si="18"/>
        <v>2.6009547940119143E-2</v>
      </c>
      <c r="N103" s="94">
        <f t="shared" si="18"/>
        <v>2.8856414571095668E-2</v>
      </c>
      <c r="O103" s="94">
        <f t="shared" si="18"/>
        <v>3.1634486630025022E-2</v>
      </c>
      <c r="P103" s="94">
        <f t="shared" si="18"/>
        <v>3.6444841186531629E-2</v>
      </c>
      <c r="Q103" s="94">
        <f t="shared" si="18"/>
        <v>4.0089089632208946E-2</v>
      </c>
      <c r="R103" s="94">
        <f t="shared" si="18"/>
        <v>3.879301334233598E-2</v>
      </c>
      <c r="S103" s="94">
        <f t="shared" si="18"/>
        <v>4.1141755626308424E-2</v>
      </c>
      <c r="T103" s="94">
        <f t="shared" si="18"/>
        <v>4.0070640004576913E-2</v>
      </c>
      <c r="U103" s="94">
        <f t="shared" si="18"/>
        <v>3.9399690793197495E-2</v>
      </c>
      <c r="V103" s="94">
        <f t="shared" si="18"/>
        <v>3.7505283013252788E-2</v>
      </c>
      <c r="W103" s="94">
        <f t="shared" si="18"/>
        <v>3.6787755828480706E-2</v>
      </c>
      <c r="X103" s="94">
        <f t="shared" si="18"/>
        <v>3.7239054311200226E-2</v>
      </c>
      <c r="Y103" s="95">
        <f t="shared" si="18"/>
        <v>0.57610371081782397</v>
      </c>
      <c r="AA103" s="24"/>
      <c r="AB103" s="24"/>
      <c r="AC103" s="24"/>
    </row>
    <row r="104" spans="1:29">
      <c r="A104" s="24"/>
      <c r="B104" s="24"/>
      <c r="C104" s="24" t="s">
        <v>80</v>
      </c>
      <c r="D104" s="24"/>
      <c r="E104" s="94">
        <f t="shared" si="18"/>
        <v>0</v>
      </c>
      <c r="F104" s="94">
        <f t="shared" si="18"/>
        <v>0</v>
      </c>
      <c r="G104" s="94">
        <f t="shared" si="18"/>
        <v>0</v>
      </c>
      <c r="H104" s="94">
        <f t="shared" si="18"/>
        <v>0</v>
      </c>
      <c r="I104" s="94">
        <f t="shared" si="18"/>
        <v>0</v>
      </c>
      <c r="J104" s="94">
        <f t="shared" si="18"/>
        <v>0</v>
      </c>
      <c r="K104" s="94">
        <f t="shared" si="18"/>
        <v>0</v>
      </c>
      <c r="L104" s="94">
        <f t="shared" si="18"/>
        <v>0</v>
      </c>
      <c r="M104" s="94">
        <f t="shared" si="18"/>
        <v>0</v>
      </c>
      <c r="N104" s="94">
        <f t="shared" si="18"/>
        <v>0</v>
      </c>
      <c r="O104" s="94">
        <f t="shared" si="18"/>
        <v>0</v>
      </c>
      <c r="P104" s="94">
        <f t="shared" si="18"/>
        <v>0</v>
      </c>
      <c r="Q104" s="94">
        <f t="shared" si="18"/>
        <v>0</v>
      </c>
      <c r="R104" s="94">
        <f t="shared" si="18"/>
        <v>0</v>
      </c>
      <c r="S104" s="94">
        <f t="shared" si="18"/>
        <v>0</v>
      </c>
      <c r="T104" s="94">
        <f t="shared" si="18"/>
        <v>0</v>
      </c>
      <c r="U104" s="94">
        <f t="shared" si="18"/>
        <v>0</v>
      </c>
      <c r="V104" s="94">
        <f t="shared" si="18"/>
        <v>0</v>
      </c>
      <c r="W104" s="94">
        <f t="shared" si="18"/>
        <v>0</v>
      </c>
      <c r="X104" s="94">
        <f t="shared" si="18"/>
        <v>0</v>
      </c>
      <c r="Y104" s="95">
        <f t="shared" si="18"/>
        <v>0</v>
      </c>
      <c r="AA104" s="24"/>
      <c r="AB104" s="24"/>
      <c r="AC104" s="24"/>
    </row>
    <row r="105" spans="1:29">
      <c r="A105" s="24"/>
      <c r="B105" s="24"/>
      <c r="C105" s="24" t="s">
        <v>83</v>
      </c>
      <c r="D105" s="24"/>
      <c r="E105" s="94">
        <f t="shared" si="18"/>
        <v>0</v>
      </c>
      <c r="F105" s="94">
        <f t="shared" si="18"/>
        <v>0</v>
      </c>
      <c r="G105" s="94">
        <f t="shared" si="18"/>
        <v>0</v>
      </c>
      <c r="H105" s="94">
        <f t="shared" si="18"/>
        <v>0</v>
      </c>
      <c r="I105" s="94">
        <f t="shared" si="18"/>
        <v>0</v>
      </c>
      <c r="J105" s="94">
        <f t="shared" si="18"/>
        <v>0</v>
      </c>
      <c r="K105" s="94">
        <f t="shared" si="18"/>
        <v>0</v>
      </c>
      <c r="L105" s="94">
        <f t="shared" si="18"/>
        <v>0</v>
      </c>
      <c r="M105" s="94">
        <f t="shared" si="18"/>
        <v>0</v>
      </c>
      <c r="N105" s="94">
        <f t="shared" si="18"/>
        <v>0</v>
      </c>
      <c r="O105" s="94">
        <f t="shared" si="18"/>
        <v>0</v>
      </c>
      <c r="P105" s="94">
        <f t="shared" si="18"/>
        <v>0</v>
      </c>
      <c r="Q105" s="94">
        <f t="shared" si="18"/>
        <v>0</v>
      </c>
      <c r="R105" s="94">
        <f t="shared" si="18"/>
        <v>0</v>
      </c>
      <c r="S105" s="94">
        <f t="shared" si="18"/>
        <v>0</v>
      </c>
      <c r="T105" s="94">
        <f t="shared" si="18"/>
        <v>0</v>
      </c>
      <c r="U105" s="94">
        <f t="shared" si="18"/>
        <v>0</v>
      </c>
      <c r="V105" s="94">
        <f t="shared" si="18"/>
        <v>0</v>
      </c>
      <c r="W105" s="94">
        <f t="shared" si="18"/>
        <v>0</v>
      </c>
      <c r="X105" s="94">
        <f t="shared" si="18"/>
        <v>0</v>
      </c>
      <c r="Y105" s="95">
        <f t="shared" si="18"/>
        <v>0</v>
      </c>
      <c r="AA105" s="24"/>
      <c r="AB105" s="24"/>
      <c r="AC105" s="24"/>
    </row>
    <row r="106" spans="1:29">
      <c r="A106" s="24"/>
      <c r="B106" s="24"/>
      <c r="C106" s="24" t="s">
        <v>86</v>
      </c>
      <c r="D106" s="24"/>
      <c r="E106" s="94">
        <f t="shared" si="18"/>
        <v>0</v>
      </c>
      <c r="F106" s="94">
        <f t="shared" si="18"/>
        <v>0</v>
      </c>
      <c r="G106" s="94">
        <f t="shared" si="18"/>
        <v>0</v>
      </c>
      <c r="H106" s="94">
        <f t="shared" si="18"/>
        <v>0</v>
      </c>
      <c r="I106" s="94">
        <f t="shared" si="18"/>
        <v>0</v>
      </c>
      <c r="J106" s="94">
        <f t="shared" si="18"/>
        <v>0</v>
      </c>
      <c r="K106" s="94">
        <f t="shared" si="18"/>
        <v>0</v>
      </c>
      <c r="L106" s="94">
        <f t="shared" si="18"/>
        <v>0</v>
      </c>
      <c r="M106" s="94">
        <f t="shared" si="18"/>
        <v>0</v>
      </c>
      <c r="N106" s="94">
        <f t="shared" si="18"/>
        <v>0</v>
      </c>
      <c r="O106" s="94">
        <f t="shared" si="18"/>
        <v>0</v>
      </c>
      <c r="P106" s="94">
        <f t="shared" si="18"/>
        <v>0</v>
      </c>
      <c r="Q106" s="94">
        <f t="shared" si="18"/>
        <v>0</v>
      </c>
      <c r="R106" s="94">
        <f t="shared" si="18"/>
        <v>0</v>
      </c>
      <c r="S106" s="94">
        <f t="shared" si="18"/>
        <v>0</v>
      </c>
      <c r="T106" s="94">
        <f t="shared" si="18"/>
        <v>0</v>
      </c>
      <c r="U106" s="94">
        <f t="shared" si="18"/>
        <v>0</v>
      </c>
      <c r="V106" s="94">
        <f t="shared" si="18"/>
        <v>0</v>
      </c>
      <c r="W106" s="94">
        <f t="shared" si="18"/>
        <v>0</v>
      </c>
      <c r="X106" s="94">
        <f t="shared" si="18"/>
        <v>0</v>
      </c>
      <c r="Y106" s="95">
        <f t="shared" si="18"/>
        <v>0</v>
      </c>
      <c r="AA106" s="24"/>
      <c r="AB106" s="24"/>
      <c r="AC106" s="24"/>
    </row>
    <row r="107" spans="1:29">
      <c r="A107" s="24"/>
      <c r="B107" s="24"/>
      <c r="C107" s="24" t="s">
        <v>89</v>
      </c>
      <c r="D107" s="24"/>
      <c r="E107" s="94">
        <f t="shared" si="18"/>
        <v>0</v>
      </c>
      <c r="F107" s="94">
        <f t="shared" si="18"/>
        <v>0</v>
      </c>
      <c r="G107" s="94">
        <f t="shared" si="18"/>
        <v>0</v>
      </c>
      <c r="H107" s="94">
        <f t="shared" si="18"/>
        <v>0</v>
      </c>
      <c r="I107" s="94">
        <f t="shared" si="18"/>
        <v>0</v>
      </c>
      <c r="J107" s="94">
        <f t="shared" si="18"/>
        <v>0</v>
      </c>
      <c r="K107" s="94">
        <f t="shared" si="18"/>
        <v>0</v>
      </c>
      <c r="L107" s="94">
        <f t="shared" si="18"/>
        <v>0</v>
      </c>
      <c r="M107" s="94">
        <f t="shared" si="18"/>
        <v>0</v>
      </c>
      <c r="N107" s="94">
        <f t="shared" si="18"/>
        <v>0</v>
      </c>
      <c r="O107" s="94">
        <f t="shared" si="18"/>
        <v>0</v>
      </c>
      <c r="P107" s="94">
        <f t="shared" si="18"/>
        <v>0</v>
      </c>
      <c r="Q107" s="94">
        <f t="shared" si="18"/>
        <v>0</v>
      </c>
      <c r="R107" s="94">
        <f t="shared" si="18"/>
        <v>0</v>
      </c>
      <c r="S107" s="94">
        <f t="shared" si="18"/>
        <v>0</v>
      </c>
      <c r="T107" s="94">
        <f t="shared" si="18"/>
        <v>0</v>
      </c>
      <c r="U107" s="94">
        <f t="shared" si="18"/>
        <v>0</v>
      </c>
      <c r="V107" s="94">
        <f t="shared" si="18"/>
        <v>0</v>
      </c>
      <c r="W107" s="94">
        <f t="shared" si="18"/>
        <v>0</v>
      </c>
      <c r="X107" s="94">
        <f t="shared" si="18"/>
        <v>0</v>
      </c>
      <c r="Y107" s="95">
        <f t="shared" si="18"/>
        <v>0</v>
      </c>
      <c r="AA107" s="24"/>
      <c r="AB107" s="24"/>
      <c r="AC107" s="24"/>
    </row>
    <row r="108" spans="1:29">
      <c r="A108" s="24"/>
      <c r="B108" s="24"/>
      <c r="C108" s="24" t="s">
        <v>92</v>
      </c>
      <c r="D108" s="24"/>
      <c r="E108" s="94">
        <f t="shared" si="18"/>
        <v>0</v>
      </c>
      <c r="F108" s="94">
        <f t="shared" si="18"/>
        <v>0</v>
      </c>
      <c r="G108" s="94">
        <f t="shared" si="18"/>
        <v>0</v>
      </c>
      <c r="H108" s="94">
        <f t="shared" si="18"/>
        <v>0</v>
      </c>
      <c r="I108" s="94">
        <f t="shared" si="18"/>
        <v>0</v>
      </c>
      <c r="J108" s="94">
        <f t="shared" si="18"/>
        <v>0</v>
      </c>
      <c r="K108" s="94">
        <f t="shared" si="18"/>
        <v>0</v>
      </c>
      <c r="L108" s="94">
        <f t="shared" si="18"/>
        <v>0</v>
      </c>
      <c r="M108" s="94">
        <f t="shared" si="18"/>
        <v>0</v>
      </c>
      <c r="N108" s="94">
        <f t="shared" si="18"/>
        <v>0</v>
      </c>
      <c r="O108" s="94">
        <f t="shared" si="18"/>
        <v>0</v>
      </c>
      <c r="P108" s="94">
        <f t="shared" si="18"/>
        <v>0</v>
      </c>
      <c r="Q108" s="94">
        <f t="shared" si="18"/>
        <v>0</v>
      </c>
      <c r="R108" s="94">
        <f t="shared" si="18"/>
        <v>0</v>
      </c>
      <c r="S108" s="94">
        <f t="shared" si="18"/>
        <v>0</v>
      </c>
      <c r="T108" s="94">
        <f t="shared" si="18"/>
        <v>0</v>
      </c>
      <c r="U108" s="94">
        <f t="shared" si="18"/>
        <v>0</v>
      </c>
      <c r="V108" s="94">
        <f t="shared" si="18"/>
        <v>0</v>
      </c>
      <c r="W108" s="94">
        <f t="shared" si="18"/>
        <v>0</v>
      </c>
      <c r="X108" s="94">
        <f t="shared" si="18"/>
        <v>0</v>
      </c>
      <c r="Y108" s="95">
        <f t="shared" si="18"/>
        <v>0</v>
      </c>
      <c r="AA108" s="24"/>
      <c r="AB108" s="24"/>
      <c r="AC108" s="24"/>
    </row>
    <row r="109" spans="1:29">
      <c r="A109" s="24"/>
      <c r="B109" s="24"/>
      <c r="C109" s="24" t="s">
        <v>95</v>
      </c>
      <c r="D109" s="24"/>
      <c r="E109" s="94">
        <f t="shared" si="18"/>
        <v>0</v>
      </c>
      <c r="F109" s="94">
        <f t="shared" si="18"/>
        <v>0</v>
      </c>
      <c r="G109" s="94">
        <f t="shared" si="18"/>
        <v>0</v>
      </c>
      <c r="H109" s="94">
        <f t="shared" si="18"/>
        <v>0</v>
      </c>
      <c r="I109" s="94">
        <f t="shared" si="18"/>
        <v>0</v>
      </c>
      <c r="J109" s="94">
        <f t="shared" si="18"/>
        <v>0</v>
      </c>
      <c r="K109" s="94">
        <f t="shared" si="18"/>
        <v>0</v>
      </c>
      <c r="L109" s="94">
        <f t="shared" si="18"/>
        <v>0</v>
      </c>
      <c r="M109" s="94">
        <f t="shared" si="18"/>
        <v>0</v>
      </c>
      <c r="N109" s="94">
        <f t="shared" si="18"/>
        <v>0</v>
      </c>
      <c r="O109" s="94">
        <f t="shared" si="18"/>
        <v>0</v>
      </c>
      <c r="P109" s="94">
        <f t="shared" si="18"/>
        <v>0</v>
      </c>
      <c r="Q109" s="94">
        <f t="shared" si="18"/>
        <v>0</v>
      </c>
      <c r="R109" s="94">
        <f t="shared" si="18"/>
        <v>0</v>
      </c>
      <c r="S109" s="94">
        <f t="shared" si="18"/>
        <v>0</v>
      </c>
      <c r="T109" s="94">
        <f t="shared" si="18"/>
        <v>0</v>
      </c>
      <c r="U109" s="94">
        <f t="shared" si="18"/>
        <v>0</v>
      </c>
      <c r="V109" s="94">
        <f t="shared" si="18"/>
        <v>0</v>
      </c>
      <c r="W109" s="94">
        <f t="shared" si="18"/>
        <v>0</v>
      </c>
      <c r="X109" s="94">
        <f t="shared" si="18"/>
        <v>0</v>
      </c>
      <c r="Y109" s="95">
        <f t="shared" si="18"/>
        <v>0</v>
      </c>
      <c r="AA109" s="24"/>
      <c r="AB109" s="24"/>
      <c r="AC109" s="24"/>
    </row>
    <row r="110" spans="1:29">
      <c r="A110" s="24"/>
      <c r="B110" s="24"/>
      <c r="C110" s="24" t="s">
        <v>98</v>
      </c>
      <c r="D110" s="24"/>
      <c r="E110" s="94">
        <f t="shared" si="18"/>
        <v>0</v>
      </c>
      <c r="F110" s="94">
        <f t="shared" si="18"/>
        <v>0</v>
      </c>
      <c r="G110" s="94">
        <f t="shared" si="18"/>
        <v>0</v>
      </c>
      <c r="H110" s="94">
        <f t="shared" si="18"/>
        <v>0</v>
      </c>
      <c r="I110" s="94">
        <f t="shared" si="18"/>
        <v>0</v>
      </c>
      <c r="J110" s="94">
        <f t="shared" si="18"/>
        <v>0</v>
      </c>
      <c r="K110" s="94">
        <f t="shared" si="18"/>
        <v>0</v>
      </c>
      <c r="L110" s="94">
        <f t="shared" si="18"/>
        <v>0</v>
      </c>
      <c r="M110" s="94">
        <f t="shared" si="18"/>
        <v>0</v>
      </c>
      <c r="N110" s="94">
        <f t="shared" si="18"/>
        <v>0</v>
      </c>
      <c r="O110" s="94">
        <f t="shared" si="18"/>
        <v>0</v>
      </c>
      <c r="P110" s="94">
        <f t="shared" si="18"/>
        <v>0</v>
      </c>
      <c r="Q110" s="94">
        <f t="shared" si="18"/>
        <v>0</v>
      </c>
      <c r="R110" s="94">
        <f t="shared" si="18"/>
        <v>0</v>
      </c>
      <c r="S110" s="94">
        <f t="shared" si="18"/>
        <v>0</v>
      </c>
      <c r="T110" s="94">
        <f t="shared" si="18"/>
        <v>0</v>
      </c>
      <c r="U110" s="94">
        <f t="shared" si="18"/>
        <v>0</v>
      </c>
      <c r="V110" s="94">
        <f t="shared" si="18"/>
        <v>0</v>
      </c>
      <c r="W110" s="94">
        <f t="shared" si="18"/>
        <v>0</v>
      </c>
      <c r="X110" s="94">
        <f t="shared" si="18"/>
        <v>0</v>
      </c>
      <c r="Y110" s="95">
        <f t="shared" si="18"/>
        <v>0</v>
      </c>
      <c r="AA110" s="24"/>
      <c r="AB110" s="24"/>
      <c r="AC110" s="24"/>
    </row>
    <row r="111" spans="1:29">
      <c r="A111" s="24"/>
      <c r="B111" s="24"/>
      <c r="C111" s="24" t="s">
        <v>101</v>
      </c>
      <c r="D111" s="24"/>
      <c r="E111" s="94">
        <f t="shared" si="18"/>
        <v>0</v>
      </c>
      <c r="F111" s="94">
        <f t="shared" si="18"/>
        <v>0</v>
      </c>
      <c r="G111" s="94">
        <f t="shared" si="18"/>
        <v>0</v>
      </c>
      <c r="H111" s="94">
        <f t="shared" si="18"/>
        <v>0</v>
      </c>
      <c r="I111" s="94">
        <f t="shared" si="18"/>
        <v>0</v>
      </c>
      <c r="J111" s="94">
        <f t="shared" si="18"/>
        <v>0</v>
      </c>
      <c r="K111" s="94">
        <f t="shared" si="18"/>
        <v>0</v>
      </c>
      <c r="L111" s="94">
        <f t="shared" si="18"/>
        <v>0</v>
      </c>
      <c r="M111" s="94">
        <f t="shared" si="18"/>
        <v>0</v>
      </c>
      <c r="N111" s="94">
        <f t="shared" si="18"/>
        <v>0</v>
      </c>
      <c r="O111" s="94">
        <f t="shared" si="18"/>
        <v>0</v>
      </c>
      <c r="P111" s="94">
        <f t="shared" si="18"/>
        <v>0</v>
      </c>
      <c r="Q111" s="94">
        <f t="shared" si="18"/>
        <v>0</v>
      </c>
      <c r="R111" s="94">
        <f t="shared" si="18"/>
        <v>0</v>
      </c>
      <c r="S111" s="94">
        <f t="shared" si="18"/>
        <v>0</v>
      </c>
      <c r="T111" s="94">
        <f t="shared" si="18"/>
        <v>0</v>
      </c>
      <c r="U111" s="94">
        <f t="shared" si="18"/>
        <v>0</v>
      </c>
      <c r="V111" s="94">
        <f t="shared" si="18"/>
        <v>0</v>
      </c>
      <c r="W111" s="94">
        <f t="shared" si="18"/>
        <v>0</v>
      </c>
      <c r="X111" s="94">
        <f t="shared" si="18"/>
        <v>0</v>
      </c>
      <c r="Y111" s="95">
        <f t="shared" si="18"/>
        <v>0</v>
      </c>
      <c r="AA111" s="24"/>
      <c r="AB111" s="24"/>
      <c r="AC111" s="24"/>
    </row>
    <row r="112" spans="1:29">
      <c r="A112" s="24"/>
      <c r="B112" s="24"/>
      <c r="C112" s="24" t="s">
        <v>104</v>
      </c>
      <c r="D112" s="24"/>
      <c r="E112" s="94">
        <f t="shared" si="18"/>
        <v>0</v>
      </c>
      <c r="F112" s="94">
        <f t="shared" si="18"/>
        <v>0</v>
      </c>
      <c r="G112" s="94">
        <f t="shared" si="18"/>
        <v>0</v>
      </c>
      <c r="H112" s="94">
        <f t="shared" si="18"/>
        <v>0</v>
      </c>
      <c r="I112" s="94">
        <f t="shared" si="18"/>
        <v>0</v>
      </c>
      <c r="J112" s="94">
        <f t="shared" si="18"/>
        <v>0</v>
      </c>
      <c r="K112" s="94">
        <f t="shared" si="18"/>
        <v>0</v>
      </c>
      <c r="L112" s="94">
        <f t="shared" si="18"/>
        <v>0</v>
      </c>
      <c r="M112" s="94">
        <f t="shared" si="18"/>
        <v>0</v>
      </c>
      <c r="N112" s="94">
        <f t="shared" si="18"/>
        <v>0</v>
      </c>
      <c r="O112" s="94">
        <f t="shared" si="18"/>
        <v>0</v>
      </c>
      <c r="P112" s="94">
        <f t="shared" si="18"/>
        <v>0</v>
      </c>
      <c r="Q112" s="94">
        <f t="shared" si="18"/>
        <v>0</v>
      </c>
      <c r="R112" s="94">
        <f t="shared" si="18"/>
        <v>0</v>
      </c>
      <c r="S112" s="94">
        <f t="shared" si="18"/>
        <v>0</v>
      </c>
      <c r="T112" s="94">
        <f t="shared" si="18"/>
        <v>0</v>
      </c>
      <c r="U112" s="94">
        <f t="shared" si="18"/>
        <v>0</v>
      </c>
      <c r="V112" s="94">
        <f t="shared" si="18"/>
        <v>0</v>
      </c>
      <c r="W112" s="94">
        <f t="shared" si="18"/>
        <v>0</v>
      </c>
      <c r="X112" s="94">
        <f t="shared" si="18"/>
        <v>0</v>
      </c>
      <c r="Y112" s="95">
        <f t="shared" si="18"/>
        <v>0</v>
      </c>
      <c r="AA112" s="24"/>
      <c r="AB112" s="24"/>
      <c r="AC112" s="24"/>
    </row>
    <row r="113" spans="1:29">
      <c r="A113" s="24"/>
      <c r="B113" s="24"/>
      <c r="C113" s="24" t="s">
        <v>107</v>
      </c>
      <c r="D113" s="24"/>
      <c r="E113" s="94">
        <f t="shared" si="18"/>
        <v>0</v>
      </c>
      <c r="F113" s="94">
        <f t="shared" si="18"/>
        <v>0</v>
      </c>
      <c r="G113" s="94">
        <f t="shared" si="18"/>
        <v>0</v>
      </c>
      <c r="H113" s="94">
        <f t="shared" ref="H113:Y128" si="19">H76-H75</f>
        <v>0</v>
      </c>
      <c r="I113" s="94">
        <f t="shared" si="19"/>
        <v>0</v>
      </c>
      <c r="J113" s="94">
        <f t="shared" si="19"/>
        <v>0</v>
      </c>
      <c r="K113" s="94">
        <f t="shared" si="19"/>
        <v>0</v>
      </c>
      <c r="L113" s="94">
        <f t="shared" si="19"/>
        <v>0</v>
      </c>
      <c r="M113" s="94">
        <f t="shared" si="19"/>
        <v>0</v>
      </c>
      <c r="N113" s="94">
        <f t="shared" si="19"/>
        <v>0</v>
      </c>
      <c r="O113" s="94">
        <f t="shared" si="19"/>
        <v>0</v>
      </c>
      <c r="P113" s="94">
        <f t="shared" si="19"/>
        <v>0</v>
      </c>
      <c r="Q113" s="94">
        <f t="shared" si="19"/>
        <v>0</v>
      </c>
      <c r="R113" s="94">
        <f t="shared" si="19"/>
        <v>0</v>
      </c>
      <c r="S113" s="94">
        <f t="shared" si="19"/>
        <v>0</v>
      </c>
      <c r="T113" s="94">
        <f t="shared" si="19"/>
        <v>0</v>
      </c>
      <c r="U113" s="94">
        <f t="shared" si="19"/>
        <v>0</v>
      </c>
      <c r="V113" s="94">
        <f t="shared" si="19"/>
        <v>0</v>
      </c>
      <c r="W113" s="94">
        <f t="shared" si="19"/>
        <v>0</v>
      </c>
      <c r="X113" s="94">
        <f t="shared" si="19"/>
        <v>0</v>
      </c>
      <c r="Y113" s="95">
        <f t="shared" si="19"/>
        <v>0</v>
      </c>
      <c r="AA113" s="24"/>
      <c r="AB113" s="24"/>
      <c r="AC113" s="24"/>
    </row>
    <row r="114" spans="1:29">
      <c r="A114" s="24"/>
      <c r="B114" s="24"/>
      <c r="C114" s="24" t="s">
        <v>110</v>
      </c>
      <c r="D114" s="24"/>
      <c r="E114" s="94">
        <f t="shared" ref="E114:X126" si="20">E77-E76</f>
        <v>0</v>
      </c>
      <c r="F114" s="94">
        <f t="shared" si="20"/>
        <v>0</v>
      </c>
      <c r="G114" s="94">
        <f t="shared" si="20"/>
        <v>0</v>
      </c>
      <c r="H114" s="94">
        <f t="shared" si="20"/>
        <v>0</v>
      </c>
      <c r="I114" s="94">
        <f t="shared" si="20"/>
        <v>0</v>
      </c>
      <c r="J114" s="94">
        <f t="shared" si="20"/>
        <v>0</v>
      </c>
      <c r="K114" s="94">
        <f t="shared" si="20"/>
        <v>0</v>
      </c>
      <c r="L114" s="94">
        <f t="shared" si="20"/>
        <v>0</v>
      </c>
      <c r="M114" s="94">
        <f t="shared" si="20"/>
        <v>0</v>
      </c>
      <c r="N114" s="94">
        <f t="shared" si="20"/>
        <v>0</v>
      </c>
      <c r="O114" s="94">
        <f t="shared" si="20"/>
        <v>0</v>
      </c>
      <c r="P114" s="94">
        <f t="shared" si="20"/>
        <v>0</v>
      </c>
      <c r="Q114" s="94">
        <f t="shared" si="20"/>
        <v>0</v>
      </c>
      <c r="R114" s="94">
        <f t="shared" si="20"/>
        <v>0</v>
      </c>
      <c r="S114" s="94">
        <f t="shared" si="20"/>
        <v>0</v>
      </c>
      <c r="T114" s="94">
        <f t="shared" si="20"/>
        <v>0</v>
      </c>
      <c r="U114" s="94">
        <f t="shared" si="20"/>
        <v>0</v>
      </c>
      <c r="V114" s="94">
        <f t="shared" si="20"/>
        <v>0</v>
      </c>
      <c r="W114" s="94">
        <f t="shared" si="20"/>
        <v>0</v>
      </c>
      <c r="X114" s="94">
        <f t="shared" si="20"/>
        <v>0</v>
      </c>
      <c r="Y114" s="95">
        <f t="shared" si="19"/>
        <v>0</v>
      </c>
      <c r="AA114" s="24"/>
      <c r="AB114" s="24"/>
      <c r="AC114" s="24"/>
    </row>
    <row r="115" spans="1:29">
      <c r="A115" s="24"/>
      <c r="B115" s="24"/>
      <c r="C115" s="24" t="s">
        <v>113</v>
      </c>
      <c r="D115" s="24"/>
      <c r="E115" s="94">
        <f t="shared" si="20"/>
        <v>0</v>
      </c>
      <c r="F115" s="94">
        <f t="shared" si="20"/>
        <v>0</v>
      </c>
      <c r="G115" s="94">
        <f t="shared" si="20"/>
        <v>0</v>
      </c>
      <c r="H115" s="94">
        <f t="shared" si="20"/>
        <v>0</v>
      </c>
      <c r="I115" s="94">
        <f t="shared" si="20"/>
        <v>0</v>
      </c>
      <c r="J115" s="94">
        <f t="shared" si="20"/>
        <v>0</v>
      </c>
      <c r="K115" s="94">
        <f t="shared" si="20"/>
        <v>0</v>
      </c>
      <c r="L115" s="94">
        <f t="shared" si="20"/>
        <v>0</v>
      </c>
      <c r="M115" s="94">
        <f t="shared" si="20"/>
        <v>0</v>
      </c>
      <c r="N115" s="94">
        <f t="shared" si="20"/>
        <v>0</v>
      </c>
      <c r="O115" s="94">
        <f t="shared" si="20"/>
        <v>0</v>
      </c>
      <c r="P115" s="94">
        <f t="shared" si="20"/>
        <v>0</v>
      </c>
      <c r="Q115" s="94">
        <f t="shared" si="20"/>
        <v>0</v>
      </c>
      <c r="R115" s="94">
        <f t="shared" si="20"/>
        <v>0</v>
      </c>
      <c r="S115" s="94">
        <f t="shared" si="20"/>
        <v>0</v>
      </c>
      <c r="T115" s="94">
        <f t="shared" si="20"/>
        <v>0</v>
      </c>
      <c r="U115" s="94">
        <f t="shared" si="20"/>
        <v>0</v>
      </c>
      <c r="V115" s="94">
        <f t="shared" si="20"/>
        <v>0</v>
      </c>
      <c r="W115" s="94">
        <f t="shared" si="20"/>
        <v>0</v>
      </c>
      <c r="X115" s="94">
        <f t="shared" si="20"/>
        <v>0</v>
      </c>
      <c r="Y115" s="95">
        <f t="shared" si="19"/>
        <v>0</v>
      </c>
      <c r="AA115" s="24"/>
      <c r="AB115" s="24"/>
      <c r="AC115" s="24"/>
    </row>
    <row r="116" spans="1:29">
      <c r="A116" s="24"/>
      <c r="B116" s="24"/>
      <c r="C116" s="24" t="s">
        <v>116</v>
      </c>
      <c r="D116" s="24"/>
      <c r="E116" s="94">
        <f t="shared" si="20"/>
        <v>0</v>
      </c>
      <c r="F116" s="94">
        <f t="shared" si="20"/>
        <v>0</v>
      </c>
      <c r="G116" s="94">
        <f t="shared" si="20"/>
        <v>0</v>
      </c>
      <c r="H116" s="94">
        <f t="shared" si="20"/>
        <v>0</v>
      </c>
      <c r="I116" s="94">
        <f t="shared" si="20"/>
        <v>0</v>
      </c>
      <c r="J116" s="94">
        <f t="shared" si="20"/>
        <v>0</v>
      </c>
      <c r="K116" s="94">
        <f t="shared" si="20"/>
        <v>0</v>
      </c>
      <c r="L116" s="94">
        <f t="shared" si="20"/>
        <v>0</v>
      </c>
      <c r="M116" s="94">
        <f t="shared" si="20"/>
        <v>0</v>
      </c>
      <c r="N116" s="94">
        <f t="shared" si="20"/>
        <v>0</v>
      </c>
      <c r="O116" s="94">
        <f t="shared" si="20"/>
        <v>0</v>
      </c>
      <c r="P116" s="94">
        <f t="shared" si="20"/>
        <v>0</v>
      </c>
      <c r="Q116" s="94">
        <f t="shared" si="20"/>
        <v>0</v>
      </c>
      <c r="R116" s="94">
        <f t="shared" si="20"/>
        <v>0</v>
      </c>
      <c r="S116" s="94">
        <f t="shared" si="20"/>
        <v>0</v>
      </c>
      <c r="T116" s="94">
        <f t="shared" si="20"/>
        <v>0</v>
      </c>
      <c r="U116" s="94">
        <f t="shared" si="20"/>
        <v>0</v>
      </c>
      <c r="V116" s="94">
        <f t="shared" si="20"/>
        <v>0</v>
      </c>
      <c r="W116" s="94">
        <f t="shared" si="20"/>
        <v>0</v>
      </c>
      <c r="X116" s="94">
        <f t="shared" si="20"/>
        <v>0</v>
      </c>
      <c r="Y116" s="95">
        <f t="shared" si="19"/>
        <v>0</v>
      </c>
      <c r="AA116" s="24"/>
      <c r="AB116" s="24"/>
      <c r="AC116" s="24"/>
    </row>
    <row r="117" spans="1:29">
      <c r="A117" s="24"/>
      <c r="B117" s="24"/>
      <c r="C117" s="24" t="s">
        <v>119</v>
      </c>
      <c r="D117" s="24"/>
      <c r="E117" s="94">
        <f t="shared" si="20"/>
        <v>0</v>
      </c>
      <c r="F117" s="94">
        <f t="shared" si="20"/>
        <v>0</v>
      </c>
      <c r="G117" s="94">
        <f t="shared" si="20"/>
        <v>0</v>
      </c>
      <c r="H117" s="94">
        <f t="shared" si="20"/>
        <v>0</v>
      </c>
      <c r="I117" s="94">
        <f t="shared" si="20"/>
        <v>0</v>
      </c>
      <c r="J117" s="94">
        <f t="shared" si="20"/>
        <v>0</v>
      </c>
      <c r="K117" s="94">
        <f t="shared" si="20"/>
        <v>0</v>
      </c>
      <c r="L117" s="94">
        <f t="shared" si="20"/>
        <v>0</v>
      </c>
      <c r="M117" s="94">
        <f t="shared" si="20"/>
        <v>0</v>
      </c>
      <c r="N117" s="94">
        <f t="shared" si="20"/>
        <v>0</v>
      </c>
      <c r="O117" s="94">
        <f t="shared" si="20"/>
        <v>0</v>
      </c>
      <c r="P117" s="94">
        <f t="shared" si="20"/>
        <v>0</v>
      </c>
      <c r="Q117" s="94">
        <f t="shared" si="20"/>
        <v>0</v>
      </c>
      <c r="R117" s="94">
        <f t="shared" si="20"/>
        <v>0</v>
      </c>
      <c r="S117" s="94">
        <f t="shared" si="20"/>
        <v>0</v>
      </c>
      <c r="T117" s="94">
        <f t="shared" si="20"/>
        <v>0</v>
      </c>
      <c r="U117" s="94">
        <f t="shared" si="20"/>
        <v>0</v>
      </c>
      <c r="V117" s="94">
        <f t="shared" si="20"/>
        <v>0</v>
      </c>
      <c r="W117" s="94">
        <f t="shared" si="20"/>
        <v>0</v>
      </c>
      <c r="X117" s="94">
        <f t="shared" si="20"/>
        <v>0</v>
      </c>
      <c r="Y117" s="95">
        <f t="shared" si="19"/>
        <v>0</v>
      </c>
      <c r="AA117" s="24"/>
      <c r="AB117" s="24"/>
      <c r="AC117" s="24"/>
    </row>
    <row r="118" spans="1:29">
      <c r="A118" s="24"/>
      <c r="B118" s="24"/>
      <c r="C118" s="24" t="s">
        <v>122</v>
      </c>
      <c r="D118" s="24"/>
      <c r="E118" s="94">
        <f t="shared" si="20"/>
        <v>0</v>
      </c>
      <c r="F118" s="94">
        <f t="shared" si="20"/>
        <v>0</v>
      </c>
      <c r="G118" s="94">
        <f t="shared" si="20"/>
        <v>0</v>
      </c>
      <c r="H118" s="94">
        <f t="shared" si="20"/>
        <v>0</v>
      </c>
      <c r="I118" s="94">
        <f t="shared" si="20"/>
        <v>0</v>
      </c>
      <c r="J118" s="94">
        <f t="shared" si="20"/>
        <v>0</v>
      </c>
      <c r="K118" s="94">
        <f t="shared" si="20"/>
        <v>0</v>
      </c>
      <c r="L118" s="94">
        <f t="shared" si="20"/>
        <v>0</v>
      </c>
      <c r="M118" s="94">
        <f t="shared" si="20"/>
        <v>0</v>
      </c>
      <c r="N118" s="94">
        <f t="shared" si="20"/>
        <v>0</v>
      </c>
      <c r="O118" s="94">
        <f t="shared" si="20"/>
        <v>0</v>
      </c>
      <c r="P118" s="94">
        <f t="shared" si="20"/>
        <v>0</v>
      </c>
      <c r="Q118" s="94">
        <f t="shared" si="20"/>
        <v>0</v>
      </c>
      <c r="R118" s="94">
        <f t="shared" si="20"/>
        <v>0</v>
      </c>
      <c r="S118" s="94">
        <f t="shared" si="20"/>
        <v>0</v>
      </c>
      <c r="T118" s="94">
        <f t="shared" si="20"/>
        <v>0</v>
      </c>
      <c r="U118" s="94">
        <f t="shared" si="20"/>
        <v>0</v>
      </c>
      <c r="V118" s="94">
        <f t="shared" si="20"/>
        <v>0</v>
      </c>
      <c r="W118" s="94">
        <f t="shared" si="20"/>
        <v>0</v>
      </c>
      <c r="X118" s="94">
        <f t="shared" si="20"/>
        <v>0</v>
      </c>
      <c r="Y118" s="95">
        <f t="shared" si="19"/>
        <v>0</v>
      </c>
      <c r="AA118" s="24"/>
      <c r="AB118" s="24"/>
      <c r="AC118" s="24"/>
    </row>
    <row r="119" spans="1:29">
      <c r="A119" s="24"/>
      <c r="B119" s="24"/>
      <c r="C119" s="24" t="s">
        <v>125</v>
      </c>
      <c r="D119" s="24"/>
      <c r="E119" s="94">
        <f t="shared" si="20"/>
        <v>0</v>
      </c>
      <c r="F119" s="94">
        <f t="shared" si="20"/>
        <v>0</v>
      </c>
      <c r="G119" s="94">
        <f t="shared" si="20"/>
        <v>0</v>
      </c>
      <c r="H119" s="94">
        <f t="shared" si="20"/>
        <v>0</v>
      </c>
      <c r="I119" s="94">
        <f t="shared" si="20"/>
        <v>0</v>
      </c>
      <c r="J119" s="94">
        <f t="shared" si="20"/>
        <v>0</v>
      </c>
      <c r="K119" s="94">
        <f t="shared" si="20"/>
        <v>0</v>
      </c>
      <c r="L119" s="94">
        <f t="shared" si="20"/>
        <v>0</v>
      </c>
      <c r="M119" s="94">
        <f t="shared" si="20"/>
        <v>0</v>
      </c>
      <c r="N119" s="94">
        <f t="shared" si="20"/>
        <v>0</v>
      </c>
      <c r="O119" s="94">
        <f t="shared" si="20"/>
        <v>0</v>
      </c>
      <c r="P119" s="94">
        <f t="shared" si="20"/>
        <v>0</v>
      </c>
      <c r="Q119" s="94">
        <f t="shared" si="20"/>
        <v>0</v>
      </c>
      <c r="R119" s="94">
        <f t="shared" si="20"/>
        <v>0</v>
      </c>
      <c r="S119" s="94">
        <f t="shared" si="20"/>
        <v>0</v>
      </c>
      <c r="T119" s="94">
        <f t="shared" si="20"/>
        <v>0</v>
      </c>
      <c r="U119" s="94">
        <f t="shared" si="20"/>
        <v>0</v>
      </c>
      <c r="V119" s="94">
        <f t="shared" si="20"/>
        <v>0</v>
      </c>
      <c r="W119" s="94">
        <f t="shared" si="20"/>
        <v>0</v>
      </c>
      <c r="X119" s="94">
        <f t="shared" si="20"/>
        <v>0</v>
      </c>
      <c r="Y119" s="95">
        <f t="shared" si="19"/>
        <v>0</v>
      </c>
      <c r="AA119" s="24"/>
      <c r="AB119" s="24"/>
      <c r="AC119" s="24"/>
    </row>
    <row r="120" spans="1:29">
      <c r="A120" s="24"/>
      <c r="B120" s="24"/>
      <c r="C120" s="24" t="s">
        <v>128</v>
      </c>
      <c r="D120" s="24"/>
      <c r="E120" s="94">
        <f t="shared" si="20"/>
        <v>0</v>
      </c>
      <c r="F120" s="94">
        <f t="shared" si="20"/>
        <v>0</v>
      </c>
      <c r="G120" s="94">
        <f t="shared" si="20"/>
        <v>0</v>
      </c>
      <c r="H120" s="94">
        <f t="shared" si="20"/>
        <v>0</v>
      </c>
      <c r="I120" s="94">
        <f t="shared" si="20"/>
        <v>0</v>
      </c>
      <c r="J120" s="94">
        <f t="shared" si="20"/>
        <v>0</v>
      </c>
      <c r="K120" s="94">
        <f t="shared" si="20"/>
        <v>0</v>
      </c>
      <c r="L120" s="94">
        <f t="shared" si="20"/>
        <v>0</v>
      </c>
      <c r="M120" s="94">
        <f t="shared" si="20"/>
        <v>0</v>
      </c>
      <c r="N120" s="94">
        <f t="shared" si="20"/>
        <v>0</v>
      </c>
      <c r="O120" s="94">
        <f t="shared" si="20"/>
        <v>0</v>
      </c>
      <c r="P120" s="94">
        <f t="shared" si="20"/>
        <v>0</v>
      </c>
      <c r="Q120" s="94">
        <f t="shared" si="20"/>
        <v>0</v>
      </c>
      <c r="R120" s="94">
        <f t="shared" si="20"/>
        <v>0</v>
      </c>
      <c r="S120" s="94">
        <f t="shared" si="20"/>
        <v>0</v>
      </c>
      <c r="T120" s="94">
        <f t="shared" si="20"/>
        <v>0</v>
      </c>
      <c r="U120" s="94">
        <f t="shared" si="20"/>
        <v>0</v>
      </c>
      <c r="V120" s="94">
        <f t="shared" si="20"/>
        <v>0</v>
      </c>
      <c r="W120" s="94">
        <f t="shared" si="20"/>
        <v>0</v>
      </c>
      <c r="X120" s="94">
        <f t="shared" si="20"/>
        <v>0</v>
      </c>
      <c r="Y120" s="95">
        <f t="shared" si="19"/>
        <v>0</v>
      </c>
      <c r="AA120" s="24"/>
      <c r="AB120" s="24"/>
      <c r="AC120" s="24"/>
    </row>
    <row r="121" spans="1:29">
      <c r="A121" s="24"/>
      <c r="B121" s="24"/>
      <c r="C121" s="24" t="s">
        <v>131</v>
      </c>
      <c r="D121" s="24"/>
      <c r="E121" s="94">
        <f t="shared" si="20"/>
        <v>0</v>
      </c>
      <c r="F121" s="94">
        <f t="shared" si="20"/>
        <v>0</v>
      </c>
      <c r="G121" s="94">
        <f t="shared" si="20"/>
        <v>0</v>
      </c>
      <c r="H121" s="94">
        <f t="shared" si="20"/>
        <v>0</v>
      </c>
      <c r="I121" s="94">
        <f t="shared" si="20"/>
        <v>0</v>
      </c>
      <c r="J121" s="94">
        <f t="shared" si="20"/>
        <v>0</v>
      </c>
      <c r="K121" s="94">
        <f t="shared" si="20"/>
        <v>0</v>
      </c>
      <c r="L121" s="94">
        <f t="shared" si="20"/>
        <v>0</v>
      </c>
      <c r="M121" s="94">
        <f t="shared" si="20"/>
        <v>0</v>
      </c>
      <c r="N121" s="94">
        <f t="shared" si="20"/>
        <v>0</v>
      </c>
      <c r="O121" s="94">
        <f t="shared" si="20"/>
        <v>0</v>
      </c>
      <c r="P121" s="94">
        <f t="shared" si="20"/>
        <v>0</v>
      </c>
      <c r="Q121" s="94">
        <f t="shared" si="20"/>
        <v>0</v>
      </c>
      <c r="R121" s="94">
        <f t="shared" si="20"/>
        <v>0</v>
      </c>
      <c r="S121" s="94">
        <f t="shared" si="20"/>
        <v>0</v>
      </c>
      <c r="T121" s="94">
        <f t="shared" si="20"/>
        <v>0</v>
      </c>
      <c r="U121" s="94">
        <f t="shared" si="20"/>
        <v>0</v>
      </c>
      <c r="V121" s="94">
        <f t="shared" si="20"/>
        <v>0</v>
      </c>
      <c r="W121" s="94">
        <f t="shared" si="20"/>
        <v>0</v>
      </c>
      <c r="X121" s="94">
        <f t="shared" si="20"/>
        <v>0</v>
      </c>
      <c r="Y121" s="95">
        <f t="shared" si="19"/>
        <v>0</v>
      </c>
      <c r="AA121" s="24"/>
      <c r="AB121" s="24"/>
      <c r="AC121" s="24"/>
    </row>
    <row r="122" spans="1:29">
      <c r="A122" s="24"/>
      <c r="B122" s="24"/>
      <c r="C122" s="24" t="s">
        <v>134</v>
      </c>
      <c r="D122" s="24"/>
      <c r="E122" s="94">
        <f t="shared" si="20"/>
        <v>0</v>
      </c>
      <c r="F122" s="94">
        <f t="shared" si="20"/>
        <v>0</v>
      </c>
      <c r="G122" s="94">
        <f t="shared" si="20"/>
        <v>0</v>
      </c>
      <c r="H122" s="94">
        <f t="shared" si="20"/>
        <v>0</v>
      </c>
      <c r="I122" s="94">
        <f t="shared" si="20"/>
        <v>0</v>
      </c>
      <c r="J122" s="94">
        <f t="shared" si="20"/>
        <v>0</v>
      </c>
      <c r="K122" s="94">
        <f t="shared" si="20"/>
        <v>0</v>
      </c>
      <c r="L122" s="94">
        <f t="shared" si="20"/>
        <v>0</v>
      </c>
      <c r="M122" s="94">
        <f t="shared" si="20"/>
        <v>0</v>
      </c>
      <c r="N122" s="94">
        <f t="shared" si="20"/>
        <v>0</v>
      </c>
      <c r="O122" s="94">
        <f t="shared" si="20"/>
        <v>0</v>
      </c>
      <c r="P122" s="94">
        <f t="shared" si="20"/>
        <v>0</v>
      </c>
      <c r="Q122" s="94">
        <f t="shared" si="20"/>
        <v>0</v>
      </c>
      <c r="R122" s="94">
        <f t="shared" si="20"/>
        <v>0</v>
      </c>
      <c r="S122" s="94">
        <f t="shared" si="20"/>
        <v>0</v>
      </c>
      <c r="T122" s="94">
        <f t="shared" si="20"/>
        <v>0</v>
      </c>
      <c r="U122" s="94">
        <f t="shared" si="20"/>
        <v>0</v>
      </c>
      <c r="V122" s="94">
        <f t="shared" si="20"/>
        <v>0</v>
      </c>
      <c r="W122" s="94">
        <f t="shared" si="20"/>
        <v>0</v>
      </c>
      <c r="X122" s="94">
        <f t="shared" si="20"/>
        <v>0</v>
      </c>
      <c r="Y122" s="95">
        <f t="shared" si="19"/>
        <v>0</v>
      </c>
      <c r="AA122" s="24"/>
      <c r="AB122" s="24"/>
      <c r="AC122" s="24"/>
    </row>
    <row r="123" spans="1:29">
      <c r="A123" s="24"/>
      <c r="B123" s="24"/>
      <c r="C123" s="24" t="s">
        <v>137</v>
      </c>
      <c r="D123" s="24"/>
      <c r="E123" s="94">
        <f t="shared" si="20"/>
        <v>0</v>
      </c>
      <c r="F123" s="94">
        <f t="shared" si="20"/>
        <v>0</v>
      </c>
      <c r="G123" s="94">
        <f t="shared" si="20"/>
        <v>0</v>
      </c>
      <c r="H123" s="94">
        <f t="shared" si="20"/>
        <v>0</v>
      </c>
      <c r="I123" s="94">
        <f t="shared" si="20"/>
        <v>0</v>
      </c>
      <c r="J123" s="94">
        <f t="shared" si="20"/>
        <v>0</v>
      </c>
      <c r="K123" s="94">
        <f t="shared" si="20"/>
        <v>0</v>
      </c>
      <c r="L123" s="94">
        <f t="shared" si="20"/>
        <v>0</v>
      </c>
      <c r="M123" s="94">
        <f t="shared" si="20"/>
        <v>0</v>
      </c>
      <c r="N123" s="94">
        <f t="shared" si="20"/>
        <v>0</v>
      </c>
      <c r="O123" s="94">
        <f t="shared" si="20"/>
        <v>0</v>
      </c>
      <c r="P123" s="94">
        <f t="shared" si="20"/>
        <v>0</v>
      </c>
      <c r="Q123" s="94">
        <f t="shared" si="20"/>
        <v>0</v>
      </c>
      <c r="R123" s="94">
        <f t="shared" si="20"/>
        <v>0</v>
      </c>
      <c r="S123" s="94">
        <f t="shared" si="20"/>
        <v>0</v>
      </c>
      <c r="T123" s="94">
        <f t="shared" si="20"/>
        <v>0</v>
      </c>
      <c r="U123" s="94">
        <f t="shared" si="20"/>
        <v>0</v>
      </c>
      <c r="V123" s="94">
        <f t="shared" si="20"/>
        <v>0</v>
      </c>
      <c r="W123" s="94">
        <f t="shared" si="20"/>
        <v>0</v>
      </c>
      <c r="X123" s="94">
        <f t="shared" si="20"/>
        <v>0</v>
      </c>
      <c r="Y123" s="95">
        <f t="shared" si="19"/>
        <v>0</v>
      </c>
      <c r="AA123" s="24"/>
      <c r="AB123" s="24"/>
      <c r="AC123" s="24"/>
    </row>
    <row r="124" spans="1:29">
      <c r="A124" s="24"/>
      <c r="B124" s="24"/>
      <c r="C124" s="24" t="s">
        <v>140</v>
      </c>
      <c r="D124" s="24"/>
      <c r="E124" s="94">
        <f t="shared" si="20"/>
        <v>0</v>
      </c>
      <c r="F124" s="94">
        <f t="shared" si="20"/>
        <v>0</v>
      </c>
      <c r="G124" s="94">
        <f t="shared" si="20"/>
        <v>0</v>
      </c>
      <c r="H124" s="94">
        <f t="shared" si="20"/>
        <v>0</v>
      </c>
      <c r="I124" s="94">
        <f t="shared" si="20"/>
        <v>0</v>
      </c>
      <c r="J124" s="94">
        <f t="shared" si="20"/>
        <v>0</v>
      </c>
      <c r="K124" s="94">
        <f t="shared" si="20"/>
        <v>0</v>
      </c>
      <c r="L124" s="94">
        <f t="shared" si="20"/>
        <v>0</v>
      </c>
      <c r="M124" s="94">
        <f t="shared" si="20"/>
        <v>0</v>
      </c>
      <c r="N124" s="94">
        <f t="shared" si="20"/>
        <v>0</v>
      </c>
      <c r="O124" s="94">
        <f t="shared" si="20"/>
        <v>0</v>
      </c>
      <c r="P124" s="94">
        <f t="shared" si="20"/>
        <v>0</v>
      </c>
      <c r="Q124" s="94">
        <f t="shared" si="20"/>
        <v>0</v>
      </c>
      <c r="R124" s="94">
        <f t="shared" si="20"/>
        <v>0</v>
      </c>
      <c r="S124" s="94">
        <f t="shared" si="20"/>
        <v>0</v>
      </c>
      <c r="T124" s="94">
        <f t="shared" si="20"/>
        <v>0</v>
      </c>
      <c r="U124" s="94">
        <f t="shared" si="20"/>
        <v>0</v>
      </c>
      <c r="V124" s="94">
        <f t="shared" si="20"/>
        <v>0</v>
      </c>
      <c r="W124" s="94">
        <f t="shared" si="20"/>
        <v>0</v>
      </c>
      <c r="X124" s="94">
        <f t="shared" si="20"/>
        <v>0</v>
      </c>
      <c r="Y124" s="95">
        <f t="shared" si="19"/>
        <v>0</v>
      </c>
      <c r="AA124" s="24"/>
      <c r="AB124" s="24"/>
      <c r="AC124" s="24"/>
    </row>
    <row r="125" spans="1:29">
      <c r="A125" s="24"/>
      <c r="B125" s="24"/>
      <c r="C125" s="24" t="s">
        <v>143</v>
      </c>
      <c r="D125" s="24"/>
      <c r="E125" s="94">
        <f t="shared" si="20"/>
        <v>0</v>
      </c>
      <c r="F125" s="94">
        <f t="shared" si="20"/>
        <v>0</v>
      </c>
      <c r="G125" s="94">
        <f t="shared" si="20"/>
        <v>0</v>
      </c>
      <c r="H125" s="94">
        <f t="shared" si="20"/>
        <v>0</v>
      </c>
      <c r="I125" s="94">
        <f t="shared" si="20"/>
        <v>0</v>
      </c>
      <c r="J125" s="94">
        <f t="shared" si="20"/>
        <v>0</v>
      </c>
      <c r="K125" s="94">
        <f t="shared" si="20"/>
        <v>0</v>
      </c>
      <c r="L125" s="94">
        <f t="shared" si="20"/>
        <v>0</v>
      </c>
      <c r="M125" s="94">
        <f t="shared" si="20"/>
        <v>0</v>
      </c>
      <c r="N125" s="94">
        <f t="shared" si="20"/>
        <v>0</v>
      </c>
      <c r="O125" s="94">
        <f t="shared" si="20"/>
        <v>0</v>
      </c>
      <c r="P125" s="94">
        <f t="shared" si="20"/>
        <v>0</v>
      </c>
      <c r="Q125" s="94">
        <f t="shared" si="20"/>
        <v>0</v>
      </c>
      <c r="R125" s="94">
        <f t="shared" si="20"/>
        <v>0</v>
      </c>
      <c r="S125" s="94">
        <f t="shared" si="20"/>
        <v>0</v>
      </c>
      <c r="T125" s="94">
        <f t="shared" si="20"/>
        <v>0</v>
      </c>
      <c r="U125" s="94">
        <f t="shared" si="20"/>
        <v>0</v>
      </c>
      <c r="V125" s="94">
        <f t="shared" si="20"/>
        <v>0</v>
      </c>
      <c r="W125" s="94">
        <f t="shared" si="20"/>
        <v>0</v>
      </c>
      <c r="X125" s="94">
        <f t="shared" si="20"/>
        <v>0</v>
      </c>
      <c r="Y125" s="95">
        <f t="shared" si="19"/>
        <v>0</v>
      </c>
      <c r="AA125" s="24"/>
      <c r="AB125" s="24"/>
      <c r="AC125" s="24"/>
    </row>
    <row r="126" spans="1:29">
      <c r="A126" s="24"/>
      <c r="B126" s="24"/>
      <c r="C126" s="24" t="s">
        <v>146</v>
      </c>
      <c r="D126" s="24"/>
      <c r="E126" s="94">
        <f t="shared" si="20"/>
        <v>0</v>
      </c>
      <c r="F126" s="94">
        <f t="shared" si="20"/>
        <v>0</v>
      </c>
      <c r="G126" s="94">
        <f t="shared" si="20"/>
        <v>0</v>
      </c>
      <c r="H126" s="94">
        <f t="shared" si="20"/>
        <v>0</v>
      </c>
      <c r="I126" s="94">
        <f t="shared" si="20"/>
        <v>0</v>
      </c>
      <c r="J126" s="94">
        <f t="shared" si="20"/>
        <v>0</v>
      </c>
      <c r="K126" s="94">
        <f t="shared" si="20"/>
        <v>0</v>
      </c>
      <c r="L126" s="94">
        <f t="shared" si="20"/>
        <v>0</v>
      </c>
      <c r="M126" s="94">
        <f t="shared" si="20"/>
        <v>0</v>
      </c>
      <c r="N126" s="94">
        <f t="shared" si="20"/>
        <v>0</v>
      </c>
      <c r="O126" s="94">
        <f t="shared" si="20"/>
        <v>0</v>
      </c>
      <c r="P126" s="94">
        <f t="shared" si="20"/>
        <v>0</v>
      </c>
      <c r="Q126" s="94">
        <f t="shared" si="20"/>
        <v>0</v>
      </c>
      <c r="R126" s="94">
        <f t="shared" si="20"/>
        <v>0</v>
      </c>
      <c r="S126" s="94">
        <f t="shared" si="20"/>
        <v>0</v>
      </c>
      <c r="T126" s="94">
        <f t="shared" ref="T126:X126" si="21">T89-T88</f>
        <v>0</v>
      </c>
      <c r="U126" s="94">
        <f t="shared" si="21"/>
        <v>0</v>
      </c>
      <c r="V126" s="94">
        <f t="shared" si="21"/>
        <v>0</v>
      </c>
      <c r="W126" s="94">
        <f t="shared" si="21"/>
        <v>0</v>
      </c>
      <c r="X126" s="94">
        <f t="shared" si="21"/>
        <v>0</v>
      </c>
      <c r="Y126" s="95">
        <f t="shared" si="19"/>
        <v>0</v>
      </c>
      <c r="AA126" s="24"/>
      <c r="AB126" s="24"/>
      <c r="AC126" s="24"/>
    </row>
    <row r="127" spans="1:29">
      <c r="A127" s="24"/>
      <c r="B127" s="24"/>
      <c r="C127" s="24" t="s">
        <v>149</v>
      </c>
      <c r="D127" s="24"/>
      <c r="E127" s="94">
        <f t="shared" ref="E127:X131" si="22">E90-E89</f>
        <v>0</v>
      </c>
      <c r="F127" s="94">
        <f t="shared" si="22"/>
        <v>0</v>
      </c>
      <c r="G127" s="94">
        <f t="shared" si="22"/>
        <v>0</v>
      </c>
      <c r="H127" s="94">
        <f t="shared" si="22"/>
        <v>0</v>
      </c>
      <c r="I127" s="94">
        <f t="shared" si="22"/>
        <v>0</v>
      </c>
      <c r="J127" s="94">
        <f t="shared" si="22"/>
        <v>0</v>
      </c>
      <c r="K127" s="94">
        <f t="shared" si="22"/>
        <v>0</v>
      </c>
      <c r="L127" s="94">
        <f t="shared" si="22"/>
        <v>0</v>
      </c>
      <c r="M127" s="94">
        <f t="shared" si="22"/>
        <v>0</v>
      </c>
      <c r="N127" s="94">
        <f t="shared" si="22"/>
        <v>0</v>
      </c>
      <c r="O127" s="94">
        <f t="shared" si="22"/>
        <v>0</v>
      </c>
      <c r="P127" s="94">
        <f t="shared" si="22"/>
        <v>0</v>
      </c>
      <c r="Q127" s="94">
        <f t="shared" si="22"/>
        <v>0</v>
      </c>
      <c r="R127" s="94">
        <f t="shared" si="22"/>
        <v>0</v>
      </c>
      <c r="S127" s="94">
        <f t="shared" si="22"/>
        <v>0</v>
      </c>
      <c r="T127" s="94">
        <f t="shared" si="22"/>
        <v>0</v>
      </c>
      <c r="U127" s="94">
        <f t="shared" si="22"/>
        <v>0</v>
      </c>
      <c r="V127" s="94">
        <f t="shared" si="22"/>
        <v>0</v>
      </c>
      <c r="W127" s="94">
        <f t="shared" si="22"/>
        <v>0</v>
      </c>
      <c r="X127" s="94">
        <f t="shared" si="22"/>
        <v>0</v>
      </c>
      <c r="Y127" s="95">
        <f t="shared" si="19"/>
        <v>0</v>
      </c>
      <c r="AA127" s="24"/>
      <c r="AB127" s="24"/>
      <c r="AC127" s="24"/>
    </row>
    <row r="128" spans="1:29">
      <c r="A128" s="24"/>
      <c r="B128" s="24"/>
      <c r="C128" s="24" t="s">
        <v>152</v>
      </c>
      <c r="D128" s="24"/>
      <c r="E128" s="94">
        <f t="shared" si="22"/>
        <v>0</v>
      </c>
      <c r="F128" s="94">
        <f t="shared" si="22"/>
        <v>0</v>
      </c>
      <c r="G128" s="94">
        <f t="shared" si="22"/>
        <v>0</v>
      </c>
      <c r="H128" s="94">
        <f t="shared" si="22"/>
        <v>0</v>
      </c>
      <c r="I128" s="94">
        <f t="shared" si="22"/>
        <v>0</v>
      </c>
      <c r="J128" s="94">
        <f t="shared" si="22"/>
        <v>0</v>
      </c>
      <c r="K128" s="94">
        <f t="shared" si="22"/>
        <v>0</v>
      </c>
      <c r="L128" s="94">
        <f t="shared" si="22"/>
        <v>0</v>
      </c>
      <c r="M128" s="94">
        <f t="shared" si="22"/>
        <v>0</v>
      </c>
      <c r="N128" s="94">
        <f t="shared" si="22"/>
        <v>0</v>
      </c>
      <c r="O128" s="94">
        <f t="shared" si="22"/>
        <v>0</v>
      </c>
      <c r="P128" s="94">
        <f t="shared" si="22"/>
        <v>0</v>
      </c>
      <c r="Q128" s="94">
        <f t="shared" si="22"/>
        <v>0</v>
      </c>
      <c r="R128" s="94">
        <f t="shared" si="22"/>
        <v>0</v>
      </c>
      <c r="S128" s="94">
        <f t="shared" si="22"/>
        <v>0</v>
      </c>
      <c r="T128" s="94">
        <f t="shared" si="22"/>
        <v>0</v>
      </c>
      <c r="U128" s="94">
        <f t="shared" si="22"/>
        <v>0</v>
      </c>
      <c r="V128" s="94">
        <f t="shared" si="22"/>
        <v>0</v>
      </c>
      <c r="W128" s="94">
        <f t="shared" si="22"/>
        <v>0</v>
      </c>
      <c r="X128" s="94">
        <f t="shared" si="22"/>
        <v>0</v>
      </c>
      <c r="Y128" s="95">
        <f t="shared" si="19"/>
        <v>0</v>
      </c>
      <c r="AA128" s="24"/>
      <c r="AB128" s="24"/>
      <c r="AC128" s="24"/>
    </row>
    <row r="129" spans="1:29">
      <c r="A129" s="24"/>
      <c r="B129" s="24"/>
      <c r="C129" s="24" t="s">
        <v>155</v>
      </c>
      <c r="D129" s="24"/>
      <c r="E129" s="94">
        <f t="shared" si="22"/>
        <v>0</v>
      </c>
      <c r="F129" s="94">
        <f t="shared" si="22"/>
        <v>0</v>
      </c>
      <c r="G129" s="94">
        <f t="shared" si="22"/>
        <v>0</v>
      </c>
      <c r="H129" s="94">
        <f t="shared" si="22"/>
        <v>0</v>
      </c>
      <c r="I129" s="94">
        <f t="shared" si="22"/>
        <v>0</v>
      </c>
      <c r="J129" s="94">
        <f t="shared" si="22"/>
        <v>0</v>
      </c>
      <c r="K129" s="94">
        <f t="shared" si="22"/>
        <v>0</v>
      </c>
      <c r="L129" s="94">
        <f t="shared" si="22"/>
        <v>0</v>
      </c>
      <c r="M129" s="94">
        <f t="shared" si="22"/>
        <v>0</v>
      </c>
      <c r="N129" s="94">
        <f t="shared" si="22"/>
        <v>0</v>
      </c>
      <c r="O129" s="94">
        <f t="shared" si="22"/>
        <v>0</v>
      </c>
      <c r="P129" s="94">
        <f t="shared" si="22"/>
        <v>0</v>
      </c>
      <c r="Q129" s="94">
        <f t="shared" si="22"/>
        <v>0</v>
      </c>
      <c r="R129" s="94">
        <f t="shared" si="22"/>
        <v>0</v>
      </c>
      <c r="S129" s="94">
        <f t="shared" si="22"/>
        <v>0</v>
      </c>
      <c r="T129" s="94">
        <f t="shared" si="22"/>
        <v>0</v>
      </c>
      <c r="U129" s="94">
        <f t="shared" si="22"/>
        <v>0</v>
      </c>
      <c r="V129" s="94">
        <f t="shared" si="22"/>
        <v>0</v>
      </c>
      <c r="W129" s="94">
        <f t="shared" si="22"/>
        <v>0</v>
      </c>
      <c r="X129" s="94">
        <f t="shared" si="22"/>
        <v>0</v>
      </c>
      <c r="Y129" s="95">
        <f t="shared" ref="Y129:Y131" si="23">Y92-Y91</f>
        <v>0</v>
      </c>
      <c r="AA129" s="24"/>
      <c r="AB129" s="24"/>
      <c r="AC129" s="24"/>
    </row>
    <row r="130" spans="1:29">
      <c r="A130" s="24"/>
      <c r="B130" s="24"/>
      <c r="C130" s="24" t="s">
        <v>158</v>
      </c>
      <c r="D130" s="24"/>
      <c r="E130" s="94">
        <f t="shared" si="22"/>
        <v>0</v>
      </c>
      <c r="F130" s="94">
        <f t="shared" si="22"/>
        <v>0</v>
      </c>
      <c r="G130" s="94">
        <f t="shared" si="22"/>
        <v>0</v>
      </c>
      <c r="H130" s="94">
        <f t="shared" si="22"/>
        <v>0</v>
      </c>
      <c r="I130" s="94">
        <f t="shared" si="22"/>
        <v>0</v>
      </c>
      <c r="J130" s="94">
        <f t="shared" si="22"/>
        <v>0</v>
      </c>
      <c r="K130" s="94">
        <f t="shared" si="22"/>
        <v>0</v>
      </c>
      <c r="L130" s="94">
        <f t="shared" si="22"/>
        <v>0</v>
      </c>
      <c r="M130" s="94">
        <f t="shared" si="22"/>
        <v>0</v>
      </c>
      <c r="N130" s="94">
        <f t="shared" si="22"/>
        <v>0</v>
      </c>
      <c r="O130" s="94">
        <f t="shared" si="22"/>
        <v>0</v>
      </c>
      <c r="P130" s="94">
        <f t="shared" si="22"/>
        <v>0</v>
      </c>
      <c r="Q130" s="94">
        <f t="shared" si="22"/>
        <v>0</v>
      </c>
      <c r="R130" s="94">
        <f t="shared" si="22"/>
        <v>0</v>
      </c>
      <c r="S130" s="94">
        <f t="shared" si="22"/>
        <v>0</v>
      </c>
      <c r="T130" s="94">
        <f t="shared" si="22"/>
        <v>0</v>
      </c>
      <c r="U130" s="94">
        <f t="shared" si="22"/>
        <v>0</v>
      </c>
      <c r="V130" s="94">
        <f t="shared" si="22"/>
        <v>0</v>
      </c>
      <c r="W130" s="94">
        <f t="shared" si="22"/>
        <v>0</v>
      </c>
      <c r="X130" s="94">
        <f t="shared" si="22"/>
        <v>0</v>
      </c>
      <c r="Y130" s="95">
        <f t="shared" si="23"/>
        <v>0</v>
      </c>
      <c r="AA130" s="24"/>
      <c r="AB130" s="24"/>
      <c r="AC130" s="24"/>
    </row>
    <row r="131" spans="1:29">
      <c r="A131" s="24"/>
      <c r="B131" s="24"/>
      <c r="C131" s="24" t="s">
        <v>161</v>
      </c>
      <c r="D131" s="24"/>
      <c r="E131" s="94">
        <f t="shared" si="22"/>
        <v>0</v>
      </c>
      <c r="F131" s="94">
        <f t="shared" si="22"/>
        <v>0</v>
      </c>
      <c r="G131" s="94">
        <f t="shared" si="22"/>
        <v>0</v>
      </c>
      <c r="H131" s="94">
        <f t="shared" si="22"/>
        <v>0</v>
      </c>
      <c r="I131" s="94">
        <f t="shared" si="22"/>
        <v>0</v>
      </c>
      <c r="J131" s="94">
        <f t="shared" si="22"/>
        <v>0</v>
      </c>
      <c r="K131" s="94">
        <f t="shared" si="22"/>
        <v>0</v>
      </c>
      <c r="L131" s="94">
        <f t="shared" si="22"/>
        <v>0</v>
      </c>
      <c r="M131" s="94">
        <f t="shared" si="22"/>
        <v>0</v>
      </c>
      <c r="N131" s="94">
        <f t="shared" si="22"/>
        <v>0</v>
      </c>
      <c r="O131" s="94">
        <f t="shared" si="22"/>
        <v>0</v>
      </c>
      <c r="P131" s="94">
        <f t="shared" si="22"/>
        <v>0</v>
      </c>
      <c r="Q131" s="94">
        <f t="shared" si="22"/>
        <v>0</v>
      </c>
      <c r="R131" s="94">
        <f t="shared" si="22"/>
        <v>0</v>
      </c>
      <c r="S131" s="94">
        <f t="shared" si="22"/>
        <v>0</v>
      </c>
      <c r="T131" s="94">
        <f t="shared" si="22"/>
        <v>0</v>
      </c>
      <c r="U131" s="94">
        <f t="shared" si="22"/>
        <v>0</v>
      </c>
      <c r="V131" s="94">
        <f t="shared" si="22"/>
        <v>0</v>
      </c>
      <c r="W131" s="94">
        <f t="shared" si="22"/>
        <v>0</v>
      </c>
      <c r="X131" s="94">
        <f t="shared" si="22"/>
        <v>0</v>
      </c>
      <c r="Y131" s="95">
        <f t="shared" si="23"/>
        <v>0</v>
      </c>
      <c r="AA131" s="24"/>
      <c r="AB131" s="24"/>
      <c r="AC131" s="24"/>
    </row>
    <row r="132" spans="1:29">
      <c r="A132" s="24"/>
      <c r="B132" s="24"/>
      <c r="C132" s="24"/>
      <c r="D132" s="24"/>
      <c r="E132" s="89"/>
      <c r="F132" s="24"/>
      <c r="G132" s="24"/>
      <c r="H132" s="24"/>
      <c r="I132" s="24"/>
      <c r="J132" s="24"/>
      <c r="K132" s="24"/>
      <c r="L132" s="24"/>
      <c r="M132" s="24"/>
      <c r="N132" s="24"/>
      <c r="O132" s="24"/>
      <c r="P132" s="24"/>
      <c r="Q132" s="24"/>
      <c r="R132" s="24"/>
      <c r="S132" s="24"/>
      <c r="T132" s="24"/>
      <c r="U132" s="24"/>
      <c r="V132" s="24"/>
      <c r="W132" s="24"/>
      <c r="X132" s="24"/>
      <c r="Y132" s="24"/>
      <c r="AA132" s="24"/>
      <c r="AB132" s="24"/>
      <c r="AC132" s="24"/>
    </row>
    <row r="133" spans="1:29" ht="15">
      <c r="A133" s="24"/>
      <c r="B133" s="24"/>
      <c r="C133" s="275" t="s">
        <v>166</v>
      </c>
      <c r="D133" s="276">
        <f t="shared" ref="D133:X133" si="24">SUM(D100:D131)</f>
        <v>0</v>
      </c>
      <c r="E133" s="276">
        <f t="shared" si="24"/>
        <v>5.8579100721019552E-2</v>
      </c>
      <c r="F133" s="276">
        <f t="shared" si="24"/>
        <v>8.6108356493609053E-2</v>
      </c>
      <c r="G133" s="276">
        <f t="shared" si="24"/>
        <v>9.6155055834682229E-2</v>
      </c>
      <c r="H133" s="276">
        <f t="shared" si="24"/>
        <v>0.1124762743357684</v>
      </c>
      <c r="I133" s="276">
        <f t="shared" si="24"/>
        <v>0.10855836952869645</v>
      </c>
      <c r="J133" s="276">
        <f t="shared" si="24"/>
        <v>0.10881933609519039</v>
      </c>
      <c r="K133" s="276">
        <f t="shared" si="24"/>
        <v>0.12835026972308941</v>
      </c>
      <c r="L133" s="276">
        <f t="shared" si="24"/>
        <v>0.13540415049179771</v>
      </c>
      <c r="M133" s="276">
        <f t="shared" si="24"/>
        <v>0.15270079903086023</v>
      </c>
      <c r="N133" s="276">
        <f t="shared" si="24"/>
        <v>0.16941461544494188</v>
      </c>
      <c r="O133" s="276">
        <f t="shared" si="24"/>
        <v>0.18572454225106977</v>
      </c>
      <c r="P133" s="276">
        <f t="shared" si="24"/>
        <v>0.21396590138931457</v>
      </c>
      <c r="Q133" s="276">
        <f t="shared" si="24"/>
        <v>0.23536110790359388</v>
      </c>
      <c r="R133" s="276">
        <f t="shared" si="24"/>
        <v>0.2277519066393428</v>
      </c>
      <c r="S133" s="276">
        <f t="shared" si="24"/>
        <v>0.24154125908429405</v>
      </c>
      <c r="T133" s="276">
        <f t="shared" si="24"/>
        <v>0.23525279103135455</v>
      </c>
      <c r="U133" s="276">
        <f t="shared" si="24"/>
        <v>0.23131368063533228</v>
      </c>
      <c r="V133" s="276">
        <f t="shared" si="24"/>
        <v>0.22019170410756517</v>
      </c>
      <c r="W133" s="276">
        <f t="shared" si="24"/>
        <v>0.21597913668066065</v>
      </c>
      <c r="X133" s="276">
        <f t="shared" si="24"/>
        <v>0.2186286882634618</v>
      </c>
      <c r="Y133" s="276"/>
      <c r="AA133" s="24"/>
      <c r="AB133" s="24"/>
      <c r="AC133" s="24"/>
    </row>
    <row r="134" spans="1:29" ht="15">
      <c r="A134" s="24"/>
      <c r="B134" s="24"/>
      <c r="C134" s="275" t="s">
        <v>167</v>
      </c>
      <c r="D134" s="276">
        <f>D133</f>
        <v>0</v>
      </c>
      <c r="E134" s="276">
        <f t="shared" ref="E134:X134" si="25">D134+E133</f>
        <v>5.8579100721019552E-2</v>
      </c>
      <c r="F134" s="276">
        <f t="shared" si="25"/>
        <v>0.14468745721462861</v>
      </c>
      <c r="G134" s="276">
        <f t="shared" si="25"/>
        <v>0.24084251304931084</v>
      </c>
      <c r="H134" s="276">
        <f t="shared" si="25"/>
        <v>0.35331878738507927</v>
      </c>
      <c r="I134" s="276">
        <f t="shared" si="25"/>
        <v>0.46187715691377573</v>
      </c>
      <c r="J134" s="276">
        <f t="shared" si="25"/>
        <v>0.57069649300896608</v>
      </c>
      <c r="K134" s="276">
        <f t="shared" si="25"/>
        <v>0.69904676273205546</v>
      </c>
      <c r="L134" s="276">
        <f t="shared" si="25"/>
        <v>0.83445091322385312</v>
      </c>
      <c r="M134" s="276">
        <f t="shared" si="25"/>
        <v>0.98715171225471332</v>
      </c>
      <c r="N134" s="276">
        <f t="shared" si="25"/>
        <v>1.1565663276996552</v>
      </c>
      <c r="O134" s="276">
        <f t="shared" si="25"/>
        <v>1.342290869950725</v>
      </c>
      <c r="P134" s="276">
        <f t="shared" si="25"/>
        <v>1.5562567713400395</v>
      </c>
      <c r="Q134" s="276">
        <f t="shared" si="25"/>
        <v>1.7916178792436335</v>
      </c>
      <c r="R134" s="276">
        <f t="shared" si="25"/>
        <v>2.0193697858829762</v>
      </c>
      <c r="S134" s="276">
        <f t="shared" si="25"/>
        <v>2.2609110449672705</v>
      </c>
      <c r="T134" s="276">
        <f t="shared" si="25"/>
        <v>2.4961638359986251</v>
      </c>
      <c r="U134" s="276">
        <f t="shared" si="25"/>
        <v>2.7274775166339573</v>
      </c>
      <c r="V134" s="276">
        <f t="shared" si="25"/>
        <v>2.9476692207415223</v>
      </c>
      <c r="W134" s="276">
        <f t="shared" si="25"/>
        <v>3.1636483574221828</v>
      </c>
      <c r="X134" s="276">
        <f t="shared" si="25"/>
        <v>3.3822770456856444</v>
      </c>
      <c r="Y134" s="276">
        <f>SUM(Y100:Y131)</f>
        <v>3.3822770456856448</v>
      </c>
      <c r="AA134" s="24"/>
      <c r="AB134" s="24"/>
      <c r="AC134" s="24"/>
    </row>
    <row r="135" spans="1:29">
      <c r="A135" s="24"/>
      <c r="B135" s="24"/>
      <c r="C135" s="57"/>
      <c r="D135" s="57"/>
      <c r="E135" s="96"/>
      <c r="F135" s="96"/>
      <c r="G135" s="96"/>
      <c r="H135" s="96"/>
      <c r="I135" s="96"/>
      <c r="J135" s="96"/>
      <c r="K135" s="96"/>
      <c r="L135" s="96"/>
      <c r="M135" s="96"/>
      <c r="N135" s="96"/>
      <c r="O135" s="96"/>
      <c r="P135" s="96"/>
      <c r="Q135" s="96"/>
      <c r="R135" s="96"/>
      <c r="S135" s="96"/>
      <c r="T135" s="96"/>
      <c r="U135" s="96"/>
      <c r="V135" s="96"/>
      <c r="W135" s="96"/>
      <c r="X135" s="96"/>
      <c r="Y135" s="24"/>
      <c r="AA135" s="24"/>
      <c r="AB135" s="24"/>
      <c r="AC135" s="24"/>
    </row>
    <row r="136" spans="1:29">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AA136" s="24"/>
      <c r="AB136" s="24"/>
      <c r="AC136" s="24"/>
    </row>
    <row r="137" spans="1:29">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AA137" s="24"/>
      <c r="AB137" s="24"/>
      <c r="AC137" s="24"/>
    </row>
    <row r="138" spans="1:29">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AA138" s="24"/>
      <c r="AB138" s="24"/>
      <c r="AC138" s="24"/>
    </row>
    <row r="139" spans="1:29" ht="15">
      <c r="A139" s="277" t="s">
        <v>168</v>
      </c>
      <c r="B139" s="271"/>
      <c r="C139" s="272" t="s">
        <v>169</v>
      </c>
      <c r="D139" s="24"/>
      <c r="E139" s="24"/>
      <c r="F139" s="24"/>
      <c r="G139" s="24"/>
      <c r="H139" s="98"/>
      <c r="I139" s="24"/>
      <c r="J139" s="24"/>
      <c r="K139" s="24"/>
      <c r="L139" s="98"/>
      <c r="M139" s="24"/>
      <c r="N139" s="24"/>
      <c r="O139" s="24"/>
      <c r="P139" s="98"/>
      <c r="Q139" s="24"/>
      <c r="R139" s="24"/>
      <c r="S139" s="24"/>
      <c r="T139" s="98"/>
      <c r="U139" s="24"/>
      <c r="V139" s="24"/>
      <c r="W139" s="24"/>
      <c r="X139" s="98"/>
      <c r="Y139" s="24"/>
      <c r="AA139" s="24"/>
      <c r="AB139" s="24"/>
      <c r="AC139" s="24"/>
    </row>
    <row r="140" spans="1:29">
      <c r="A140" s="99" t="s">
        <v>170</v>
      </c>
      <c r="B140" s="100" t="e">
        <f ca="1">1/VLOOKUP($C$11,[1]TURN!TURN,MATCH($C$12,[1]!BLDGTYPE,0),FALSE)</f>
        <v>#N/A</v>
      </c>
      <c r="C140" s="24" t="s">
        <v>171</v>
      </c>
      <c r="D140" s="24"/>
      <c r="E140" s="64">
        <f>E11</f>
        <v>2016</v>
      </c>
      <c r="F140" s="64">
        <f t="shared" ref="F140:X140" si="26">F11</f>
        <v>2017</v>
      </c>
      <c r="G140" s="64">
        <f t="shared" si="26"/>
        <v>2018</v>
      </c>
      <c r="H140" s="64">
        <f t="shared" si="26"/>
        <v>2019</v>
      </c>
      <c r="I140" s="64">
        <f t="shared" si="26"/>
        <v>2020</v>
      </c>
      <c r="J140" s="64">
        <f t="shared" si="26"/>
        <v>2021</v>
      </c>
      <c r="K140" s="64">
        <f t="shared" si="26"/>
        <v>2022</v>
      </c>
      <c r="L140" s="64">
        <f t="shared" si="26"/>
        <v>2023</v>
      </c>
      <c r="M140" s="64">
        <f t="shared" si="26"/>
        <v>2024</v>
      </c>
      <c r="N140" s="64">
        <f t="shared" si="26"/>
        <v>2025</v>
      </c>
      <c r="O140" s="64">
        <f t="shared" si="26"/>
        <v>2026</v>
      </c>
      <c r="P140" s="64">
        <f t="shared" si="26"/>
        <v>2027</v>
      </c>
      <c r="Q140" s="64">
        <f t="shared" si="26"/>
        <v>2028</v>
      </c>
      <c r="R140" s="64">
        <f t="shared" si="26"/>
        <v>2029</v>
      </c>
      <c r="S140" s="64">
        <f t="shared" si="26"/>
        <v>2030</v>
      </c>
      <c r="T140" s="64">
        <f t="shared" si="26"/>
        <v>2031</v>
      </c>
      <c r="U140" s="64">
        <f t="shared" si="26"/>
        <v>2032</v>
      </c>
      <c r="V140" s="64">
        <f t="shared" si="26"/>
        <v>2033</v>
      </c>
      <c r="W140" s="64">
        <f t="shared" si="26"/>
        <v>2034</v>
      </c>
      <c r="X140" s="64">
        <f t="shared" si="26"/>
        <v>2035</v>
      </c>
      <c r="Y140" s="67" t="s">
        <v>53</v>
      </c>
      <c r="AA140" s="24"/>
      <c r="AB140" s="24"/>
      <c r="AC140" s="24"/>
    </row>
    <row r="141" spans="1:29">
      <c r="A141" s="24"/>
      <c r="B141" s="24"/>
      <c r="C141" s="24" t="str">
        <f t="shared" ref="C141:C142" si="27">C40</f>
        <v>LEC Exit Sign-Double-New</v>
      </c>
      <c r="D141" s="24"/>
      <c r="E141" s="74">
        <f>E40/Sources!$T$54/$B40-E46</f>
        <v>42466.460903774976</v>
      </c>
      <c r="F141" s="74">
        <f>F40/Sources!$T$54/$B40-F46</f>
        <v>32672.333537530871</v>
      </c>
      <c r="G141" s="74">
        <f>G40/Sources!$T$54/$B40-G46</f>
        <v>25964.111995890151</v>
      </c>
      <c r="H141" s="74">
        <f>H40/Sources!$T$54/$B40-H46</f>
        <v>24013.500320212894</v>
      </c>
      <c r="I141" s="74">
        <f>I40/Sources!$T$54/$B40-I46</f>
        <v>19117.335626990527</v>
      </c>
      <c r="J141" s="74">
        <f>J40/Sources!$T$54/$B40-J46</f>
        <v>16325.40847565735</v>
      </c>
      <c r="K141" s="74">
        <f>K40/Sources!$T$54/$B40-K46</f>
        <v>16833.08404228319</v>
      </c>
      <c r="L141" s="74">
        <f>L40/Sources!$T$54/$B40-L46</f>
        <v>15858.11686241473</v>
      </c>
      <c r="M141" s="74">
        <f>M40/Sources!$T$54/$B40-M46</f>
        <v>16258.324216260506</v>
      </c>
      <c r="N141" s="74">
        <f>N40/Sources!$T$54/$B40-N46</f>
        <v>16648.900317364965</v>
      </c>
      <c r="O141" s="74">
        <f>O40/Sources!$T$54/$B40-O46</f>
        <v>17065.397782861161</v>
      </c>
      <c r="P141" s="74">
        <f>P40/Sources!$T$54/$B40-P46</f>
        <v>18651.761341256268</v>
      </c>
      <c r="Q141" s="74">
        <f>Q40/Sources!$T$54/$B40-Q46</f>
        <v>19687.421760051366</v>
      </c>
      <c r="R141" s="74">
        <f>R40/Sources!$T$54/$B40-R46</f>
        <v>18445.13965637283</v>
      </c>
      <c r="S141" s="74">
        <f>S40/Sources!$T$54/$B40-S46</f>
        <v>19073.438558839094</v>
      </c>
      <c r="T141" s="74">
        <f>T40/Sources!$T$54/$B40-T46</f>
        <v>18213.146599390639</v>
      </c>
      <c r="U141" s="74">
        <f>U40/Sources!$T$54/$B40-U46</f>
        <v>17633.615694775206</v>
      </c>
      <c r="V141" s="74">
        <f>V40/Sources!$T$54/$B40-V46</f>
        <v>16584.448496329715</v>
      </c>
      <c r="W141" s="74">
        <f>W40/Sources!$T$54/$B40-W46</f>
        <v>16114.696583372766</v>
      </c>
      <c r="X141" s="74">
        <f>X40/Sources!$T$54/$B40-X46</f>
        <v>16192.983204701006</v>
      </c>
      <c r="Y141" s="72">
        <f>SUM(E141:X141)</f>
        <v>403819.62597633019</v>
      </c>
      <c r="AA141" s="24" t="s">
        <v>172</v>
      </c>
      <c r="AB141" s="24"/>
      <c r="AC141" s="24"/>
    </row>
    <row r="142" spans="1:29">
      <c r="A142" s="24"/>
      <c r="B142" s="24"/>
      <c r="C142" s="24" t="str">
        <f t="shared" si="27"/>
        <v>LEC Exit Sign-Single-New</v>
      </c>
      <c r="D142" s="24"/>
      <c r="E142" s="74">
        <f>E41/Sources!$T$54/$B41-E47</f>
        <v>17493.12993703346</v>
      </c>
      <c r="F142" s="74">
        <f>F41/Sources!$T$54/$B41-F47</f>
        <v>13458.653340884299</v>
      </c>
      <c r="G142" s="74">
        <f>G41/Sources!$T$54/$B41-G47</f>
        <v>10695.348168357046</v>
      </c>
      <c r="H142" s="74">
        <f>H41/Sources!$T$54/$B41-H47</f>
        <v>9891.8363434221901</v>
      </c>
      <c r="I142" s="74">
        <f>I41/Sources!$T$54/$B41-I47</f>
        <v>7874.968364578187</v>
      </c>
      <c r="J142" s="74">
        <f>J41/Sources!$T$54/$B41-J47</f>
        <v>6724.8950268524741</v>
      </c>
      <c r="K142" s="74">
        <f>K41/Sources!$T$54/$B41-K47</f>
        <v>6934.0208749650828</v>
      </c>
      <c r="L142" s="74">
        <f>L41/Sources!$T$54/$B41-L47</f>
        <v>6532.4044652428893</v>
      </c>
      <c r="M142" s="74">
        <f>M41/Sources!$T$54/$B41-M47</f>
        <v>6697.2611331541557</v>
      </c>
      <c r="N142" s="74">
        <f>N41/Sources!$T$54/$B41-N47</f>
        <v>6858.1504171093666</v>
      </c>
      <c r="O142" s="74">
        <f>O41/Sources!$T$54/$B41-O47</f>
        <v>7029.7174402921864</v>
      </c>
      <c r="P142" s="74">
        <f>P41/Sources!$T$54/$B41-P47</f>
        <v>7683.1852184821346</v>
      </c>
      <c r="Q142" s="74">
        <f>Q41/Sources!$T$54/$B41-Q47</f>
        <v>8109.8028807751307</v>
      </c>
      <c r="R142" s="74">
        <f>R41/Sources!$T$54/$B41-R47</f>
        <v>7598.0719336792245</v>
      </c>
      <c r="S142" s="74">
        <f>S41/Sources!$T$54/$B41-S47</f>
        <v>7856.885927269177</v>
      </c>
      <c r="T142" s="74">
        <f>T41/Sources!$T$54/$B41-T47</f>
        <v>7502.5074669468795</v>
      </c>
      <c r="U142" s="74">
        <f>U41/Sources!$T$54/$B41-U47</f>
        <v>7263.7823836408934</v>
      </c>
      <c r="V142" s="74">
        <f>V41/Sources!$T$54/$B41-V47</f>
        <v>6831.6008988294561</v>
      </c>
      <c r="W142" s="74">
        <f>W41/Sources!$T$54/$B41-W47</f>
        <v>6638.096870552974</v>
      </c>
      <c r="X142" s="74">
        <f>X41/Sources!$T$54/$B41-X47</f>
        <v>6670.3453322820878</v>
      </c>
      <c r="Y142" s="72">
        <f>SUM(E142:X142)</f>
        <v>166344.66442434929</v>
      </c>
      <c r="AA142" s="24"/>
      <c r="AB142" s="24"/>
      <c r="AC142" s="24"/>
    </row>
    <row r="143" spans="1:29">
      <c r="A143" s="24"/>
      <c r="B143" s="24"/>
      <c r="C143" s="24"/>
      <c r="D143" s="24"/>
      <c r="E143" s="74"/>
      <c r="F143" s="74"/>
      <c r="G143" s="74"/>
      <c r="H143" s="74"/>
      <c r="I143" s="74"/>
      <c r="J143" s="74"/>
      <c r="K143" s="74"/>
      <c r="L143" s="74"/>
      <c r="M143" s="74"/>
      <c r="N143" s="74"/>
      <c r="O143" s="74"/>
      <c r="P143" s="74"/>
      <c r="Q143" s="74"/>
      <c r="R143" s="74"/>
      <c r="S143" s="74"/>
      <c r="T143" s="74"/>
      <c r="U143" s="74"/>
      <c r="V143" s="74"/>
      <c r="W143" s="74"/>
      <c r="X143" s="74"/>
      <c r="Y143" s="72"/>
      <c r="AA143" s="24"/>
      <c r="AB143" s="24"/>
      <c r="AC143" s="24"/>
    </row>
    <row r="144" spans="1:29">
      <c r="A144" s="24"/>
      <c r="B144" s="24"/>
      <c r="C144" t="s">
        <v>577</v>
      </c>
      <c r="D144" s="24" t="s">
        <v>620</v>
      </c>
      <c r="E144" s="74">
        <f>E141</f>
        <v>42466.460903774976</v>
      </c>
      <c r="F144" s="74">
        <f>E144+F141</f>
        <v>75138.794441305843</v>
      </c>
      <c r="G144" s="74">
        <f t="shared" ref="G144:X144" si="28">F144+G141</f>
        <v>101102.906437196</v>
      </c>
      <c r="H144" s="74">
        <f t="shared" si="28"/>
        <v>125116.4067574089</v>
      </c>
      <c r="I144" s="74">
        <f t="shared" si="28"/>
        <v>144233.74238439943</v>
      </c>
      <c r="J144" s="74">
        <f t="shared" si="28"/>
        <v>160559.15086005678</v>
      </c>
      <c r="K144" s="74">
        <f t="shared" si="28"/>
        <v>177392.23490233996</v>
      </c>
      <c r="L144" s="74">
        <f t="shared" si="28"/>
        <v>193250.35176475468</v>
      </c>
      <c r="M144" s="74">
        <f t="shared" si="28"/>
        <v>209508.6759810152</v>
      </c>
      <c r="N144" s="74">
        <f t="shared" si="28"/>
        <v>226157.57629838015</v>
      </c>
      <c r="O144" s="74">
        <f t="shared" si="28"/>
        <v>243222.97408124132</v>
      </c>
      <c r="P144" s="74">
        <f t="shared" si="28"/>
        <v>261874.73542249759</v>
      </c>
      <c r="Q144" s="74">
        <f t="shared" si="28"/>
        <v>281562.15718254895</v>
      </c>
      <c r="R144" s="74">
        <f t="shared" si="28"/>
        <v>300007.29683892179</v>
      </c>
      <c r="S144" s="74">
        <f t="shared" si="28"/>
        <v>319080.73539776087</v>
      </c>
      <c r="T144" s="74">
        <f t="shared" si="28"/>
        <v>337293.88199715153</v>
      </c>
      <c r="U144" s="74">
        <f t="shared" si="28"/>
        <v>354927.49769192672</v>
      </c>
      <c r="V144" s="74">
        <f t="shared" si="28"/>
        <v>371511.94618825644</v>
      </c>
      <c r="W144" s="74">
        <f t="shared" si="28"/>
        <v>387626.64277162921</v>
      </c>
      <c r="X144" s="74">
        <f t="shared" si="28"/>
        <v>403819.62597633019</v>
      </c>
      <c r="Y144" s="72"/>
      <c r="AA144" s="24"/>
      <c r="AB144" s="24"/>
      <c r="AC144" s="24"/>
    </row>
    <row r="145" spans="1:29">
      <c r="A145" s="24"/>
      <c r="B145" s="24"/>
      <c r="C145" t="s">
        <v>578</v>
      </c>
      <c r="D145" s="24" t="s">
        <v>620</v>
      </c>
      <c r="E145" s="74">
        <f>E142</f>
        <v>17493.12993703346</v>
      </c>
      <c r="F145" s="74">
        <f>E145+F142</f>
        <v>30951.783277917759</v>
      </c>
      <c r="G145" s="74">
        <f t="shared" ref="G145:X145" si="29">F145+G142</f>
        <v>41647.131446274805</v>
      </c>
      <c r="H145" s="74">
        <f t="shared" si="29"/>
        <v>51538.967789696995</v>
      </c>
      <c r="I145" s="74">
        <f t="shared" si="29"/>
        <v>59413.936154275179</v>
      </c>
      <c r="J145" s="74">
        <f t="shared" si="29"/>
        <v>66138.831181127651</v>
      </c>
      <c r="K145" s="74">
        <f t="shared" si="29"/>
        <v>73072.852056092728</v>
      </c>
      <c r="L145" s="74">
        <f t="shared" si="29"/>
        <v>79605.256521335614</v>
      </c>
      <c r="M145" s="74">
        <f t="shared" si="29"/>
        <v>86302.517654489769</v>
      </c>
      <c r="N145" s="74">
        <f t="shared" si="29"/>
        <v>93160.668071599139</v>
      </c>
      <c r="O145" s="74">
        <f t="shared" si="29"/>
        <v>100190.38551189132</v>
      </c>
      <c r="P145" s="74">
        <f t="shared" si="29"/>
        <v>107873.57073037345</v>
      </c>
      <c r="Q145" s="74">
        <f t="shared" si="29"/>
        <v>115983.37361114858</v>
      </c>
      <c r="R145" s="74">
        <f t="shared" si="29"/>
        <v>123581.4455448278</v>
      </c>
      <c r="S145" s="74">
        <f t="shared" si="29"/>
        <v>131438.33147209696</v>
      </c>
      <c r="T145" s="74">
        <f t="shared" si="29"/>
        <v>138940.83893904384</v>
      </c>
      <c r="U145" s="74">
        <f t="shared" si="29"/>
        <v>146204.62132268475</v>
      </c>
      <c r="V145" s="74">
        <f t="shared" si="29"/>
        <v>153036.22222151421</v>
      </c>
      <c r="W145" s="74">
        <f t="shared" si="29"/>
        <v>159674.31909206719</v>
      </c>
      <c r="X145" s="74">
        <f t="shared" si="29"/>
        <v>166344.66442434929</v>
      </c>
      <c r="Y145" s="72"/>
      <c r="AA145" s="24"/>
      <c r="AB145" s="24"/>
      <c r="AC145" s="24"/>
    </row>
    <row r="146" spans="1:29">
      <c r="A146" s="24"/>
      <c r="B146" s="24"/>
      <c r="C146" s="24"/>
      <c r="D146" s="24"/>
      <c r="E146" s="74"/>
      <c r="F146" s="74"/>
      <c r="G146" s="74"/>
      <c r="H146" s="74"/>
      <c r="I146" s="74"/>
      <c r="J146" s="74"/>
      <c r="K146" s="74"/>
      <c r="L146" s="74"/>
      <c r="M146" s="74"/>
      <c r="N146" s="74"/>
      <c r="O146" s="74"/>
      <c r="P146" s="74"/>
      <c r="Q146" s="74"/>
      <c r="R146" s="74"/>
      <c r="S146" s="74"/>
      <c r="T146" s="74"/>
      <c r="U146" s="74"/>
      <c r="V146" s="74"/>
      <c r="W146" s="74"/>
      <c r="X146" s="74"/>
      <c r="Y146" s="72"/>
      <c r="AA146" s="24"/>
      <c r="AB146" s="24"/>
      <c r="AC146" s="24"/>
    </row>
    <row r="147" spans="1:29">
      <c r="A147" s="24"/>
      <c r="B147" s="24"/>
      <c r="C147" s="24" t="s">
        <v>173</v>
      </c>
      <c r="D147" s="24"/>
      <c r="E147" s="74">
        <f>SUM(E141:E142)</f>
        <v>59959.590840808436</v>
      </c>
      <c r="F147" s="74">
        <f t="shared" ref="F147:X147" si="30">SUM(F141:F142)</f>
        <v>46130.986878415169</v>
      </c>
      <c r="G147" s="74">
        <f t="shared" si="30"/>
        <v>36659.460164247197</v>
      </c>
      <c r="H147" s="74">
        <f t="shared" si="30"/>
        <v>33905.336663635084</v>
      </c>
      <c r="I147" s="74">
        <f t="shared" si="30"/>
        <v>26992.303991568715</v>
      </c>
      <c r="J147" s="74">
        <f t="shared" si="30"/>
        <v>23050.303502509825</v>
      </c>
      <c r="K147" s="74">
        <f t="shared" si="30"/>
        <v>23767.104917248274</v>
      </c>
      <c r="L147" s="74">
        <f t="shared" si="30"/>
        <v>22390.521327657618</v>
      </c>
      <c r="M147" s="74">
        <f t="shared" si="30"/>
        <v>22955.585349414661</v>
      </c>
      <c r="N147" s="74">
        <f t="shared" si="30"/>
        <v>23507.050734474331</v>
      </c>
      <c r="O147" s="74">
        <f t="shared" si="30"/>
        <v>24095.115223153349</v>
      </c>
      <c r="P147" s="74">
        <f t="shared" si="30"/>
        <v>26334.946559738404</v>
      </c>
      <c r="Q147" s="74">
        <f t="shared" si="30"/>
        <v>27797.224640826498</v>
      </c>
      <c r="R147" s="74">
        <f t="shared" si="30"/>
        <v>26043.211590052055</v>
      </c>
      <c r="S147" s="74">
        <f t="shared" si="30"/>
        <v>26930.324486108271</v>
      </c>
      <c r="T147" s="74">
        <f t="shared" si="30"/>
        <v>25715.65406633752</v>
      </c>
      <c r="U147" s="74">
        <f t="shared" si="30"/>
        <v>24897.398078416099</v>
      </c>
      <c r="V147" s="74">
        <f t="shared" si="30"/>
        <v>23416.049395159171</v>
      </c>
      <c r="W147" s="74">
        <f t="shared" si="30"/>
        <v>22752.79345392574</v>
      </c>
      <c r="X147" s="74">
        <f t="shared" si="30"/>
        <v>22863.328536983092</v>
      </c>
      <c r="Y147" s="72">
        <f>SUM(E147:X147)</f>
        <v>570164.29040067957</v>
      </c>
      <c r="AA147" s="24"/>
      <c r="AB147" s="24"/>
      <c r="AC147" s="24"/>
    </row>
    <row r="148" spans="1:29">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AA148" s="24"/>
      <c r="AB148" s="24"/>
      <c r="AC148" s="24"/>
    </row>
    <row r="149" spans="1:29">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AA149" s="24"/>
      <c r="AB149" s="24"/>
      <c r="AC149" s="24"/>
    </row>
    <row r="150" spans="1:29">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AA150" s="24"/>
      <c r="AB150" s="24"/>
      <c r="AC150" s="24"/>
    </row>
    <row r="151" spans="1:29">
      <c r="A151" s="24"/>
      <c r="B151" s="24"/>
      <c r="C151" s="101" t="s">
        <v>174</v>
      </c>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AA151" s="101"/>
      <c r="AB151" s="101"/>
      <c r="AC151" s="101"/>
    </row>
    <row r="152" spans="1:29">
      <c r="A152" s="24"/>
      <c r="B152" s="24"/>
      <c r="C152" s="101" t="s">
        <v>175</v>
      </c>
      <c r="D152" s="101"/>
      <c r="E152" s="102">
        <f>E147</f>
        <v>59959.590840808436</v>
      </c>
      <c r="F152" s="102">
        <f t="shared" ref="F152:X152" si="31">F147</f>
        <v>46130.986878415169</v>
      </c>
      <c r="G152" s="102">
        <f t="shared" si="31"/>
        <v>36659.460164247197</v>
      </c>
      <c r="H152" s="102">
        <f t="shared" si="31"/>
        <v>33905.336663635084</v>
      </c>
      <c r="I152" s="102">
        <f t="shared" si="31"/>
        <v>26992.303991568715</v>
      </c>
      <c r="J152" s="102">
        <f t="shared" si="31"/>
        <v>23050.303502509825</v>
      </c>
      <c r="K152" s="102">
        <f t="shared" si="31"/>
        <v>23767.104917248274</v>
      </c>
      <c r="L152" s="102">
        <f t="shared" si="31"/>
        <v>22390.521327657618</v>
      </c>
      <c r="M152" s="102">
        <f t="shared" si="31"/>
        <v>22955.585349414661</v>
      </c>
      <c r="N152" s="102">
        <f t="shared" si="31"/>
        <v>23507.050734474331</v>
      </c>
      <c r="O152" s="102">
        <f t="shared" si="31"/>
        <v>24095.115223153349</v>
      </c>
      <c r="P152" s="102">
        <f t="shared" si="31"/>
        <v>26334.946559738404</v>
      </c>
      <c r="Q152" s="102">
        <f t="shared" si="31"/>
        <v>27797.224640826498</v>
      </c>
      <c r="R152" s="102">
        <f t="shared" si="31"/>
        <v>26043.211590052055</v>
      </c>
      <c r="S152" s="102">
        <f t="shared" si="31"/>
        <v>26930.324486108271</v>
      </c>
      <c r="T152" s="102">
        <f t="shared" si="31"/>
        <v>25715.65406633752</v>
      </c>
      <c r="U152" s="102">
        <f t="shared" si="31"/>
        <v>24897.398078416099</v>
      </c>
      <c r="V152" s="102">
        <f t="shared" si="31"/>
        <v>23416.049395159171</v>
      </c>
      <c r="W152" s="102">
        <f t="shared" si="31"/>
        <v>22752.79345392574</v>
      </c>
      <c r="X152" s="102">
        <f t="shared" si="31"/>
        <v>22863.328536983092</v>
      </c>
      <c r="Y152" s="103">
        <f>SUM(E152:X152)</f>
        <v>570164.29040067957</v>
      </c>
      <c r="AA152" s="101"/>
      <c r="AB152" s="101"/>
      <c r="AC152" s="101"/>
    </row>
    <row r="153" spans="1:29">
      <c r="A153" s="24"/>
      <c r="B153" s="24"/>
      <c r="C153" s="101" t="s">
        <v>176</v>
      </c>
      <c r="D153" s="101"/>
      <c r="E153" s="102">
        <f>E49+E152</f>
        <v>69347.423447524619</v>
      </c>
      <c r="F153" s="102">
        <f t="shared" ref="F153:X153" si="32">F49+F152</f>
        <v>59930.632602771293</v>
      </c>
      <c r="G153" s="102">
        <f t="shared" si="32"/>
        <v>52069.180650815528</v>
      </c>
      <c r="H153" s="102">
        <f t="shared" si="32"/>
        <v>51930.680560940709</v>
      </c>
      <c r="I153" s="102">
        <f t="shared" si="32"/>
        <v>44389.768081142116</v>
      </c>
      <c r="J153" s="102">
        <f t="shared" si="32"/>
        <v>40489.589853129233</v>
      </c>
      <c r="K153" s="102">
        <f t="shared" si="32"/>
        <v>44336.400661914398</v>
      </c>
      <c r="L153" s="102">
        <f t="shared" si="32"/>
        <v>44090.265492823419</v>
      </c>
      <c r="M153" s="102">
        <f t="shared" si="32"/>
        <v>47427.274442776601</v>
      </c>
      <c r="N153" s="102">
        <f t="shared" si="32"/>
        <v>50657.280617699944</v>
      </c>
      <c r="O153" s="102">
        <f t="shared" si="32"/>
        <v>53859.158920505688</v>
      </c>
      <c r="P153" s="102">
        <f t="shared" si="32"/>
        <v>60624.924402762321</v>
      </c>
      <c r="Q153" s="102">
        <f t="shared" si="32"/>
        <v>65515.97852974329</v>
      </c>
      <c r="R153" s="102">
        <f t="shared" si="32"/>
        <v>62542.521908474257</v>
      </c>
      <c r="S153" s="102">
        <f t="shared" si="32"/>
        <v>65639.503698297311</v>
      </c>
      <c r="T153" s="102">
        <f t="shared" si="32"/>
        <v>63417.049193297404</v>
      </c>
      <c r="U153" s="102">
        <f t="shared" si="32"/>
        <v>61967.515009533628</v>
      </c>
      <c r="V153" s="102">
        <f t="shared" si="32"/>
        <v>58703.768634721855</v>
      </c>
      <c r="W153" s="102">
        <f t="shared" si="32"/>
        <v>57365.410526307256</v>
      </c>
      <c r="X153" s="102">
        <f t="shared" si="32"/>
        <v>57900.560300202145</v>
      </c>
      <c r="Y153" s="103">
        <f>SUM(E153:X153)</f>
        <v>1112204.887535383</v>
      </c>
      <c r="AA153" s="101" t="s">
        <v>177</v>
      </c>
      <c r="AB153" s="101"/>
      <c r="AC153" s="101"/>
    </row>
    <row r="154" spans="1:29">
      <c r="A154" s="24"/>
      <c r="B154" s="24"/>
      <c r="C154" s="101" t="s">
        <v>178</v>
      </c>
      <c r="D154" s="101"/>
      <c r="E154" s="102">
        <f>E34-E153</f>
        <v>0</v>
      </c>
      <c r="F154" s="102">
        <f t="shared" ref="F154:X154" si="33">F34-F153</f>
        <v>0</v>
      </c>
      <c r="G154" s="102">
        <f t="shared" si="33"/>
        <v>0</v>
      </c>
      <c r="H154" s="102">
        <f t="shared" si="33"/>
        <v>0</v>
      </c>
      <c r="I154" s="102">
        <f t="shared" si="33"/>
        <v>0</v>
      </c>
      <c r="J154" s="102">
        <f t="shared" si="33"/>
        <v>0</v>
      </c>
      <c r="K154" s="102">
        <f t="shared" si="33"/>
        <v>0</v>
      </c>
      <c r="L154" s="102">
        <f t="shared" si="33"/>
        <v>0</v>
      </c>
      <c r="M154" s="102">
        <f t="shared" si="33"/>
        <v>0</v>
      </c>
      <c r="N154" s="102">
        <f t="shared" si="33"/>
        <v>0</v>
      </c>
      <c r="O154" s="102">
        <f t="shared" si="33"/>
        <v>0</v>
      </c>
      <c r="P154" s="102">
        <f t="shared" si="33"/>
        <v>0</v>
      </c>
      <c r="Q154" s="102">
        <f t="shared" si="33"/>
        <v>0</v>
      </c>
      <c r="R154" s="102">
        <f t="shared" si="33"/>
        <v>0</v>
      </c>
      <c r="S154" s="102">
        <f t="shared" si="33"/>
        <v>0</v>
      </c>
      <c r="T154" s="102">
        <f t="shared" si="33"/>
        <v>0</v>
      </c>
      <c r="U154" s="102">
        <f t="shared" si="33"/>
        <v>0</v>
      </c>
      <c r="V154" s="102">
        <f t="shared" si="33"/>
        <v>0</v>
      </c>
      <c r="W154" s="102">
        <f t="shared" si="33"/>
        <v>0</v>
      </c>
      <c r="X154" s="102">
        <f t="shared" si="33"/>
        <v>0</v>
      </c>
      <c r="Y154" s="103">
        <f>SUM(E154:X154)</f>
        <v>0</v>
      </c>
      <c r="AA154" s="101"/>
      <c r="AB154" s="101"/>
      <c r="AC154" s="101"/>
    </row>
    <row r="155" spans="1:29">
      <c r="A155" s="24"/>
      <c r="B155" s="24"/>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AA155" s="101"/>
      <c r="AB155" s="101"/>
      <c r="AC155" s="101"/>
    </row>
    <row r="156" spans="1:29">
      <c r="A156" s="24"/>
      <c r="B156" s="24"/>
      <c r="C156" s="101" t="s">
        <v>179</v>
      </c>
      <c r="D156" s="101"/>
      <c r="E156" s="102">
        <f>E153*$Y$12</f>
        <v>58945.309930395924</v>
      </c>
      <c r="F156" s="102">
        <f>F153*$Y$12</f>
        <v>50941.037712355595</v>
      </c>
      <c r="G156" s="102">
        <f>G153*$Y$12</f>
        <v>44258.803553193196</v>
      </c>
      <c r="H156" s="102">
        <f>H153*$Y$12</f>
        <v>44141.078476799601</v>
      </c>
      <c r="I156" s="102">
        <f>I153*$Y$12</f>
        <v>37731.302868970801</v>
      </c>
      <c r="J156" s="102">
        <f>J153*$Y$12</f>
        <v>34416.151375159847</v>
      </c>
      <c r="K156" s="102">
        <f>K153*$Y$12</f>
        <v>37685.940562627235</v>
      </c>
      <c r="L156" s="102">
        <f>L153*$Y$12</f>
        <v>37476.725668899904</v>
      </c>
      <c r="M156" s="102">
        <f>M153*$Y$12</f>
        <v>40313.183276360112</v>
      </c>
      <c r="N156" s="102">
        <f>N153*$Y$12</f>
        <v>43058.688525044949</v>
      </c>
      <c r="O156" s="102">
        <f>O153*$Y$12</f>
        <v>45780.285082429837</v>
      </c>
      <c r="P156" s="102">
        <f>P153*$Y$12</f>
        <v>51531.185742347974</v>
      </c>
      <c r="Q156" s="102">
        <f>Q153*$Y$12</f>
        <v>55688.581750281795</v>
      </c>
      <c r="R156" s="102">
        <f>R153*$Y$12</f>
        <v>53161.143622203119</v>
      </c>
      <c r="S156" s="102">
        <f>S153*$Y$12</f>
        <v>55793.57814355271</v>
      </c>
      <c r="T156" s="102">
        <f>T153*$Y$12</f>
        <v>53904.49181430279</v>
      </c>
      <c r="U156" s="102">
        <f>U153*$Y$12</f>
        <v>52672.387758103585</v>
      </c>
      <c r="V156" s="102">
        <f>V153*$Y$12</f>
        <v>49898.203339513573</v>
      </c>
      <c r="W156" s="102">
        <f>W153*$Y$12</f>
        <v>48760.59894736117</v>
      </c>
      <c r="X156" s="102">
        <f>X153*$Y$12</f>
        <v>49215.476255171823</v>
      </c>
      <c r="Y156" s="103">
        <f>SUM(E156:X156)</f>
        <v>945374.15440507571</v>
      </c>
      <c r="AA156" s="101" t="s">
        <v>54</v>
      </c>
      <c r="AB156" s="101"/>
      <c r="AC156" s="101"/>
    </row>
    <row r="157" spans="1:29">
      <c r="A157" s="24"/>
      <c r="B157" s="24"/>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2" t="e">
        <f>Y141+#REF!</f>
        <v>#REF!</v>
      </c>
      <c r="AA157" s="101" t="s">
        <v>180</v>
      </c>
      <c r="AB157" s="101"/>
      <c r="AC157" s="101"/>
    </row>
    <row r="160" spans="1:29">
      <c r="Y160" t="e">
        <f>Y156/Y157</f>
        <v>#REF!</v>
      </c>
    </row>
  </sheetData>
  <mergeCells count="1">
    <mergeCell ref="B1:S5"/>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Z165"/>
  <sheetViews>
    <sheetView topLeftCell="E58" workbookViewId="0">
      <selection activeCell="A21" sqref="A21"/>
    </sheetView>
  </sheetViews>
  <sheetFormatPr defaultRowHeight="12.75"/>
  <cols>
    <col min="1" max="1" width="49.42578125" customWidth="1"/>
    <col min="2" max="2" width="18.7109375" customWidth="1"/>
    <col min="3" max="3" width="20.42578125" customWidth="1"/>
    <col min="4" max="4" width="42" customWidth="1"/>
    <col min="5" max="5" width="11" customWidth="1"/>
    <col min="10" max="10" width="9.28515625" bestFit="1" customWidth="1"/>
    <col min="24" max="24" width="10" customWidth="1"/>
    <col min="25" max="25" width="12" customWidth="1"/>
    <col min="26" max="26" width="11" customWidth="1"/>
  </cols>
  <sheetData>
    <row r="1" spans="1:26">
      <c r="A1" s="56" t="s">
        <v>48</v>
      </c>
      <c r="B1" s="248" t="s">
        <v>626</v>
      </c>
      <c r="C1" s="249"/>
      <c r="D1" s="249"/>
      <c r="E1" s="249"/>
      <c r="F1" s="249"/>
      <c r="G1" s="249"/>
      <c r="H1" s="249"/>
      <c r="I1" s="249"/>
      <c r="J1" s="249"/>
      <c r="K1" s="249"/>
      <c r="L1" s="249"/>
      <c r="M1" s="249"/>
      <c r="N1" s="249"/>
      <c r="O1" s="249"/>
      <c r="P1" s="249"/>
      <c r="Q1" s="249"/>
      <c r="R1" s="249"/>
      <c r="S1" s="250"/>
      <c r="T1" s="57"/>
      <c r="U1" s="57"/>
      <c r="V1" s="57"/>
      <c r="W1" s="57"/>
      <c r="X1" s="24"/>
      <c r="Y1" s="24"/>
      <c r="Z1" s="24"/>
    </row>
    <row r="2" spans="1:26">
      <c r="A2" s="58"/>
      <c r="B2" s="235"/>
      <c r="C2" s="236"/>
      <c r="D2" s="236"/>
      <c r="E2" s="236"/>
      <c r="F2" s="236"/>
      <c r="G2" s="236"/>
      <c r="H2" s="236"/>
      <c r="I2" s="236"/>
      <c r="J2" s="236"/>
      <c r="K2" s="236"/>
      <c r="L2" s="236"/>
      <c r="M2" s="236"/>
      <c r="N2" s="236"/>
      <c r="O2" s="236"/>
      <c r="P2" s="236"/>
      <c r="Q2" s="236"/>
      <c r="R2" s="236"/>
      <c r="S2" s="237"/>
      <c r="T2" s="59"/>
      <c r="U2" s="59"/>
      <c r="V2" s="59"/>
      <c r="W2" s="59"/>
      <c r="X2" s="24"/>
      <c r="Y2" s="24"/>
      <c r="Z2" s="24"/>
    </row>
    <row r="3" spans="1:26">
      <c r="A3" s="58"/>
      <c r="B3" s="235"/>
      <c r="C3" s="236"/>
      <c r="D3" s="236"/>
      <c r="E3" s="236"/>
      <c r="F3" s="236"/>
      <c r="G3" s="236"/>
      <c r="H3" s="236"/>
      <c r="I3" s="236"/>
      <c r="J3" s="236"/>
      <c r="K3" s="236"/>
      <c r="L3" s="236"/>
      <c r="M3" s="236"/>
      <c r="N3" s="236"/>
      <c r="O3" s="236"/>
      <c r="P3" s="236"/>
      <c r="Q3" s="236"/>
      <c r="R3" s="236"/>
      <c r="S3" s="237"/>
      <c r="T3" s="59"/>
      <c r="U3" s="59"/>
      <c r="V3" s="59"/>
      <c r="W3" s="59"/>
      <c r="X3" s="24"/>
      <c r="Y3" s="24"/>
      <c r="Z3" s="24"/>
    </row>
    <row r="4" spans="1:26">
      <c r="A4" s="58"/>
      <c r="B4" s="235"/>
      <c r="C4" s="236"/>
      <c r="D4" s="236"/>
      <c r="E4" s="236"/>
      <c r="F4" s="236"/>
      <c r="G4" s="236"/>
      <c r="H4" s="236"/>
      <c r="I4" s="236"/>
      <c r="J4" s="236"/>
      <c r="K4" s="236"/>
      <c r="L4" s="236"/>
      <c r="M4" s="236"/>
      <c r="N4" s="236"/>
      <c r="O4" s="236"/>
      <c r="P4" s="236"/>
      <c r="Q4" s="236"/>
      <c r="R4" s="236"/>
      <c r="S4" s="237"/>
      <c r="T4" s="59"/>
      <c r="U4" s="59"/>
      <c r="V4" s="59"/>
      <c r="W4" s="59"/>
      <c r="X4" s="24"/>
      <c r="Y4" s="24"/>
      <c r="Z4" s="24"/>
    </row>
    <row r="5" spans="1:26">
      <c r="A5" s="60" t="s">
        <v>49</v>
      </c>
      <c r="B5" s="235"/>
      <c r="C5" s="236"/>
      <c r="D5" s="238"/>
      <c r="E5" s="238"/>
      <c r="F5" s="238"/>
      <c r="G5" s="238"/>
      <c r="H5" s="238"/>
      <c r="I5" s="238"/>
      <c r="J5" s="238"/>
      <c r="K5" s="238"/>
      <c r="L5" s="238"/>
      <c r="M5" s="238"/>
      <c r="N5" s="238"/>
      <c r="O5" s="238"/>
      <c r="P5" s="238"/>
      <c r="Q5" s="238"/>
      <c r="R5" s="238"/>
      <c r="S5" s="239"/>
      <c r="T5" s="59"/>
      <c r="U5" s="59"/>
      <c r="V5" s="59"/>
      <c r="W5" s="59"/>
      <c r="X5" s="24"/>
      <c r="Y5" s="24"/>
      <c r="Z5" s="24"/>
    </row>
    <row r="6" spans="1:26">
      <c r="A6" s="251"/>
      <c r="B6" s="61"/>
      <c r="C6" s="61"/>
      <c r="D6" s="252"/>
      <c r="E6" s="62"/>
      <c r="F6" s="62"/>
      <c r="G6" s="62"/>
      <c r="H6" s="62"/>
      <c r="I6" s="62"/>
      <c r="J6" s="62"/>
      <c r="K6" s="62"/>
      <c r="L6" s="62"/>
      <c r="M6" s="62"/>
      <c r="N6" s="62"/>
      <c r="O6" s="62"/>
      <c r="P6" s="62"/>
      <c r="Q6" s="62"/>
      <c r="R6" s="62"/>
      <c r="S6" s="63"/>
      <c r="T6" s="59"/>
      <c r="U6" s="59"/>
      <c r="V6" s="59"/>
      <c r="W6" s="59"/>
      <c r="X6" s="24"/>
      <c r="Y6" s="24"/>
      <c r="Z6" s="24"/>
    </row>
    <row r="7" spans="1:26">
      <c r="A7" s="253"/>
      <c r="B7" s="254" t="s">
        <v>50</v>
      </c>
      <c r="C7" s="255" t="s">
        <v>181</v>
      </c>
      <c r="D7" s="256" t="s">
        <v>595</v>
      </c>
      <c r="E7" s="24"/>
      <c r="F7" s="24"/>
      <c r="G7" s="24"/>
      <c r="H7" s="24"/>
      <c r="I7" s="24"/>
      <c r="J7" s="24"/>
      <c r="K7" s="24"/>
      <c r="L7" s="24"/>
      <c r="M7" s="24"/>
      <c r="N7" s="24"/>
      <c r="O7" s="24"/>
      <c r="P7" s="24"/>
      <c r="Q7" s="24"/>
      <c r="R7" s="24"/>
      <c r="S7" s="24"/>
      <c r="T7" s="24"/>
      <c r="U7" s="24"/>
      <c r="V7" s="24"/>
      <c r="W7" s="24"/>
      <c r="X7" s="24"/>
      <c r="Y7" s="24"/>
      <c r="Z7" s="24"/>
    </row>
    <row r="8" spans="1:26">
      <c r="A8" s="257" t="s">
        <v>579</v>
      </c>
      <c r="B8" s="258" t="s">
        <v>51</v>
      </c>
      <c r="C8" s="259" t="str">
        <f>CONCATENATE([1]MLIST!$B$74,"-",C7)</f>
        <v>LEC Exit Sign-NR</v>
      </c>
      <c r="D8" s="260" t="str">
        <f>[2]!switch_ForecastState</f>
        <v>Region</v>
      </c>
      <c r="E8" s="65"/>
      <c r="F8" s="24"/>
      <c r="G8" s="24"/>
      <c r="H8" s="24"/>
      <c r="I8" s="24"/>
      <c r="J8" s="24"/>
      <c r="K8" s="24"/>
      <c r="L8" s="24"/>
      <c r="M8" s="24"/>
      <c r="N8" s="24"/>
      <c r="O8" s="24"/>
      <c r="P8" s="24"/>
      <c r="Q8" s="24"/>
      <c r="R8" s="24"/>
      <c r="S8" s="24"/>
      <c r="T8" s="24"/>
      <c r="U8" s="24"/>
      <c r="V8" s="24"/>
      <c r="W8" s="24"/>
      <c r="X8" s="24"/>
      <c r="Y8" s="24"/>
      <c r="Z8" s="24"/>
    </row>
    <row r="9" spans="1:26">
      <c r="A9" s="257" t="str">
        <f>INDEX([1]ACHIEV!$A$19:$B$103,MATCH(C8,[1]ACHIEV!$B$19:$B$103,0),1)</f>
        <v>Lighting</v>
      </c>
      <c r="B9" s="278" t="s">
        <v>52</v>
      </c>
      <c r="C9" s="279">
        <f>[1]FILES!$H$4</f>
        <v>2035</v>
      </c>
      <c r="D9" s="280" t="str">
        <f>[2]!switch_ForecastScenario</f>
        <v>Base</v>
      </c>
      <c r="E9" s="66"/>
      <c r="F9" s="24"/>
      <c r="G9" s="24"/>
      <c r="H9" s="24"/>
      <c r="I9" s="24"/>
      <c r="J9" s="24"/>
      <c r="K9" s="24"/>
      <c r="L9" s="24"/>
      <c r="M9" s="24"/>
      <c r="N9" s="24"/>
      <c r="O9" s="24"/>
      <c r="P9" s="24"/>
      <c r="Q9" s="24"/>
      <c r="R9" s="24"/>
      <c r="S9" s="24"/>
      <c r="T9" s="24"/>
      <c r="U9" s="24"/>
      <c r="V9" s="24"/>
      <c r="W9" s="24"/>
      <c r="X9" s="24"/>
      <c r="Y9" s="24"/>
      <c r="Z9" s="24"/>
    </row>
    <row r="10" spans="1:26">
      <c r="A10" s="262"/>
      <c r="B10" s="64" t="s">
        <v>201</v>
      </c>
      <c r="C10" s="264">
        <f>MIN(SUM(E85:X86),SUM(Y85:Y86))</f>
        <v>15.949208540122836</v>
      </c>
      <c r="D10" s="265"/>
      <c r="E10" s="24">
        <v>1</v>
      </c>
      <c r="F10" s="24">
        <f>E10+1</f>
        <v>2</v>
      </c>
      <c r="G10" s="24">
        <f t="shared" ref="G10:V11" si="0">F10+1</f>
        <v>3</v>
      </c>
      <c r="H10" s="24">
        <f t="shared" si="0"/>
        <v>4</v>
      </c>
      <c r="I10" s="24">
        <f t="shared" si="0"/>
        <v>5</v>
      </c>
      <c r="J10" s="24">
        <f t="shared" si="0"/>
        <v>6</v>
      </c>
      <c r="K10" s="24">
        <f t="shared" si="0"/>
        <v>7</v>
      </c>
      <c r="L10" s="24">
        <f t="shared" si="0"/>
        <v>8</v>
      </c>
      <c r="M10" s="24">
        <f t="shared" si="0"/>
        <v>9</v>
      </c>
      <c r="N10" s="24">
        <f t="shared" si="0"/>
        <v>10</v>
      </c>
      <c r="O10" s="24">
        <f t="shared" si="0"/>
        <v>11</v>
      </c>
      <c r="P10" s="24">
        <f t="shared" si="0"/>
        <v>12</v>
      </c>
      <c r="Q10" s="24">
        <f t="shared" si="0"/>
        <v>13</v>
      </c>
      <c r="R10" s="24">
        <f t="shared" si="0"/>
        <v>14</v>
      </c>
      <c r="S10" s="24">
        <f t="shared" si="0"/>
        <v>15</v>
      </c>
      <c r="T10" s="24">
        <f t="shared" si="0"/>
        <v>16</v>
      </c>
      <c r="U10" s="24">
        <f t="shared" si="0"/>
        <v>17</v>
      </c>
      <c r="V10" s="24">
        <f t="shared" si="0"/>
        <v>18</v>
      </c>
      <c r="W10" s="24">
        <f t="shared" ref="W10:X11" si="1">V10+1</f>
        <v>19</v>
      </c>
      <c r="X10" s="24">
        <f t="shared" si="1"/>
        <v>20</v>
      </c>
      <c r="Y10" s="24"/>
      <c r="Z10" s="24"/>
    </row>
    <row r="11" spans="1:26" ht="15">
      <c r="A11" s="277" t="s">
        <v>182</v>
      </c>
      <c r="B11" s="271"/>
      <c r="C11" s="64" t="str">
        <f>$C$8</f>
        <v>LEC Exit Sign-NR</v>
      </c>
      <c r="D11" s="64"/>
      <c r="E11" s="64">
        <f>C9-20+1</f>
        <v>2016</v>
      </c>
      <c r="F11" s="64">
        <f>E11+1</f>
        <v>2017</v>
      </c>
      <c r="G11" s="64">
        <f t="shared" si="0"/>
        <v>2018</v>
      </c>
      <c r="H11" s="64">
        <f t="shared" si="0"/>
        <v>2019</v>
      </c>
      <c r="I11" s="64">
        <f t="shared" si="0"/>
        <v>2020</v>
      </c>
      <c r="J11" s="64">
        <f t="shared" si="0"/>
        <v>2021</v>
      </c>
      <c r="K11" s="64">
        <f t="shared" si="0"/>
        <v>2022</v>
      </c>
      <c r="L11" s="64">
        <f t="shared" si="0"/>
        <v>2023</v>
      </c>
      <c r="M11" s="64">
        <f t="shared" si="0"/>
        <v>2024</v>
      </c>
      <c r="N11" s="64">
        <f t="shared" si="0"/>
        <v>2025</v>
      </c>
      <c r="O11" s="64">
        <f t="shared" si="0"/>
        <v>2026</v>
      </c>
      <c r="P11" s="64">
        <f t="shared" si="0"/>
        <v>2027</v>
      </c>
      <c r="Q11" s="64">
        <f t="shared" si="0"/>
        <v>2028</v>
      </c>
      <c r="R11" s="64">
        <f t="shared" si="0"/>
        <v>2029</v>
      </c>
      <c r="S11" s="64">
        <f t="shared" si="0"/>
        <v>2030</v>
      </c>
      <c r="T11" s="64">
        <f t="shared" si="0"/>
        <v>2031</v>
      </c>
      <c r="U11" s="64">
        <f t="shared" si="0"/>
        <v>2032</v>
      </c>
      <c r="V11" s="64">
        <f t="shared" si="0"/>
        <v>2033</v>
      </c>
      <c r="W11" s="64">
        <f t="shared" si="1"/>
        <v>2034</v>
      </c>
      <c r="X11" s="64">
        <f t="shared" si="1"/>
        <v>2035</v>
      </c>
      <c r="Y11" s="67" t="s">
        <v>53</v>
      </c>
      <c r="Z11" s="67" t="s">
        <v>183</v>
      </c>
    </row>
    <row r="12" spans="1:26">
      <c r="A12" s="64"/>
      <c r="B12" s="64"/>
      <c r="C12" s="68"/>
      <c r="D12" s="64"/>
      <c r="E12" s="64" t="str">
        <f>CONCATENATE("Floor_",E11)</f>
        <v>Floor_2016</v>
      </c>
      <c r="F12" s="64" t="str">
        <f t="shared" ref="F12:X12" si="2">CONCATENATE("Floor_",F11)</f>
        <v>Floor_2017</v>
      </c>
      <c r="G12" s="64" t="str">
        <f t="shared" si="2"/>
        <v>Floor_2018</v>
      </c>
      <c r="H12" s="64" t="str">
        <f t="shared" si="2"/>
        <v>Floor_2019</v>
      </c>
      <c r="I12" s="64" t="str">
        <f t="shared" si="2"/>
        <v>Floor_2020</v>
      </c>
      <c r="J12" s="64" t="str">
        <f t="shared" si="2"/>
        <v>Floor_2021</v>
      </c>
      <c r="K12" s="64" t="str">
        <f t="shared" si="2"/>
        <v>Floor_2022</v>
      </c>
      <c r="L12" s="64" t="str">
        <f t="shared" si="2"/>
        <v>Floor_2023</v>
      </c>
      <c r="M12" s="64" t="str">
        <f t="shared" si="2"/>
        <v>Floor_2024</v>
      </c>
      <c r="N12" s="64" t="str">
        <f t="shared" si="2"/>
        <v>Floor_2025</v>
      </c>
      <c r="O12" s="64" t="str">
        <f t="shared" si="2"/>
        <v>Floor_2026</v>
      </c>
      <c r="P12" s="64" t="str">
        <f t="shared" si="2"/>
        <v>Floor_2027</v>
      </c>
      <c r="Q12" s="64" t="str">
        <f t="shared" si="2"/>
        <v>Floor_2028</v>
      </c>
      <c r="R12" s="64" t="str">
        <f t="shared" si="2"/>
        <v>Floor_2029</v>
      </c>
      <c r="S12" s="64" t="str">
        <f t="shared" si="2"/>
        <v>Floor_2030</v>
      </c>
      <c r="T12" s="64" t="str">
        <f t="shared" si="2"/>
        <v>Floor_2031</v>
      </c>
      <c r="U12" s="64" t="str">
        <f t="shared" si="2"/>
        <v>Floor_2032</v>
      </c>
      <c r="V12" s="64" t="str">
        <f t="shared" si="2"/>
        <v>Floor_2033</v>
      </c>
      <c r="W12" s="64" t="str">
        <f t="shared" si="2"/>
        <v>Floor_2034</v>
      </c>
      <c r="X12" s="64" t="str">
        <f t="shared" si="2"/>
        <v>Floor_2035</v>
      </c>
      <c r="Y12" s="69">
        <v>0.85</v>
      </c>
      <c r="Z12" s="67"/>
    </row>
    <row r="13" spans="1:26">
      <c r="B13" s="24"/>
      <c r="C13" s="24" t="s">
        <v>580</v>
      </c>
      <c r="D13" s="24">
        <v>1</v>
      </c>
      <c r="E13" s="65">
        <f>INDEX([2]!tbl_Forecast,MATCH($D$8&amp;$C13&amp;$D$7,[2]!rng_ForecastRowLookup,0),MATCH(E$11,[2]!rng_ForecastColumnLookup,0))</f>
        <v>380.08828477966154</v>
      </c>
      <c r="F13" s="65">
        <f>INDEX([2]!tbl_Forecast,MATCH($D$8&amp;$C13&amp;$D$7,[2]!rng_ForecastRowLookup,0),MATCH(F$11,[2]!rng_ForecastColumnLookup,0))</f>
        <v>378.94801992532251</v>
      </c>
      <c r="G13" s="65">
        <f>INDEX([2]!tbl_Forecast,MATCH($D$8&amp;$C13&amp;$D$7,[2]!rng_ForecastRowLookup,0),MATCH(G$11,[2]!rng_ForecastColumnLookup,0))</f>
        <v>377.81117586554655</v>
      </c>
      <c r="H13" s="65">
        <f>INDEX([2]!tbl_Forecast,MATCH($D$8&amp;$C13&amp;$D$7,[2]!rng_ForecastRowLookup,0),MATCH(H$11,[2]!rng_ForecastColumnLookup,0))</f>
        <v>376.67774233794995</v>
      </c>
      <c r="I13" s="65">
        <f>INDEX([2]!tbl_Forecast,MATCH($D$8&amp;$C13&amp;$D$7,[2]!rng_ForecastRowLookup,0),MATCH(I$11,[2]!rng_ForecastColumnLookup,0))</f>
        <v>375.54770911093607</v>
      </c>
      <c r="J13" s="65">
        <f>INDEX([2]!tbl_Forecast,MATCH($D$8&amp;$C13&amp;$D$7,[2]!rng_ForecastRowLookup,0),MATCH(J$11,[2]!rng_ForecastColumnLookup,0))</f>
        <v>374.42106598360328</v>
      </c>
      <c r="K13" s="65">
        <f>INDEX([2]!tbl_Forecast,MATCH($D$8&amp;$C13&amp;$D$7,[2]!rng_ForecastRowLookup,0),MATCH(K$11,[2]!rng_ForecastColumnLookup,0))</f>
        <v>373.29780278565244</v>
      </c>
      <c r="L13" s="65">
        <f>INDEX([2]!tbl_Forecast,MATCH($D$8&amp;$C13&amp;$D$7,[2]!rng_ForecastRowLookup,0),MATCH(L$11,[2]!rng_ForecastColumnLookup,0))</f>
        <v>372.17790937729552</v>
      </c>
      <c r="M13" s="65">
        <f>INDEX([2]!tbl_Forecast,MATCH($D$8&amp;$C13&amp;$D$7,[2]!rng_ForecastRowLookup,0),MATCH(M$11,[2]!rng_ForecastColumnLookup,0))</f>
        <v>371.06137564916361</v>
      </c>
      <c r="N13" s="65">
        <f>INDEX([2]!tbl_Forecast,MATCH($D$8&amp;$C13&amp;$D$7,[2]!rng_ForecastRowLookup,0),MATCH(N$11,[2]!rng_ForecastColumnLookup,0))</f>
        <v>369.94819152221612</v>
      </c>
      <c r="O13" s="65">
        <f>INDEX([2]!tbl_Forecast,MATCH($D$8&amp;$C13&amp;$D$7,[2]!rng_ForecastRowLookup,0),MATCH(O$11,[2]!rng_ForecastColumnLookup,0))</f>
        <v>368.83834694764948</v>
      </c>
      <c r="P13" s="65">
        <f>INDEX([2]!tbl_Forecast,MATCH($D$8&amp;$C13&amp;$D$7,[2]!rng_ForecastRowLookup,0),MATCH(P$11,[2]!rng_ForecastColumnLookup,0))</f>
        <v>367.73183190680658</v>
      </c>
      <c r="Q13" s="65">
        <f>INDEX([2]!tbl_Forecast,MATCH($D$8&amp;$C13&amp;$D$7,[2]!rng_ForecastRowLookup,0),MATCH(Q$11,[2]!rng_ForecastColumnLookup,0))</f>
        <v>366.62863641108612</v>
      </c>
      <c r="R13" s="65">
        <f>INDEX([2]!tbl_Forecast,MATCH($D$8&amp;$C13&amp;$D$7,[2]!rng_ForecastRowLookup,0),MATCH(R$11,[2]!rng_ForecastColumnLookup,0))</f>
        <v>365.52875050185287</v>
      </c>
      <c r="S13" s="65">
        <f>INDEX([2]!tbl_Forecast,MATCH($D$8&amp;$C13&amp;$D$7,[2]!rng_ForecastRowLookup,0),MATCH(S$11,[2]!rng_ForecastColumnLookup,0))</f>
        <v>364.43216425034728</v>
      </c>
      <c r="T13" s="65">
        <f>INDEX([2]!tbl_Forecast,MATCH($D$8&amp;$C13&amp;$D$7,[2]!rng_ForecastRowLookup,0),MATCH(T$11,[2]!rng_ForecastColumnLookup,0))</f>
        <v>363.33886775759629</v>
      </c>
      <c r="U13" s="65">
        <f>INDEX([2]!tbl_Forecast,MATCH($D$8&amp;$C13&amp;$D$7,[2]!rng_ForecastRowLookup,0),MATCH(U$11,[2]!rng_ForecastColumnLookup,0))</f>
        <v>362.24885115432346</v>
      </c>
      <c r="V13" s="65">
        <f>INDEX([2]!tbl_Forecast,MATCH($D$8&amp;$C13&amp;$D$7,[2]!rng_ForecastRowLookup,0),MATCH(V$11,[2]!rng_ForecastColumnLookup,0))</f>
        <v>361.16210460086046</v>
      </c>
      <c r="W13" s="65">
        <f>INDEX([2]!tbl_Forecast,MATCH($D$8&amp;$C13&amp;$D$7,[2]!rng_ForecastRowLookup,0),MATCH(W$11,[2]!rng_ForecastColumnLookup,0))</f>
        <v>360.07861828705791</v>
      </c>
      <c r="X13" s="65">
        <f>INDEX([2]!tbl_Forecast,MATCH($D$8&amp;$C13&amp;$D$7,[2]!rng_ForecastRowLookup,0),MATCH(X$11,[2]!rng_ForecastColumnLookup,0))</f>
        <v>358.99838243219671</v>
      </c>
      <c r="Y13" s="71"/>
      <c r="Z13" s="70"/>
    </row>
    <row r="14" spans="1:26">
      <c r="B14" s="24"/>
      <c r="C14" s="24" t="s">
        <v>581</v>
      </c>
      <c r="D14" s="24">
        <v>2</v>
      </c>
      <c r="E14" s="65">
        <f>INDEX([2]!tbl_Forecast,MATCH($D$8&amp;$C14&amp;$D$7,[2]!rng_ForecastRowLookup,0),MATCH(E$11,[2]!rng_ForecastColumnLookup,0))</f>
        <v>190.73687138333023</v>
      </c>
      <c r="F14" s="65">
        <f>INDEX([2]!tbl_Forecast,MATCH($D$8&amp;$C14&amp;$D$7,[2]!rng_ForecastRowLookup,0),MATCH(F$11,[2]!rng_ForecastColumnLookup,0))</f>
        <v>190.16466076918024</v>
      </c>
      <c r="G14" s="65">
        <f>INDEX([2]!tbl_Forecast,MATCH($D$8&amp;$C14&amp;$D$7,[2]!rng_ForecastRowLookup,0),MATCH(G$11,[2]!rng_ForecastColumnLookup,0))</f>
        <v>189.59416678687271</v>
      </c>
      <c r="H14" s="65">
        <f>INDEX([2]!tbl_Forecast,MATCH($D$8&amp;$C14&amp;$D$7,[2]!rng_ForecastRowLookup,0),MATCH(H$11,[2]!rng_ForecastColumnLookup,0))</f>
        <v>189.02538428651209</v>
      </c>
      <c r="I14" s="65">
        <f>INDEX([2]!tbl_Forecast,MATCH($D$8&amp;$C14&amp;$D$7,[2]!rng_ForecastRowLookup,0),MATCH(I$11,[2]!rng_ForecastColumnLookup,0))</f>
        <v>188.45830813365254</v>
      </c>
      <c r="J14" s="65">
        <f>INDEX([2]!tbl_Forecast,MATCH($D$8&amp;$C14&amp;$D$7,[2]!rng_ForecastRowLookup,0),MATCH(J$11,[2]!rng_ForecastColumnLookup,0))</f>
        <v>187.89293320925157</v>
      </c>
      <c r="K14" s="65">
        <f>INDEX([2]!tbl_Forecast,MATCH($D$8&amp;$C14&amp;$D$7,[2]!rng_ForecastRowLookup,0),MATCH(K$11,[2]!rng_ForecastColumnLookup,0))</f>
        <v>187.32925440962381</v>
      </c>
      <c r="L14" s="65">
        <f>INDEX([2]!tbl_Forecast,MATCH($D$8&amp;$C14&amp;$D$7,[2]!rng_ForecastRowLookup,0),MATCH(L$11,[2]!rng_ForecastColumnLookup,0))</f>
        <v>186.76726664639497</v>
      </c>
      <c r="M14" s="65">
        <f>INDEX([2]!tbl_Forecast,MATCH($D$8&amp;$C14&amp;$D$7,[2]!rng_ForecastRowLookup,0),MATCH(M$11,[2]!rng_ForecastColumnLookup,0))</f>
        <v>186.20696484645578</v>
      </c>
      <c r="N14" s="65">
        <f>INDEX([2]!tbl_Forecast,MATCH($D$8&amp;$C14&amp;$D$7,[2]!rng_ForecastRowLookup,0),MATCH(N$11,[2]!rng_ForecastColumnLookup,0))</f>
        <v>185.64834395191642</v>
      </c>
      <c r="O14" s="65">
        <f>INDEX([2]!tbl_Forecast,MATCH($D$8&amp;$C14&amp;$D$7,[2]!rng_ForecastRowLookup,0),MATCH(O$11,[2]!rng_ForecastColumnLookup,0))</f>
        <v>185.09139892006067</v>
      </c>
      <c r="P14" s="65">
        <f>INDEX([2]!tbl_Forecast,MATCH($D$8&amp;$C14&amp;$D$7,[2]!rng_ForecastRowLookup,0),MATCH(P$11,[2]!rng_ForecastColumnLookup,0))</f>
        <v>184.5361247233005</v>
      </c>
      <c r="Q14" s="65">
        <f>INDEX([2]!tbl_Forecast,MATCH($D$8&amp;$C14&amp;$D$7,[2]!rng_ForecastRowLookup,0),MATCH(Q$11,[2]!rng_ForecastColumnLookup,0))</f>
        <v>183.98251634913058</v>
      </c>
      <c r="R14" s="65">
        <f>INDEX([2]!tbl_Forecast,MATCH($D$8&amp;$C14&amp;$D$7,[2]!rng_ForecastRowLookup,0),MATCH(R$11,[2]!rng_ForecastColumnLookup,0))</f>
        <v>183.43056880008319</v>
      </c>
      <c r="S14" s="65">
        <f>INDEX([2]!tbl_Forecast,MATCH($D$8&amp;$C14&amp;$D$7,[2]!rng_ForecastRowLookup,0),MATCH(S$11,[2]!rng_ForecastColumnLookup,0))</f>
        <v>182.88027709368296</v>
      </c>
      <c r="T14" s="65">
        <f>INDEX([2]!tbl_Forecast,MATCH($D$8&amp;$C14&amp;$D$7,[2]!rng_ForecastRowLookup,0),MATCH(T$11,[2]!rng_ForecastColumnLookup,0))</f>
        <v>182.33163626240187</v>
      </c>
      <c r="U14" s="65">
        <f>INDEX([2]!tbl_Forecast,MATCH($D$8&amp;$C14&amp;$D$7,[2]!rng_ForecastRowLookup,0),MATCH(U$11,[2]!rng_ForecastColumnLookup,0))</f>
        <v>181.78464135361469</v>
      </c>
      <c r="V14" s="65">
        <f>INDEX([2]!tbl_Forecast,MATCH($D$8&amp;$C14&amp;$D$7,[2]!rng_ForecastRowLookup,0),MATCH(V$11,[2]!rng_ForecastColumnLookup,0))</f>
        <v>181.23928742955383</v>
      </c>
      <c r="W14" s="65">
        <f>INDEX([2]!tbl_Forecast,MATCH($D$8&amp;$C14&amp;$D$7,[2]!rng_ForecastRowLookup,0),MATCH(W$11,[2]!rng_ForecastColumnLookup,0))</f>
        <v>180.69556956726515</v>
      </c>
      <c r="X14" s="65">
        <f>INDEX([2]!tbl_Forecast,MATCH($D$8&amp;$C14&amp;$D$7,[2]!rng_ForecastRowLookup,0),MATCH(X$11,[2]!rng_ForecastColumnLookup,0))</f>
        <v>180.15348285856339</v>
      </c>
      <c r="Y14" s="71"/>
    </row>
    <row r="15" spans="1:26">
      <c r="B15" s="24"/>
      <c r="C15" s="24" t="s">
        <v>582</v>
      </c>
      <c r="D15" s="24">
        <v>3</v>
      </c>
      <c r="E15" s="65">
        <f>INDEX([2]!tbl_Forecast,MATCH($D$8&amp;$C15&amp;$D$7,[2]!rng_ForecastRowLookup,0),MATCH(E$11,[2]!rng_ForecastColumnLookup,0))</f>
        <v>184.0913556049378</v>
      </c>
      <c r="F15" s="65">
        <f>INDEX([2]!tbl_Forecast,MATCH($D$8&amp;$C15&amp;$D$7,[2]!rng_ForecastRowLookup,0),MATCH(F$11,[2]!rng_ForecastColumnLookup,0))</f>
        <v>183.53908153812301</v>
      </c>
      <c r="G15" s="65">
        <f>INDEX([2]!tbl_Forecast,MATCH($D$8&amp;$C15&amp;$D$7,[2]!rng_ForecastRowLookup,0),MATCH(G$11,[2]!rng_ForecastColumnLookup,0))</f>
        <v>182.98846429350866</v>
      </c>
      <c r="H15" s="65">
        <f>INDEX([2]!tbl_Forecast,MATCH($D$8&amp;$C15&amp;$D$7,[2]!rng_ForecastRowLookup,0),MATCH(H$11,[2]!rng_ForecastColumnLookup,0))</f>
        <v>182.43949890062811</v>
      </c>
      <c r="I15" s="65">
        <f>INDEX([2]!tbl_Forecast,MATCH($D$8&amp;$C15&amp;$D$7,[2]!rng_ForecastRowLookup,0),MATCH(I$11,[2]!rng_ForecastColumnLookup,0))</f>
        <v>181.89218040392623</v>
      </c>
      <c r="J15" s="65">
        <f>INDEX([2]!tbl_Forecast,MATCH($D$8&amp;$C15&amp;$D$7,[2]!rng_ForecastRowLookup,0),MATCH(J$11,[2]!rng_ForecastColumnLookup,0))</f>
        <v>181.34650386271446</v>
      </c>
      <c r="K15" s="65">
        <f>INDEX([2]!tbl_Forecast,MATCH($D$8&amp;$C15&amp;$D$7,[2]!rng_ForecastRowLookup,0),MATCH(K$11,[2]!rng_ForecastColumnLookup,0))</f>
        <v>180.80246435112633</v>
      </c>
      <c r="L15" s="65">
        <f>INDEX([2]!tbl_Forecast,MATCH($D$8&amp;$C15&amp;$D$7,[2]!rng_ForecastRowLookup,0),MATCH(L$11,[2]!rng_ForecastColumnLookup,0))</f>
        <v>180.26005695807294</v>
      </c>
      <c r="M15" s="65">
        <f>INDEX([2]!tbl_Forecast,MATCH($D$8&amp;$C15&amp;$D$7,[2]!rng_ForecastRowLookup,0),MATCH(M$11,[2]!rng_ForecastColumnLookup,0))</f>
        <v>179.71927678719871</v>
      </c>
      <c r="N15" s="65">
        <f>INDEX([2]!tbl_Forecast,MATCH($D$8&amp;$C15&amp;$D$7,[2]!rng_ForecastRowLookup,0),MATCH(N$11,[2]!rng_ForecastColumnLookup,0))</f>
        <v>179.18011895683713</v>
      </c>
      <c r="O15" s="65">
        <f>INDEX([2]!tbl_Forecast,MATCH($D$8&amp;$C15&amp;$D$7,[2]!rng_ForecastRowLookup,0),MATCH(O$11,[2]!rng_ForecastColumnLookup,0))</f>
        <v>178.64257859996661</v>
      </c>
      <c r="P15" s="65">
        <f>INDEX([2]!tbl_Forecast,MATCH($D$8&amp;$C15&amp;$D$7,[2]!rng_ForecastRowLookup,0),MATCH(P$11,[2]!rng_ForecastColumnLookup,0))</f>
        <v>178.10665086416668</v>
      </c>
      <c r="Q15" s="65">
        <f>INDEX([2]!tbl_Forecast,MATCH($D$8&amp;$C15&amp;$D$7,[2]!rng_ForecastRowLookup,0),MATCH(Q$11,[2]!rng_ForecastColumnLookup,0))</f>
        <v>177.57233091157423</v>
      </c>
      <c r="R15" s="65">
        <f>INDEX([2]!tbl_Forecast,MATCH($D$8&amp;$C15&amp;$D$7,[2]!rng_ForecastRowLookup,0),MATCH(R$11,[2]!rng_ForecastColumnLookup,0))</f>
        <v>177.03961391883951</v>
      </c>
      <c r="S15" s="65">
        <f>INDEX([2]!tbl_Forecast,MATCH($D$8&amp;$C15&amp;$D$7,[2]!rng_ForecastRowLookup,0),MATCH(S$11,[2]!rng_ForecastColumnLookup,0))</f>
        <v>176.50849507708296</v>
      </c>
      <c r="T15" s="65">
        <f>INDEX([2]!tbl_Forecast,MATCH($D$8&amp;$C15&amp;$D$7,[2]!rng_ForecastRowLookup,0),MATCH(T$11,[2]!rng_ForecastColumnLookup,0))</f>
        <v>175.97896959185172</v>
      </c>
      <c r="U15" s="65">
        <f>INDEX([2]!tbl_Forecast,MATCH($D$8&amp;$C15&amp;$D$7,[2]!rng_ForecastRowLookup,0),MATCH(U$11,[2]!rng_ForecastColumnLookup,0))</f>
        <v>175.45103268307616</v>
      </c>
      <c r="V15" s="65">
        <f>INDEX([2]!tbl_Forecast,MATCH($D$8&amp;$C15&amp;$D$7,[2]!rng_ForecastRowLookup,0),MATCH(V$11,[2]!rng_ForecastColumnLookup,0))</f>
        <v>174.92467958502692</v>
      </c>
      <c r="W15" s="65">
        <f>INDEX([2]!tbl_Forecast,MATCH($D$8&amp;$C15&amp;$D$7,[2]!rng_ForecastRowLookup,0),MATCH(W$11,[2]!rng_ForecastColumnLookup,0))</f>
        <v>174.39990554627184</v>
      </c>
      <c r="X15" s="65">
        <f>INDEX([2]!tbl_Forecast,MATCH($D$8&amp;$C15&amp;$D$7,[2]!rng_ForecastRowLookup,0),MATCH(X$11,[2]!rng_ForecastColumnLookup,0))</f>
        <v>173.87670582963304</v>
      </c>
      <c r="Y15" s="71"/>
    </row>
    <row r="16" spans="1:26">
      <c r="B16" s="24"/>
      <c r="C16" s="24" t="s">
        <v>583</v>
      </c>
      <c r="D16" s="98">
        <v>4</v>
      </c>
      <c r="E16" s="65">
        <f>INDEX([2]!tbl_Forecast,MATCH($D$8&amp;$C16&amp;$D$7,[2]!rng_ForecastRowLookup,0),MATCH(E$11,[2]!rng_ForecastColumnLookup,0))</f>
        <v>138.35734062238015</v>
      </c>
      <c r="F16" s="65">
        <f>INDEX([2]!tbl_Forecast,MATCH($D$8&amp;$C16&amp;$D$7,[2]!rng_ForecastRowLookup,0),MATCH(F$11,[2]!rng_ForecastColumnLookup,0))</f>
        <v>137.7208968555172</v>
      </c>
      <c r="G16" s="65">
        <f>INDEX([2]!tbl_Forecast,MATCH($D$8&amp;$C16&amp;$D$7,[2]!rng_ForecastRowLookup,0),MATCH(G$11,[2]!rng_ForecastColumnLookup,0))</f>
        <v>137.08738072998179</v>
      </c>
      <c r="H16" s="65">
        <f>INDEX([2]!tbl_Forecast,MATCH($D$8&amp;$C16&amp;$D$7,[2]!rng_ForecastRowLookup,0),MATCH(H$11,[2]!rng_ForecastColumnLookup,0))</f>
        <v>136.45677877862389</v>
      </c>
      <c r="I16" s="65">
        <f>INDEX([2]!tbl_Forecast,MATCH($D$8&amp;$C16&amp;$D$7,[2]!rng_ForecastRowLookup,0),MATCH(I$11,[2]!rng_ForecastColumnLookup,0))</f>
        <v>135.8290775962422</v>
      </c>
      <c r="J16" s="65">
        <f>INDEX([2]!tbl_Forecast,MATCH($D$8&amp;$C16&amp;$D$7,[2]!rng_ForecastRowLookup,0),MATCH(J$11,[2]!rng_ForecastColumnLookup,0))</f>
        <v>135.20426383929947</v>
      </c>
      <c r="K16" s="65">
        <f>INDEX([2]!tbl_Forecast,MATCH($D$8&amp;$C16&amp;$D$7,[2]!rng_ForecastRowLookup,0),MATCH(K$11,[2]!rng_ForecastColumnLookup,0))</f>
        <v>134.5823242256387</v>
      </c>
      <c r="L16" s="65">
        <f>INDEX([2]!tbl_Forecast,MATCH($D$8&amp;$C16&amp;$D$7,[2]!rng_ForecastRowLookup,0),MATCH(L$11,[2]!rng_ForecastColumnLookup,0))</f>
        <v>133.96324553420075</v>
      </c>
      <c r="M16" s="65">
        <f>INDEX([2]!tbl_Forecast,MATCH($D$8&amp;$C16&amp;$D$7,[2]!rng_ForecastRowLookup,0),MATCH(M$11,[2]!rng_ForecastColumnLookup,0))</f>
        <v>133.34701460474344</v>
      </c>
      <c r="N16" s="65">
        <f>INDEX([2]!tbl_Forecast,MATCH($D$8&amp;$C16&amp;$D$7,[2]!rng_ForecastRowLookup,0),MATCH(N$11,[2]!rng_ForecastColumnLookup,0))</f>
        <v>132.73361833756161</v>
      </c>
      <c r="O16" s="65">
        <f>INDEX([2]!tbl_Forecast,MATCH($D$8&amp;$C16&amp;$D$7,[2]!rng_ForecastRowLookup,0),MATCH(O$11,[2]!rng_ForecastColumnLookup,0))</f>
        <v>132.12304369320884</v>
      </c>
      <c r="P16" s="65">
        <f>INDEX([2]!tbl_Forecast,MATCH($D$8&amp;$C16&amp;$D$7,[2]!rng_ForecastRowLookup,0),MATCH(P$11,[2]!rng_ForecastColumnLookup,0))</f>
        <v>131.51527769222005</v>
      </c>
      <c r="Q16" s="65">
        <f>INDEX([2]!tbl_Forecast,MATCH($D$8&amp;$C16&amp;$D$7,[2]!rng_ForecastRowLookup,0),MATCH(Q$11,[2]!rng_ForecastColumnLookup,0))</f>
        <v>130.91030741483584</v>
      </c>
      <c r="R16" s="65">
        <f>INDEX([2]!tbl_Forecast,MATCH($D$8&amp;$C16&amp;$D$7,[2]!rng_ForecastRowLookup,0),MATCH(R$11,[2]!rng_ForecastColumnLookup,0))</f>
        <v>130.3081200007276</v>
      </c>
      <c r="S16" s="65">
        <f>INDEX([2]!tbl_Forecast,MATCH($D$8&amp;$C16&amp;$D$7,[2]!rng_ForecastRowLookup,0),MATCH(S$11,[2]!rng_ForecastColumnLookup,0))</f>
        <v>129.70870264872423</v>
      </c>
      <c r="T16" s="65">
        <f>INDEX([2]!tbl_Forecast,MATCH($D$8&amp;$C16&amp;$D$7,[2]!rng_ForecastRowLookup,0),MATCH(T$11,[2]!rng_ForecastColumnLookup,0))</f>
        <v>129.11204261654012</v>
      </c>
      <c r="U16" s="65">
        <f>INDEX([2]!tbl_Forecast,MATCH($D$8&amp;$C16&amp;$D$7,[2]!rng_ForecastRowLookup,0),MATCH(U$11,[2]!rng_ForecastColumnLookup,0))</f>
        <v>128.51812722050403</v>
      </c>
      <c r="V16" s="65">
        <f>INDEX([2]!tbl_Forecast,MATCH($D$8&amp;$C16&amp;$D$7,[2]!rng_ForecastRowLookup,0),MATCH(V$11,[2]!rng_ForecastColumnLookup,0))</f>
        <v>127.92694383528971</v>
      </c>
      <c r="W16" s="65">
        <f>INDEX([2]!tbl_Forecast,MATCH($D$8&amp;$C16&amp;$D$7,[2]!rng_ForecastRowLookup,0),MATCH(W$11,[2]!rng_ForecastColumnLookup,0))</f>
        <v>127.33847989364737</v>
      </c>
      <c r="X16" s="65">
        <f>INDEX([2]!tbl_Forecast,MATCH($D$8&amp;$C16&amp;$D$7,[2]!rng_ForecastRowLookup,0),MATCH(X$11,[2]!rng_ForecastColumnLookup,0))</f>
        <v>126.75272288613657</v>
      </c>
      <c r="Y16" s="71"/>
      <c r="Z16" s="70"/>
    </row>
    <row r="17" spans="1:26">
      <c r="B17" s="24"/>
      <c r="C17" s="24" t="s">
        <v>584</v>
      </c>
      <c r="D17" s="98">
        <v>5</v>
      </c>
      <c r="E17" s="65">
        <f>INDEX([2]!tbl_Forecast,MATCH($D$8&amp;$C17&amp;$D$7,[2]!rng_ForecastRowLookup,0),MATCH(E$11,[2]!rng_ForecastColumnLookup,0))</f>
        <v>208.9574509880029</v>
      </c>
      <c r="F17" s="65">
        <f>INDEX([2]!tbl_Forecast,MATCH($D$8&amp;$C17&amp;$D$7,[2]!rng_ForecastRowLookup,0),MATCH(F$11,[2]!rng_ForecastColumnLookup,0))</f>
        <v>207.99624671345808</v>
      </c>
      <c r="G17" s="65">
        <f>INDEX([2]!tbl_Forecast,MATCH($D$8&amp;$C17&amp;$D$7,[2]!rng_ForecastRowLookup,0),MATCH(G$11,[2]!rng_ForecastColumnLookup,0))</f>
        <v>207.03946397857615</v>
      </c>
      <c r="H17" s="65">
        <f>INDEX([2]!tbl_Forecast,MATCH($D$8&amp;$C17&amp;$D$7,[2]!rng_ForecastRowLookup,0),MATCH(H$11,[2]!rng_ForecastColumnLookup,0))</f>
        <v>206.0870824442747</v>
      </c>
      <c r="I17" s="65">
        <f>INDEX([2]!tbl_Forecast,MATCH($D$8&amp;$C17&amp;$D$7,[2]!rng_ForecastRowLookup,0),MATCH(I$11,[2]!rng_ForecastColumnLookup,0))</f>
        <v>205.13908186503102</v>
      </c>
      <c r="J17" s="65">
        <f>INDEX([2]!tbl_Forecast,MATCH($D$8&amp;$C17&amp;$D$7,[2]!rng_ForecastRowLookup,0),MATCH(J$11,[2]!rng_ForecastColumnLookup,0))</f>
        <v>204.1954420884519</v>
      </c>
      <c r="K17" s="65">
        <f>INDEX([2]!tbl_Forecast,MATCH($D$8&amp;$C17&amp;$D$7,[2]!rng_ForecastRowLookup,0),MATCH(K$11,[2]!rng_ForecastColumnLookup,0))</f>
        <v>203.25614305484498</v>
      </c>
      <c r="L17" s="65">
        <f>INDEX([2]!tbl_Forecast,MATCH($D$8&amp;$C17&amp;$D$7,[2]!rng_ForecastRowLookup,0),MATCH(L$11,[2]!rng_ForecastColumnLookup,0))</f>
        <v>202.32116479679266</v>
      </c>
      <c r="M17" s="65">
        <f>INDEX([2]!tbl_Forecast,MATCH($D$8&amp;$C17&amp;$D$7,[2]!rng_ForecastRowLookup,0),MATCH(M$11,[2]!rng_ForecastColumnLookup,0))</f>
        <v>201.3904874387274</v>
      </c>
      <c r="N17" s="65">
        <f>INDEX([2]!tbl_Forecast,MATCH($D$8&amp;$C17&amp;$D$7,[2]!rng_ForecastRowLookup,0),MATCH(N$11,[2]!rng_ForecastColumnLookup,0))</f>
        <v>200.46409119650929</v>
      </c>
      <c r="O17" s="65">
        <f>INDEX([2]!tbl_Forecast,MATCH($D$8&amp;$C17&amp;$D$7,[2]!rng_ForecastRowLookup,0),MATCH(O$11,[2]!rng_ForecastColumnLookup,0))</f>
        <v>199.54195637700533</v>
      </c>
      <c r="P17" s="65">
        <f>INDEX([2]!tbl_Forecast,MATCH($D$8&amp;$C17&amp;$D$7,[2]!rng_ForecastRowLookup,0),MATCH(P$11,[2]!rng_ForecastColumnLookup,0))</f>
        <v>198.62406337767112</v>
      </c>
      <c r="Q17" s="65">
        <f>INDEX([2]!tbl_Forecast,MATCH($D$8&amp;$C17&amp;$D$7,[2]!rng_ForecastRowLookup,0),MATCH(Q$11,[2]!rng_ForecastColumnLookup,0))</f>
        <v>197.71039268613379</v>
      </c>
      <c r="R17" s="65">
        <f>INDEX([2]!tbl_Forecast,MATCH($D$8&amp;$C17&amp;$D$7,[2]!rng_ForecastRowLookup,0),MATCH(R$11,[2]!rng_ForecastColumnLookup,0))</f>
        <v>196.8009248797776</v>
      </c>
      <c r="S17" s="65">
        <f>INDEX([2]!tbl_Forecast,MATCH($D$8&amp;$C17&amp;$D$7,[2]!rng_ForecastRowLookup,0),MATCH(S$11,[2]!rng_ForecastColumnLookup,0))</f>
        <v>195.8956406253306</v>
      </c>
      <c r="T17" s="65">
        <f>INDEX([2]!tbl_Forecast,MATCH($D$8&amp;$C17&amp;$D$7,[2]!rng_ForecastRowLookup,0),MATCH(T$11,[2]!rng_ForecastColumnLookup,0))</f>
        <v>194.99452067845405</v>
      </c>
      <c r="U17" s="65">
        <f>INDEX([2]!tbl_Forecast,MATCH($D$8&amp;$C17&amp;$D$7,[2]!rng_ForecastRowLookup,0),MATCH(U$11,[2]!rng_ForecastColumnLookup,0))</f>
        <v>194.09754588333314</v>
      </c>
      <c r="V17" s="65">
        <f>INDEX([2]!tbl_Forecast,MATCH($D$8&amp;$C17&amp;$D$7,[2]!rng_ForecastRowLookup,0),MATCH(V$11,[2]!rng_ForecastColumnLookup,0))</f>
        <v>193.20469717226982</v>
      </c>
      <c r="W17" s="65">
        <f>INDEX([2]!tbl_Forecast,MATCH($D$8&amp;$C17&amp;$D$7,[2]!rng_ForecastRowLookup,0),MATCH(W$11,[2]!rng_ForecastColumnLookup,0))</f>
        <v>192.31595556527733</v>
      </c>
      <c r="X17" s="65">
        <f>INDEX([2]!tbl_Forecast,MATCH($D$8&amp;$C17&amp;$D$7,[2]!rng_ForecastRowLookup,0),MATCH(X$11,[2]!rng_ForecastColumnLookup,0))</f>
        <v>191.43130216967708</v>
      </c>
      <c r="Y17" s="71"/>
      <c r="Z17" s="70"/>
    </row>
    <row r="18" spans="1:26">
      <c r="B18" s="24"/>
      <c r="C18" s="24" t="s">
        <v>585</v>
      </c>
      <c r="D18" s="24">
        <v>6</v>
      </c>
      <c r="E18" s="65">
        <f>INDEX([2]!tbl_Forecast,MATCH($D$8&amp;$C18&amp;$D$7,[2]!rng_ForecastRowLookup,0),MATCH(E$11,[2]!rng_ForecastColumnLookup,0))</f>
        <v>97.115689913224898</v>
      </c>
      <c r="F18" s="65">
        <f>INDEX([2]!tbl_Forecast,MATCH($D$8&amp;$C18&amp;$D$7,[2]!rng_ForecastRowLookup,0),MATCH(F$11,[2]!rng_ForecastColumnLookup,0))</f>
        <v>96.668957739624062</v>
      </c>
      <c r="G18" s="65">
        <f>INDEX([2]!tbl_Forecast,MATCH($D$8&amp;$C18&amp;$D$7,[2]!rng_ForecastRowLookup,0),MATCH(G$11,[2]!rng_ForecastColumnLookup,0))</f>
        <v>96.224280534021787</v>
      </c>
      <c r="H18" s="65">
        <f>INDEX([2]!tbl_Forecast,MATCH($D$8&amp;$C18&amp;$D$7,[2]!rng_ForecastRowLookup,0),MATCH(H$11,[2]!rng_ForecastColumnLookup,0))</f>
        <v>95.781648843565293</v>
      </c>
      <c r="I18" s="65">
        <f>INDEX([2]!tbl_Forecast,MATCH($D$8&amp;$C18&amp;$D$7,[2]!rng_ForecastRowLookup,0),MATCH(I$11,[2]!rng_ForecastColumnLookup,0))</f>
        <v>95.34105325888487</v>
      </c>
      <c r="J18" s="65">
        <f>INDEX([2]!tbl_Forecast,MATCH($D$8&amp;$C18&amp;$D$7,[2]!rng_ForecastRowLookup,0),MATCH(J$11,[2]!rng_ForecastColumnLookup,0))</f>
        <v>94.902484413894001</v>
      </c>
      <c r="K18" s="65">
        <f>INDEX([2]!tbl_Forecast,MATCH($D$8&amp;$C18&amp;$D$7,[2]!rng_ForecastRowLookup,0),MATCH(K$11,[2]!rng_ForecastColumnLookup,0))</f>
        <v>94.465932985590086</v>
      </c>
      <c r="L18" s="65">
        <f>INDEX([2]!tbl_Forecast,MATCH($D$8&amp;$C18&amp;$D$7,[2]!rng_ForecastRowLookup,0),MATCH(L$11,[2]!rng_ForecastColumnLookup,0))</f>
        <v>94.031389693856369</v>
      </c>
      <c r="M18" s="65">
        <f>INDEX([2]!tbl_Forecast,MATCH($D$8&amp;$C18&amp;$D$7,[2]!rng_ForecastRowLookup,0),MATCH(M$11,[2]!rng_ForecastColumnLookup,0))</f>
        <v>93.598845301264618</v>
      </c>
      <c r="N18" s="65">
        <f>INDEX([2]!tbl_Forecast,MATCH($D$8&amp;$C18&amp;$D$7,[2]!rng_ForecastRowLookup,0),MATCH(N$11,[2]!rng_ForecastColumnLookup,0))</f>
        <v>93.168290612878806</v>
      </c>
      <c r="O18" s="65">
        <f>INDEX([2]!tbl_Forecast,MATCH($D$8&amp;$C18&amp;$D$7,[2]!rng_ForecastRowLookup,0),MATCH(O$11,[2]!rng_ForecastColumnLookup,0))</f>
        <v>92.739716476059556</v>
      </c>
      <c r="P18" s="65">
        <f>INDEX([2]!tbl_Forecast,MATCH($D$8&amp;$C18&amp;$D$7,[2]!rng_ForecastRowLookup,0),MATCH(P$11,[2]!rng_ForecastColumnLookup,0))</f>
        <v>92.313113780269674</v>
      </c>
      <c r="Q18" s="65">
        <f>INDEX([2]!tbl_Forecast,MATCH($D$8&amp;$C18&amp;$D$7,[2]!rng_ForecastRowLookup,0),MATCH(Q$11,[2]!rng_ForecastColumnLookup,0))</f>
        <v>91.888473456880433</v>
      </c>
      <c r="R18" s="65">
        <f>INDEX([2]!tbl_Forecast,MATCH($D$8&amp;$C18&amp;$D$7,[2]!rng_ForecastRowLookup,0),MATCH(R$11,[2]!rng_ForecastColumnLookup,0))</f>
        <v>91.465786478978771</v>
      </c>
      <c r="S18" s="65">
        <f>INDEX([2]!tbl_Forecast,MATCH($D$8&amp;$C18&amp;$D$7,[2]!rng_ForecastRowLookup,0),MATCH(S$11,[2]!rng_ForecastColumnLookup,0))</f>
        <v>91.045043861175472</v>
      </c>
      <c r="T18" s="65">
        <f>INDEX([2]!tbl_Forecast,MATCH($D$8&amp;$C18&amp;$D$7,[2]!rng_ForecastRowLookup,0),MATCH(T$11,[2]!rng_ForecastColumnLookup,0))</f>
        <v>90.626236659414062</v>
      </c>
      <c r="U18" s="65">
        <f>INDEX([2]!tbl_Forecast,MATCH($D$8&amp;$C18&amp;$D$7,[2]!rng_ForecastRowLookup,0),MATCH(U$11,[2]!rng_ForecastColumnLookup,0))</f>
        <v>90.209355970780734</v>
      </c>
      <c r="V18" s="65">
        <f>INDEX([2]!tbl_Forecast,MATCH($D$8&amp;$C18&amp;$D$7,[2]!rng_ForecastRowLookup,0),MATCH(V$11,[2]!rng_ForecastColumnLookup,0))</f>
        <v>89.794392933315152</v>
      </c>
      <c r="W18" s="65">
        <f>INDEX([2]!tbl_Forecast,MATCH($D$8&amp;$C18&amp;$D$7,[2]!rng_ForecastRowLookup,0),MATCH(W$11,[2]!rng_ForecastColumnLookup,0))</f>
        <v>89.381338725821905</v>
      </c>
      <c r="X18" s="65">
        <f>INDEX([2]!tbl_Forecast,MATCH($D$8&amp;$C18&amp;$D$7,[2]!rng_ForecastRowLookup,0),MATCH(X$11,[2]!rng_ForecastColumnLookup,0))</f>
        <v>88.97018456768312</v>
      </c>
      <c r="Y18" s="71"/>
      <c r="Z18" s="70"/>
    </row>
    <row r="19" spans="1:26">
      <c r="B19" s="24"/>
      <c r="C19" s="24" t="s">
        <v>586</v>
      </c>
      <c r="D19" s="24">
        <v>7</v>
      </c>
      <c r="E19" s="65">
        <f>INDEX([2]!tbl_Forecast,MATCH($D$8&amp;$C19&amp;$D$7,[2]!rng_ForecastRowLookup,0),MATCH(E$11,[2]!rng_ForecastColumnLookup,0))</f>
        <v>109.47966092768364</v>
      </c>
      <c r="F19" s="65">
        <f>INDEX([2]!tbl_Forecast,MATCH($D$8&amp;$C19&amp;$D$7,[2]!rng_ForecastRowLookup,0),MATCH(F$11,[2]!rng_ForecastColumnLookup,0))</f>
        <v>108.97605448741629</v>
      </c>
      <c r="G19" s="65">
        <f>INDEX([2]!tbl_Forecast,MATCH($D$8&amp;$C19&amp;$D$7,[2]!rng_ForecastRowLookup,0),MATCH(G$11,[2]!rng_ForecastColumnLookup,0))</f>
        <v>108.47476463677417</v>
      </c>
      <c r="H19" s="65">
        <f>INDEX([2]!tbl_Forecast,MATCH($D$8&amp;$C19&amp;$D$7,[2]!rng_ForecastRowLookup,0),MATCH(H$11,[2]!rng_ForecastColumnLookup,0))</f>
        <v>107.975780719445</v>
      </c>
      <c r="I19" s="65">
        <f>INDEX([2]!tbl_Forecast,MATCH($D$8&amp;$C19&amp;$D$7,[2]!rng_ForecastRowLookup,0),MATCH(I$11,[2]!rng_ForecastColumnLookup,0))</f>
        <v>107.47909212813555</v>
      </c>
      <c r="J19" s="65">
        <f>INDEX([2]!tbl_Forecast,MATCH($D$8&amp;$C19&amp;$D$7,[2]!rng_ForecastRowLookup,0),MATCH(J$11,[2]!rng_ForecastColumnLookup,0))</f>
        <v>106.98468830434612</v>
      </c>
      <c r="K19" s="65">
        <f>INDEX([2]!tbl_Forecast,MATCH($D$8&amp;$C19&amp;$D$7,[2]!rng_ForecastRowLookup,0),MATCH(K$11,[2]!rng_ForecastColumnLookup,0))</f>
        <v>106.49255873814613</v>
      </c>
      <c r="L19" s="65">
        <f>INDEX([2]!tbl_Forecast,MATCH($D$8&amp;$C19&amp;$D$7,[2]!rng_ForecastRowLookup,0),MATCH(L$11,[2]!rng_ForecastColumnLookup,0))</f>
        <v>106.00269296795065</v>
      </c>
      <c r="M19" s="65">
        <f>INDEX([2]!tbl_Forecast,MATCH($D$8&amp;$C19&amp;$D$7,[2]!rng_ForecastRowLookup,0),MATCH(M$11,[2]!rng_ForecastColumnLookup,0))</f>
        <v>105.51508058029808</v>
      </c>
      <c r="N19" s="65">
        <f>INDEX([2]!tbl_Forecast,MATCH($D$8&amp;$C19&amp;$D$7,[2]!rng_ForecastRowLookup,0),MATCH(N$11,[2]!rng_ForecastColumnLookup,0))</f>
        <v>105.0297112096287</v>
      </c>
      <c r="O19" s="65">
        <f>INDEX([2]!tbl_Forecast,MATCH($D$8&amp;$C19&amp;$D$7,[2]!rng_ForecastRowLookup,0),MATCH(O$11,[2]!rng_ForecastColumnLookup,0))</f>
        <v>104.54657453806439</v>
      </c>
      <c r="P19" s="65">
        <f>INDEX([2]!tbl_Forecast,MATCH($D$8&amp;$C19&amp;$D$7,[2]!rng_ForecastRowLookup,0),MATCH(P$11,[2]!rng_ForecastColumnLookup,0))</f>
        <v>104.0656602951893</v>
      </c>
      <c r="Q19" s="65">
        <f>INDEX([2]!tbl_Forecast,MATCH($D$8&amp;$C19&amp;$D$7,[2]!rng_ForecastRowLookup,0),MATCH(Q$11,[2]!rng_ForecastColumnLookup,0))</f>
        <v>103.58695825783141</v>
      </c>
      <c r="R19" s="65">
        <f>INDEX([2]!tbl_Forecast,MATCH($D$8&amp;$C19&amp;$D$7,[2]!rng_ForecastRowLookup,0),MATCH(R$11,[2]!rng_ForecastColumnLookup,0))</f>
        <v>103.11045824984539</v>
      </c>
      <c r="S19" s="65">
        <f>INDEX([2]!tbl_Forecast,MATCH($D$8&amp;$C19&amp;$D$7,[2]!rng_ForecastRowLookup,0),MATCH(S$11,[2]!rng_ForecastColumnLookup,0))</f>
        <v>102.6361501418961</v>
      </c>
      <c r="T19" s="65">
        <f>INDEX([2]!tbl_Forecast,MATCH($D$8&amp;$C19&amp;$D$7,[2]!rng_ForecastRowLookup,0),MATCH(T$11,[2]!rng_ForecastColumnLookup,0))</f>
        <v>102.16402385124337</v>
      </c>
      <c r="U19" s="65">
        <f>INDEX([2]!tbl_Forecast,MATCH($D$8&amp;$C19&amp;$D$7,[2]!rng_ForecastRowLookup,0),MATCH(U$11,[2]!rng_ForecastColumnLookup,0))</f>
        <v>101.69406934152764</v>
      </c>
      <c r="V19" s="65">
        <f>INDEX([2]!tbl_Forecast,MATCH($D$8&amp;$C19&amp;$D$7,[2]!rng_ForecastRowLookup,0),MATCH(V$11,[2]!rng_ForecastColumnLookup,0))</f>
        <v>101.2262766225566</v>
      </c>
      <c r="W19" s="65">
        <f>INDEX([2]!tbl_Forecast,MATCH($D$8&amp;$C19&amp;$D$7,[2]!rng_ForecastRowLookup,0),MATCH(W$11,[2]!rng_ForecastColumnLookup,0))</f>
        <v>100.76063575009285</v>
      </c>
      <c r="X19" s="65">
        <f>INDEX([2]!tbl_Forecast,MATCH($D$8&amp;$C19&amp;$D$7,[2]!rng_ForecastRowLookup,0),MATCH(X$11,[2]!rng_ForecastColumnLookup,0))</f>
        <v>100.29713682564241</v>
      </c>
      <c r="Y19" s="71"/>
      <c r="Z19" s="70"/>
    </row>
    <row r="20" spans="1:26">
      <c r="B20" s="24"/>
      <c r="C20" s="24" t="s">
        <v>266</v>
      </c>
      <c r="D20" s="24">
        <v>8</v>
      </c>
      <c r="E20" s="65">
        <f>INDEX([2]!tbl_Forecast,MATCH($D$8&amp;$C20&amp;$D$7,[2]!rng_ForecastRowLookup,0),MATCH(E$11,[2]!rng_ForecastColumnLookup,0))</f>
        <v>241.11763975818661</v>
      </c>
      <c r="F20" s="65">
        <f>INDEX([2]!tbl_Forecast,MATCH($D$8&amp;$C20&amp;$D$7,[2]!rng_ForecastRowLookup,0),MATCH(F$11,[2]!rng_ForecastColumnLookup,0))</f>
        <v>240.12905743517803</v>
      </c>
      <c r="G20" s="65">
        <f>INDEX([2]!tbl_Forecast,MATCH($D$8&amp;$C20&amp;$D$7,[2]!rng_ForecastRowLookup,0),MATCH(G$11,[2]!rng_ForecastColumnLookup,0))</f>
        <v>239.14452829969383</v>
      </c>
      <c r="H20" s="65">
        <f>INDEX([2]!tbl_Forecast,MATCH($D$8&amp;$C20&amp;$D$7,[2]!rng_ForecastRowLookup,0),MATCH(H$11,[2]!rng_ForecastColumnLookup,0))</f>
        <v>238.16403573366509</v>
      </c>
      <c r="I20" s="65">
        <f>INDEX([2]!tbl_Forecast,MATCH($D$8&amp;$C20&amp;$D$7,[2]!rng_ForecastRowLookup,0),MATCH(I$11,[2]!rng_ForecastColumnLookup,0))</f>
        <v>237.18756318715711</v>
      </c>
      <c r="J20" s="65">
        <f>INDEX([2]!tbl_Forecast,MATCH($D$8&amp;$C20&amp;$D$7,[2]!rng_ForecastRowLookup,0),MATCH(J$11,[2]!rng_ForecastColumnLookup,0))</f>
        <v>236.21509417808971</v>
      </c>
      <c r="K20" s="65">
        <f>INDEX([2]!tbl_Forecast,MATCH($D$8&amp;$C20&amp;$D$7,[2]!rng_ForecastRowLookup,0),MATCH(K$11,[2]!rng_ForecastColumnLookup,0))</f>
        <v>235.24661229195956</v>
      </c>
      <c r="L20" s="65">
        <f>INDEX([2]!tbl_Forecast,MATCH($D$8&amp;$C20&amp;$D$7,[2]!rng_ForecastRowLookup,0),MATCH(L$11,[2]!rng_ForecastColumnLookup,0))</f>
        <v>234.28210118156252</v>
      </c>
      <c r="M20" s="65">
        <f>INDEX([2]!tbl_Forecast,MATCH($D$8&amp;$C20&amp;$D$7,[2]!rng_ForecastRowLookup,0),MATCH(M$11,[2]!rng_ForecastColumnLookup,0))</f>
        <v>233.32154456671807</v>
      </c>
      <c r="N20" s="65">
        <f>INDEX([2]!tbl_Forecast,MATCH($D$8&amp;$C20&amp;$D$7,[2]!rng_ForecastRowLookup,0),MATCH(N$11,[2]!rng_ForecastColumnLookup,0))</f>
        <v>232.36492623399457</v>
      </c>
      <c r="O20" s="65">
        <f>INDEX([2]!tbl_Forecast,MATCH($D$8&amp;$C20&amp;$D$7,[2]!rng_ForecastRowLookup,0),MATCH(O$11,[2]!rng_ForecastColumnLookup,0))</f>
        <v>231.41223003643518</v>
      </c>
      <c r="P20" s="65">
        <f>INDEX([2]!tbl_Forecast,MATCH($D$8&amp;$C20&amp;$D$7,[2]!rng_ForecastRowLookup,0),MATCH(P$11,[2]!rng_ForecastColumnLookup,0))</f>
        <v>230.46343989328579</v>
      </c>
      <c r="Q20" s="65">
        <f>INDEX([2]!tbl_Forecast,MATCH($D$8&amp;$C20&amp;$D$7,[2]!rng_ForecastRowLookup,0),MATCH(Q$11,[2]!rng_ForecastColumnLookup,0))</f>
        <v>229.51853978972335</v>
      </c>
      <c r="R20" s="65">
        <f>INDEX([2]!tbl_Forecast,MATCH($D$8&amp;$C20&amp;$D$7,[2]!rng_ForecastRowLookup,0),MATCH(R$11,[2]!rng_ForecastColumnLookup,0))</f>
        <v>228.57751377658545</v>
      </c>
      <c r="S20" s="65">
        <f>INDEX([2]!tbl_Forecast,MATCH($D$8&amp;$C20&amp;$D$7,[2]!rng_ForecastRowLookup,0),MATCH(S$11,[2]!rng_ForecastColumnLookup,0))</f>
        <v>227.64034597010144</v>
      </c>
      <c r="T20" s="65">
        <f>INDEX([2]!tbl_Forecast,MATCH($D$8&amp;$C20&amp;$D$7,[2]!rng_ForecastRowLookup,0),MATCH(T$11,[2]!rng_ForecastColumnLookup,0))</f>
        <v>226.70702055162403</v>
      </c>
      <c r="U20" s="65">
        <f>INDEX([2]!tbl_Forecast,MATCH($D$8&amp;$C20&amp;$D$7,[2]!rng_ForecastRowLookup,0),MATCH(U$11,[2]!rng_ForecastColumnLookup,0))</f>
        <v>225.77752176736234</v>
      </c>
      <c r="V20" s="65">
        <f>INDEX([2]!tbl_Forecast,MATCH($D$8&amp;$C20&amp;$D$7,[2]!rng_ForecastRowLookup,0),MATCH(V$11,[2]!rng_ForecastColumnLookup,0))</f>
        <v>224.85183392811618</v>
      </c>
      <c r="W20" s="65">
        <f>INDEX([2]!tbl_Forecast,MATCH($D$8&amp;$C20&amp;$D$7,[2]!rng_ForecastRowLookup,0),MATCH(W$11,[2]!rng_ForecastColumnLookup,0))</f>
        <v>223.92994140901092</v>
      </c>
      <c r="X20" s="65">
        <f>INDEX([2]!tbl_Forecast,MATCH($D$8&amp;$C20&amp;$D$7,[2]!rng_ForecastRowLookup,0),MATCH(X$11,[2]!rng_ForecastColumnLookup,0))</f>
        <v>223.01182864923393</v>
      </c>
      <c r="Y20" s="71"/>
      <c r="Z20" s="70"/>
    </row>
    <row r="21" spans="1:26">
      <c r="B21" s="24"/>
      <c r="C21" s="24" t="s">
        <v>587</v>
      </c>
      <c r="D21" s="98">
        <v>9</v>
      </c>
      <c r="E21" s="65">
        <f>INDEX([2]!tbl_Forecast,MATCH($D$8&amp;$C21&amp;$D$7,[2]!rng_ForecastRowLookup,0),MATCH(E$11,[2]!rng_ForecastColumnLookup,0))</f>
        <v>122.15340627232256</v>
      </c>
      <c r="F21" s="65">
        <f>INDEX([2]!tbl_Forecast,MATCH($D$8&amp;$C21&amp;$D$7,[2]!rng_ForecastRowLookup,0),MATCH(F$11,[2]!rng_ForecastColumnLookup,0))</f>
        <v>121.65257730660603</v>
      </c>
      <c r="G21" s="65">
        <f>INDEX([2]!tbl_Forecast,MATCH($D$8&amp;$C21&amp;$D$7,[2]!rng_ForecastRowLookup,0),MATCH(G$11,[2]!rng_ForecastColumnLookup,0))</f>
        <v>121.15380173964894</v>
      </c>
      <c r="H21" s="65">
        <f>INDEX([2]!tbl_Forecast,MATCH($D$8&amp;$C21&amp;$D$7,[2]!rng_ForecastRowLookup,0),MATCH(H$11,[2]!rng_ForecastColumnLookup,0))</f>
        <v>120.65707115251638</v>
      </c>
      <c r="I21" s="65">
        <f>INDEX([2]!tbl_Forecast,MATCH($D$8&amp;$C21&amp;$D$7,[2]!rng_ForecastRowLookup,0),MATCH(I$11,[2]!rng_ForecastColumnLookup,0))</f>
        <v>120.16237716079107</v>
      </c>
      <c r="J21" s="65">
        <f>INDEX([2]!tbl_Forecast,MATCH($D$8&amp;$C21&amp;$D$7,[2]!rng_ForecastRowLookup,0),MATCH(J$11,[2]!rng_ForecastColumnLookup,0))</f>
        <v>119.66971141443182</v>
      </c>
      <c r="K21" s="65">
        <f>INDEX([2]!tbl_Forecast,MATCH($D$8&amp;$C21&amp;$D$7,[2]!rng_ForecastRowLookup,0),MATCH(K$11,[2]!rng_ForecastColumnLookup,0))</f>
        <v>119.17906559763266</v>
      </c>
      <c r="L21" s="65">
        <f>INDEX([2]!tbl_Forecast,MATCH($D$8&amp;$C21&amp;$D$7,[2]!rng_ForecastRowLookup,0),MATCH(L$11,[2]!rng_ForecastColumnLookup,0))</f>
        <v>118.69043142868237</v>
      </c>
      <c r="M21" s="65">
        <f>INDEX([2]!tbl_Forecast,MATCH($D$8&amp;$C21&amp;$D$7,[2]!rng_ForecastRowLookup,0),MATCH(M$11,[2]!rng_ForecastColumnLookup,0))</f>
        <v>118.20380065982476</v>
      </c>
      <c r="N21" s="65">
        <f>INDEX([2]!tbl_Forecast,MATCH($D$8&amp;$C21&amp;$D$7,[2]!rng_ForecastRowLookup,0),MATCH(N$11,[2]!rng_ForecastColumnLookup,0))</f>
        <v>117.71916507711948</v>
      </c>
      <c r="O21" s="65">
        <f>INDEX([2]!tbl_Forecast,MATCH($D$8&amp;$C21&amp;$D$7,[2]!rng_ForecastRowLookup,0),MATCH(O$11,[2]!rng_ForecastColumnLookup,0))</f>
        <v>117.23651650030328</v>
      </c>
      <c r="P21" s="65">
        <f>INDEX([2]!tbl_Forecast,MATCH($D$8&amp;$C21&amp;$D$7,[2]!rng_ForecastRowLookup,0),MATCH(P$11,[2]!rng_ForecastColumnLookup,0))</f>
        <v>116.75584678265207</v>
      </c>
      <c r="Q21" s="65">
        <f>INDEX([2]!tbl_Forecast,MATCH($D$8&amp;$C21&amp;$D$7,[2]!rng_ForecastRowLookup,0),MATCH(Q$11,[2]!rng_ForecastColumnLookup,0))</f>
        <v>116.27714781084319</v>
      </c>
      <c r="R21" s="65">
        <f>INDEX([2]!tbl_Forecast,MATCH($D$8&amp;$C21&amp;$D$7,[2]!rng_ForecastRowLookup,0),MATCH(R$11,[2]!rng_ForecastColumnLookup,0))</f>
        <v>115.80041150481873</v>
      </c>
      <c r="S21" s="65">
        <f>INDEX([2]!tbl_Forecast,MATCH($D$8&amp;$C21&amp;$D$7,[2]!rng_ForecastRowLookup,0),MATCH(S$11,[2]!rng_ForecastColumnLookup,0))</f>
        <v>115.32562981764897</v>
      </c>
      <c r="T21" s="65">
        <f>INDEX([2]!tbl_Forecast,MATCH($D$8&amp;$C21&amp;$D$7,[2]!rng_ForecastRowLookup,0),MATCH(T$11,[2]!rng_ForecastColumnLookup,0))</f>
        <v>114.8527947353966</v>
      </c>
      <c r="U21" s="65">
        <f>INDEX([2]!tbl_Forecast,MATCH($D$8&amp;$C21&amp;$D$7,[2]!rng_ForecastRowLookup,0),MATCH(U$11,[2]!rng_ForecastColumnLookup,0))</f>
        <v>114.38189827698147</v>
      </c>
      <c r="V21" s="65">
        <f>INDEX([2]!tbl_Forecast,MATCH($D$8&amp;$C21&amp;$D$7,[2]!rng_ForecastRowLookup,0),MATCH(V$11,[2]!rng_ForecastColumnLookup,0))</f>
        <v>113.91293249404585</v>
      </c>
      <c r="W21" s="65">
        <f>INDEX([2]!tbl_Forecast,MATCH($D$8&amp;$C21&amp;$D$7,[2]!rng_ForecastRowLookup,0),MATCH(W$11,[2]!rng_ForecastColumnLookup,0))</f>
        <v>113.44588947082025</v>
      </c>
      <c r="X21" s="65">
        <f>INDEX([2]!tbl_Forecast,MATCH($D$8&amp;$C21&amp;$D$7,[2]!rng_ForecastRowLookup,0),MATCH(X$11,[2]!rng_ForecastColumnLookup,0))</f>
        <v>112.98076132398991</v>
      </c>
      <c r="Y21" s="71"/>
      <c r="Z21" s="70"/>
    </row>
    <row r="22" spans="1:26">
      <c r="B22" s="24"/>
      <c r="C22" s="24" t="s">
        <v>267</v>
      </c>
      <c r="D22" s="98">
        <v>10</v>
      </c>
      <c r="E22" s="65">
        <f>INDEX([2]!tbl_Forecast,MATCH($D$8&amp;$C22&amp;$D$7,[2]!rng_ForecastRowLookup,0),MATCH(E$11,[2]!rng_ForecastColumnLookup,0))</f>
        <v>448.69829599576161</v>
      </c>
      <c r="F22" s="65">
        <f>INDEX([2]!tbl_Forecast,MATCH($D$8&amp;$C22&amp;$D$7,[2]!rng_ForecastRowLookup,0),MATCH(F$11,[2]!rng_ForecastColumnLookup,0))</f>
        <v>447.03811230057732</v>
      </c>
      <c r="G22" s="65">
        <f>INDEX([2]!tbl_Forecast,MATCH($D$8&amp;$C22&amp;$D$7,[2]!rng_ForecastRowLookup,0),MATCH(G$11,[2]!rng_ForecastColumnLookup,0))</f>
        <v>445.3840712850652</v>
      </c>
      <c r="H22" s="65">
        <f>INDEX([2]!tbl_Forecast,MATCH($D$8&amp;$C22&amp;$D$7,[2]!rng_ForecastRowLookup,0),MATCH(H$11,[2]!rng_ForecastColumnLookup,0))</f>
        <v>443.73615022131042</v>
      </c>
      <c r="I22" s="65">
        <f>INDEX([2]!tbl_Forecast,MATCH($D$8&amp;$C22&amp;$D$7,[2]!rng_ForecastRowLookup,0),MATCH(I$11,[2]!rng_ForecastColumnLookup,0))</f>
        <v>442.09432646549152</v>
      </c>
      <c r="J22" s="65">
        <f>INDEX([2]!tbl_Forecast,MATCH($D$8&amp;$C22&amp;$D$7,[2]!rng_ForecastRowLookup,0),MATCH(J$11,[2]!rng_ForecastColumnLookup,0))</f>
        <v>440.45857745756916</v>
      </c>
      <c r="K22" s="65">
        <f>INDEX([2]!tbl_Forecast,MATCH($D$8&amp;$C22&amp;$D$7,[2]!rng_ForecastRowLookup,0),MATCH(K$11,[2]!rng_ForecastColumnLookup,0))</f>
        <v>438.82888072097626</v>
      </c>
      <c r="L22" s="65">
        <f>INDEX([2]!tbl_Forecast,MATCH($D$8&amp;$C22&amp;$D$7,[2]!rng_ForecastRowLookup,0),MATCH(L$11,[2]!rng_ForecastColumnLookup,0))</f>
        <v>437.2052138623086</v>
      </c>
      <c r="M22" s="65">
        <f>INDEX([2]!tbl_Forecast,MATCH($D$8&amp;$C22&amp;$D$7,[2]!rng_ForecastRowLookup,0),MATCH(M$11,[2]!rng_ForecastColumnLookup,0))</f>
        <v>435.58755457101802</v>
      </c>
      <c r="N22" s="65">
        <f>INDEX([2]!tbl_Forecast,MATCH($D$8&amp;$C22&amp;$D$7,[2]!rng_ForecastRowLookup,0),MATCH(N$11,[2]!rng_ForecastColumnLookup,0))</f>
        <v>433.97588061910528</v>
      </c>
      <c r="O22" s="65">
        <f>INDEX([2]!tbl_Forecast,MATCH($D$8&amp;$C22&amp;$D$7,[2]!rng_ForecastRowLookup,0),MATCH(O$11,[2]!rng_ForecastColumnLookup,0))</f>
        <v>432.37016986081449</v>
      </c>
      <c r="P22" s="65">
        <f>INDEX([2]!tbl_Forecast,MATCH($D$8&amp;$C22&amp;$D$7,[2]!rng_ForecastRowLookup,0),MATCH(P$11,[2]!rng_ForecastColumnLookup,0))</f>
        <v>430.77040023232951</v>
      </c>
      <c r="Q22" s="65">
        <f>INDEX([2]!tbl_Forecast,MATCH($D$8&amp;$C22&amp;$D$7,[2]!rng_ForecastRowLookup,0),MATCH(Q$11,[2]!rng_ForecastColumnLookup,0))</f>
        <v>429.17654975146979</v>
      </c>
      <c r="R22" s="65">
        <f>INDEX([2]!tbl_Forecast,MATCH($D$8&amp;$C22&amp;$D$7,[2]!rng_ForecastRowLookup,0),MATCH(R$11,[2]!rng_ForecastColumnLookup,0))</f>
        <v>427.58859651738936</v>
      </c>
      <c r="S22" s="65">
        <f>INDEX([2]!tbl_Forecast,MATCH($D$8&amp;$C22&amp;$D$7,[2]!rng_ForecastRowLookup,0),MATCH(S$11,[2]!rng_ForecastColumnLookup,0))</f>
        <v>426.00651871027503</v>
      </c>
      <c r="T22" s="65">
        <f>INDEX([2]!tbl_Forecast,MATCH($D$8&amp;$C22&amp;$D$7,[2]!rng_ForecastRowLookup,0),MATCH(T$11,[2]!rng_ForecastColumnLookup,0))</f>
        <v>424.43029459104702</v>
      </c>
      <c r="U22" s="65">
        <f>INDEX([2]!tbl_Forecast,MATCH($D$8&amp;$C22&amp;$D$7,[2]!rng_ForecastRowLookup,0),MATCH(U$11,[2]!rng_ForecastColumnLookup,0))</f>
        <v>422.85990250106011</v>
      </c>
      <c r="V22" s="65">
        <f>INDEX([2]!tbl_Forecast,MATCH($D$8&amp;$C22&amp;$D$7,[2]!rng_ForecastRowLookup,0),MATCH(V$11,[2]!rng_ForecastColumnLookup,0))</f>
        <v>421.2953208618062</v>
      </c>
      <c r="W22" s="65">
        <f>INDEX([2]!tbl_Forecast,MATCH($D$8&amp;$C22&amp;$D$7,[2]!rng_ForecastRowLookup,0),MATCH(W$11,[2]!rng_ForecastColumnLookup,0))</f>
        <v>419.73652817461749</v>
      </c>
      <c r="X22" s="65">
        <f>INDEX([2]!tbl_Forecast,MATCH($D$8&amp;$C22&amp;$D$7,[2]!rng_ForecastRowLookup,0),MATCH(X$11,[2]!rng_ForecastColumnLookup,0))</f>
        <v>418.18350302037135</v>
      </c>
      <c r="Y22" s="71"/>
      <c r="Z22" s="70"/>
    </row>
    <row r="23" spans="1:26">
      <c r="B23" s="24"/>
      <c r="C23" s="24" t="s">
        <v>588</v>
      </c>
      <c r="D23" s="24">
        <v>11</v>
      </c>
      <c r="E23" s="65">
        <f>INDEX([2]!tbl_Forecast,MATCH($D$8&amp;$C23&amp;$D$7,[2]!rng_ForecastRowLookup,0),MATCH(E$11,[2]!rng_ForecastColumnLookup,0))</f>
        <v>53.720939527021244</v>
      </c>
      <c r="F23" s="65">
        <f>INDEX([2]!tbl_Forecast,MATCH($D$8&amp;$C23&amp;$D$7,[2]!rng_ForecastRowLookup,0),MATCH(F$11,[2]!rng_ForecastColumnLookup,0))</f>
        <v>53.237451071278059</v>
      </c>
      <c r="G23" s="65">
        <f>INDEX([2]!tbl_Forecast,MATCH($D$8&amp;$C23&amp;$D$7,[2]!rng_ForecastRowLookup,0),MATCH(G$11,[2]!rng_ForecastColumnLookup,0))</f>
        <v>52.758314011636557</v>
      </c>
      <c r="H23" s="65">
        <f>INDEX([2]!tbl_Forecast,MATCH($D$8&amp;$C23&amp;$D$7,[2]!rng_ForecastRowLookup,0),MATCH(H$11,[2]!rng_ForecastColumnLookup,0))</f>
        <v>52.283489185531828</v>
      </c>
      <c r="I23" s="65">
        <f>INDEX([2]!tbl_Forecast,MATCH($D$8&amp;$C23&amp;$D$7,[2]!rng_ForecastRowLookup,0),MATCH(I$11,[2]!rng_ForecastColumnLookup,0))</f>
        <v>51.812937782862043</v>
      </c>
      <c r="J23" s="65">
        <f>INDEX([2]!tbl_Forecast,MATCH($D$8&amp;$C23&amp;$D$7,[2]!rng_ForecastRowLookup,0),MATCH(J$11,[2]!rng_ForecastColumnLookup,0))</f>
        <v>51.346621342816277</v>
      </c>
      <c r="K23" s="65">
        <f>INDEX([2]!tbl_Forecast,MATCH($D$8&amp;$C23&amp;$D$7,[2]!rng_ForecastRowLookup,0),MATCH(K$11,[2]!rng_ForecastColumnLookup,0))</f>
        <v>50.884501750730934</v>
      </c>
      <c r="L23" s="65">
        <f>INDEX([2]!tbl_Forecast,MATCH($D$8&amp;$C23&amp;$D$7,[2]!rng_ForecastRowLookup,0),MATCH(L$11,[2]!rng_ForecastColumnLookup,0))</f>
        <v>50.426541234974358</v>
      </c>
      <c r="M23" s="65">
        <f>INDEX([2]!tbl_Forecast,MATCH($D$8&amp;$C23&amp;$D$7,[2]!rng_ForecastRowLookup,0),MATCH(M$11,[2]!rng_ForecastColumnLookup,0))</f>
        <v>49.97270236385959</v>
      </c>
      <c r="N23" s="65">
        <f>INDEX([2]!tbl_Forecast,MATCH($D$8&amp;$C23&amp;$D$7,[2]!rng_ForecastRowLookup,0),MATCH(N$11,[2]!rng_ForecastColumnLookup,0))</f>
        <v>49.522948042584851</v>
      </c>
      <c r="O23" s="65">
        <f>INDEX([2]!tbl_Forecast,MATCH($D$8&amp;$C23&amp;$D$7,[2]!rng_ForecastRowLookup,0),MATCH(O$11,[2]!rng_ForecastColumnLookup,0))</f>
        <v>49.077241510201581</v>
      </c>
      <c r="P23" s="65">
        <f>INDEX([2]!tbl_Forecast,MATCH($D$8&amp;$C23&amp;$D$7,[2]!rng_ForecastRowLookup,0),MATCH(P$11,[2]!rng_ForecastColumnLookup,0))</f>
        <v>48.635546336609778</v>
      </c>
      <c r="Q23" s="65">
        <f>INDEX([2]!tbl_Forecast,MATCH($D$8&amp;$C23&amp;$D$7,[2]!rng_ForecastRowLookup,0),MATCH(Q$11,[2]!rng_ForecastColumnLookup,0))</f>
        <v>48.197826419580288</v>
      </c>
      <c r="R23" s="65">
        <f>INDEX([2]!tbl_Forecast,MATCH($D$8&amp;$C23&amp;$D$7,[2]!rng_ForecastRowLookup,0),MATCH(R$11,[2]!rng_ForecastColumnLookup,0))</f>
        <v>47.76404598180406</v>
      </c>
      <c r="S23" s="65">
        <f>INDEX([2]!tbl_Forecast,MATCH($D$8&amp;$C23&amp;$D$7,[2]!rng_ForecastRowLookup,0),MATCH(S$11,[2]!rng_ForecastColumnLookup,0))</f>
        <v>47.33416956796782</v>
      </c>
      <c r="T23" s="65">
        <f>INDEX([2]!tbl_Forecast,MATCH($D$8&amp;$C23&amp;$D$7,[2]!rng_ForecastRowLookup,0),MATCH(T$11,[2]!rng_ForecastColumnLookup,0))</f>
        <v>46.908162041856116</v>
      </c>
      <c r="U23" s="65">
        <f>INDEX([2]!tbl_Forecast,MATCH($D$8&amp;$C23&amp;$D$7,[2]!rng_ForecastRowLookup,0),MATCH(U$11,[2]!rng_ForecastColumnLookup,0))</f>
        <v>46.485988583479411</v>
      </c>
      <c r="V23" s="65">
        <f>INDEX([2]!tbl_Forecast,MATCH($D$8&amp;$C23&amp;$D$7,[2]!rng_ForecastRowLookup,0),MATCH(V$11,[2]!rng_ForecastColumnLookup,0))</f>
        <v>46.067614686228097</v>
      </c>
      <c r="W23" s="65">
        <f>INDEX([2]!tbl_Forecast,MATCH($D$8&amp;$C23&amp;$D$7,[2]!rng_ForecastRowLookup,0),MATCH(W$11,[2]!rng_ForecastColumnLookup,0))</f>
        <v>45.653006154052044</v>
      </c>
      <c r="X23" s="65">
        <f>INDEX([2]!tbl_Forecast,MATCH($D$8&amp;$C23&amp;$D$7,[2]!rng_ForecastRowLookup,0),MATCH(X$11,[2]!rng_ForecastColumnLookup,0))</f>
        <v>45.242129098665572</v>
      </c>
      <c r="Y23" s="71"/>
      <c r="Z23" s="70"/>
    </row>
    <row r="24" spans="1:26">
      <c r="B24" s="24"/>
      <c r="C24" s="24" t="s">
        <v>589</v>
      </c>
      <c r="D24" s="24">
        <v>12</v>
      </c>
      <c r="E24" s="65">
        <f>INDEX([2]!tbl_Forecast,MATCH($D$8&amp;$C24&amp;$D$7,[2]!rng_ForecastRowLookup,0),MATCH(E$11,[2]!rng_ForecastColumnLookup,0))</f>
        <v>22.491017060912501</v>
      </c>
      <c r="F24" s="65">
        <f>INDEX([2]!tbl_Forecast,MATCH($D$8&amp;$C24&amp;$D$7,[2]!rng_ForecastRowLookup,0),MATCH(F$11,[2]!rng_ForecastColumnLookup,0))</f>
        <v>22.384859460384995</v>
      </c>
      <c r="G24" s="65">
        <f>INDEX([2]!tbl_Forecast,MATCH($D$8&amp;$C24&amp;$D$7,[2]!rng_ForecastRowLookup,0),MATCH(G$11,[2]!rng_ForecastColumnLookup,0))</f>
        <v>22.279202923731983</v>
      </c>
      <c r="H24" s="65">
        <f>INDEX([2]!tbl_Forecast,MATCH($D$8&amp;$C24&amp;$D$7,[2]!rng_ForecastRowLookup,0),MATCH(H$11,[2]!rng_ForecastColumnLookup,0))</f>
        <v>22.174045085931969</v>
      </c>
      <c r="I24" s="65">
        <f>INDEX([2]!tbl_Forecast,MATCH($D$8&amp;$C24&amp;$D$7,[2]!rng_ForecastRowLookup,0),MATCH(I$11,[2]!rng_ForecastColumnLookup,0))</f>
        <v>22.069383593126368</v>
      </c>
      <c r="J24" s="65">
        <f>INDEX([2]!tbl_Forecast,MATCH($D$8&amp;$C24&amp;$D$7,[2]!rng_ForecastRowLookup,0),MATCH(J$11,[2]!rng_ForecastColumnLookup,0))</f>
        <v>21.965216102566814</v>
      </c>
      <c r="K24" s="65">
        <f>INDEX([2]!tbl_Forecast,MATCH($D$8&amp;$C24&amp;$D$7,[2]!rng_ForecastRowLookup,0),MATCH(K$11,[2]!rng_ForecastColumnLookup,0))</f>
        <v>21.8615402825627</v>
      </c>
      <c r="L24" s="65">
        <f>INDEX([2]!tbl_Forecast,MATCH($D$8&amp;$C24&amp;$D$7,[2]!rng_ForecastRowLookup,0),MATCH(L$11,[2]!rng_ForecastColumnLookup,0))</f>
        <v>21.758353812429004</v>
      </c>
      <c r="M24" s="65">
        <f>INDEX([2]!tbl_Forecast,MATCH($D$8&amp;$C24&amp;$D$7,[2]!rng_ForecastRowLookup,0),MATCH(M$11,[2]!rng_ForecastColumnLookup,0))</f>
        <v>21.655654382434342</v>
      </c>
      <c r="N24" s="65">
        <f>INDEX([2]!tbl_Forecast,MATCH($D$8&amp;$C24&amp;$D$7,[2]!rng_ForecastRowLookup,0),MATCH(N$11,[2]!rng_ForecastColumnLookup,0))</f>
        <v>21.553439693749251</v>
      </c>
      <c r="O24" s="65">
        <f>INDEX([2]!tbl_Forecast,MATCH($D$8&amp;$C24&amp;$D$7,[2]!rng_ForecastRowLookup,0),MATCH(O$11,[2]!rng_ForecastColumnLookup,0))</f>
        <v>21.451707458394754</v>
      </c>
      <c r="P24" s="65">
        <f>INDEX([2]!tbl_Forecast,MATCH($D$8&amp;$C24&amp;$D$7,[2]!rng_ForecastRowLookup,0),MATCH(P$11,[2]!rng_ForecastColumnLookup,0))</f>
        <v>21.350455399191134</v>
      </c>
      <c r="Q24" s="65">
        <f>INDEX([2]!tbl_Forecast,MATCH($D$8&amp;$C24&amp;$D$7,[2]!rng_ForecastRowLookup,0),MATCH(Q$11,[2]!rng_ForecastColumnLookup,0))</f>
        <v>21.249681249706953</v>
      </c>
      <c r="R24" s="65">
        <f>INDEX([2]!tbl_Forecast,MATCH($D$8&amp;$C24&amp;$D$7,[2]!rng_ForecastRowLookup,0),MATCH(R$11,[2]!rng_ForecastColumnLookup,0))</f>
        <v>21.149382754208336</v>
      </c>
      <c r="S24" s="65">
        <f>INDEX([2]!tbl_Forecast,MATCH($D$8&amp;$C24&amp;$D$7,[2]!rng_ForecastRowLookup,0),MATCH(S$11,[2]!rng_ForecastColumnLookup,0))</f>
        <v>21.049557667608472</v>
      </c>
      <c r="T24" s="65">
        <f>INDEX([2]!tbl_Forecast,MATCH($D$8&amp;$C24&amp;$D$7,[2]!rng_ForecastRowLookup,0),MATCH(T$11,[2]!rng_ForecastColumnLookup,0))</f>
        <v>20.950203755417366</v>
      </c>
      <c r="U24" s="65">
        <f>INDEX([2]!tbl_Forecast,MATCH($D$8&amp;$C24&amp;$D$7,[2]!rng_ForecastRowLookup,0),MATCH(U$11,[2]!rng_ForecastColumnLookup,0))</f>
        <v>20.851318793691796</v>
      </c>
      <c r="V24" s="65">
        <f>INDEX([2]!tbl_Forecast,MATCH($D$8&amp;$C24&amp;$D$7,[2]!rng_ForecastRowLookup,0),MATCH(V$11,[2]!rng_ForecastColumnLookup,0))</f>
        <v>20.75290056898557</v>
      </c>
      <c r="W24" s="65">
        <f>INDEX([2]!tbl_Forecast,MATCH($D$8&amp;$C24&amp;$D$7,[2]!rng_ForecastRowLookup,0),MATCH(W$11,[2]!rng_ForecastColumnLookup,0))</f>
        <v>20.654946878299963</v>
      </c>
      <c r="X24" s="65">
        <f>INDEX([2]!tbl_Forecast,MATCH($D$8&amp;$C24&amp;$D$7,[2]!rng_ForecastRowLookup,0),MATCH(X$11,[2]!rng_ForecastColumnLookup,0))</f>
        <v>20.557455529034385</v>
      </c>
      <c r="Y24" s="71"/>
      <c r="Z24" s="70"/>
    </row>
    <row r="25" spans="1:26">
      <c r="B25" s="24"/>
      <c r="C25" s="24" t="s">
        <v>264</v>
      </c>
      <c r="D25" s="24">
        <v>13</v>
      </c>
      <c r="E25" s="65">
        <f>INDEX([2]!tbl_Forecast,MATCH($D$8&amp;$C25&amp;$D$7,[2]!rng_ForecastRowLookup,0),MATCH(E$11,[2]!rng_ForecastColumnLookup,0))</f>
        <v>51.550857208753726</v>
      </c>
      <c r="F25" s="65">
        <f>INDEX([2]!tbl_Forecast,MATCH($D$8&amp;$C25&amp;$D$7,[2]!rng_ForecastRowLookup,0),MATCH(F$11,[2]!rng_ForecastColumnLookup,0))</f>
        <v>51.307537162728408</v>
      </c>
      <c r="G25" s="65">
        <f>INDEX([2]!tbl_Forecast,MATCH($D$8&amp;$C25&amp;$D$7,[2]!rng_ForecastRowLookup,0),MATCH(G$11,[2]!rng_ForecastColumnLookup,0))</f>
        <v>51.065365587320336</v>
      </c>
      <c r="H25" s="65">
        <f>INDEX([2]!tbl_Forecast,MATCH($D$8&amp;$C25&amp;$D$7,[2]!rng_ForecastRowLookup,0),MATCH(H$11,[2]!rng_ForecastColumnLookup,0))</f>
        <v>50.824337061748189</v>
      </c>
      <c r="I25" s="65">
        <f>INDEX([2]!tbl_Forecast,MATCH($D$8&amp;$C25&amp;$D$7,[2]!rng_ForecastRowLookup,0),MATCH(I$11,[2]!rng_ForecastColumnLookup,0))</f>
        <v>50.584446190816735</v>
      </c>
      <c r="J25" s="65">
        <f>INDEX([2]!tbl_Forecast,MATCH($D$8&amp;$C25&amp;$D$7,[2]!rng_ForecastRowLookup,0),MATCH(J$11,[2]!rng_ForecastColumnLookup,0))</f>
        <v>50.345687604796083</v>
      </c>
      <c r="K25" s="65">
        <f>INDEX([2]!tbl_Forecast,MATCH($D$8&amp;$C25&amp;$D$7,[2]!rng_ForecastRowLookup,0),MATCH(K$11,[2]!rng_ForecastColumnLookup,0))</f>
        <v>50.108055959301453</v>
      </c>
      <c r="L25" s="65">
        <f>INDEX([2]!tbl_Forecast,MATCH($D$8&amp;$C25&amp;$D$7,[2]!rng_ForecastRowLookup,0),MATCH(L$11,[2]!rng_ForecastColumnLookup,0))</f>
        <v>49.871545935173543</v>
      </c>
      <c r="M25" s="65">
        <f>INDEX([2]!tbl_Forecast,MATCH($D$8&amp;$C25&amp;$D$7,[2]!rng_ForecastRowLookup,0),MATCH(M$11,[2]!rng_ForecastColumnLookup,0))</f>
        <v>49.636152238359529</v>
      </c>
      <c r="N25" s="65">
        <f>INDEX([2]!tbl_Forecast,MATCH($D$8&amp;$C25&amp;$D$7,[2]!rng_ForecastRowLookup,0),MATCH(N$11,[2]!rng_ForecastColumnLookup,0))</f>
        <v>49.40186959979448</v>
      </c>
      <c r="O25" s="65">
        <f>INDEX([2]!tbl_Forecast,MATCH($D$8&amp;$C25&amp;$D$7,[2]!rng_ForecastRowLookup,0),MATCH(O$11,[2]!rng_ForecastColumnLookup,0))</f>
        <v>49.168692775283453</v>
      </c>
      <c r="P25" s="65">
        <f>INDEX([2]!tbl_Forecast,MATCH($D$8&amp;$C25&amp;$D$7,[2]!rng_ForecastRowLookup,0),MATCH(P$11,[2]!rng_ForecastColumnLookup,0))</f>
        <v>48.936616545384119</v>
      </c>
      <c r="Q25" s="65">
        <f>INDEX([2]!tbl_Forecast,MATCH($D$8&amp;$C25&amp;$D$7,[2]!rng_ForecastRowLookup,0),MATCH(Q$11,[2]!rng_ForecastColumnLookup,0))</f>
        <v>48.705635715289908</v>
      </c>
      <c r="R25" s="65">
        <f>INDEX([2]!tbl_Forecast,MATCH($D$8&amp;$C25&amp;$D$7,[2]!rng_ForecastRowLookup,0),MATCH(R$11,[2]!rng_ForecastColumnLookup,0))</f>
        <v>48.475745114713739</v>
      </c>
      <c r="S25" s="65">
        <f>INDEX([2]!tbl_Forecast,MATCH($D$8&amp;$C25&amp;$D$7,[2]!rng_ForecastRowLookup,0),MATCH(S$11,[2]!rng_ForecastColumnLookup,0))</f>
        <v>48.246939597772297</v>
      </c>
      <c r="T25" s="65">
        <f>INDEX([2]!tbl_Forecast,MATCH($D$8&amp;$C25&amp;$D$7,[2]!rng_ForecastRowLookup,0),MATCH(T$11,[2]!rng_ForecastColumnLookup,0))</f>
        <v>48.019214042870807</v>
      </c>
      <c r="U25" s="65">
        <f>INDEX([2]!tbl_Forecast,MATCH($D$8&amp;$C25&amp;$D$7,[2]!rng_ForecastRowLookup,0),MATCH(U$11,[2]!rng_ForecastColumnLookup,0))</f>
        <v>47.792563352588466</v>
      </c>
      <c r="V25" s="65">
        <f>INDEX([2]!tbl_Forecast,MATCH($D$8&amp;$C25&amp;$D$7,[2]!rng_ForecastRowLookup,0),MATCH(V$11,[2]!rng_ForecastColumnLookup,0))</f>
        <v>47.56698245356425</v>
      </c>
      <c r="W25" s="65">
        <f>INDEX([2]!tbl_Forecast,MATCH($D$8&amp;$C25&amp;$D$7,[2]!rng_ForecastRowLookup,0),MATCH(W$11,[2]!rng_ForecastColumnLookup,0))</f>
        <v>47.342466296383435</v>
      </c>
      <c r="X25" s="65">
        <f>INDEX([2]!tbl_Forecast,MATCH($D$8&amp;$C25&amp;$D$7,[2]!rng_ForecastRowLookup,0),MATCH(X$11,[2]!rng_ForecastColumnLookup,0))</f>
        <v>47.119009855464505</v>
      </c>
      <c r="Y25" s="71"/>
      <c r="Z25" s="70"/>
    </row>
    <row r="26" spans="1:26">
      <c r="B26" s="24"/>
      <c r="C26" s="24" t="s">
        <v>257</v>
      </c>
      <c r="D26" s="98">
        <v>14</v>
      </c>
      <c r="E26" s="65">
        <f>INDEX([2]!tbl_Forecast,MATCH($D$8&amp;$C26&amp;$D$7,[2]!rng_ForecastRowLookup,0),MATCH(E$11,[2]!rng_ForecastColumnLookup,0))</f>
        <v>170.15189589049527</v>
      </c>
      <c r="F26" s="65">
        <f>INDEX([2]!tbl_Forecast,MATCH($D$8&amp;$C26&amp;$D$7,[2]!rng_ForecastRowLookup,0),MATCH(F$11,[2]!rng_ForecastColumnLookup,0))</f>
        <v>169.74353134035809</v>
      </c>
      <c r="G26" s="65">
        <f>INDEX([2]!tbl_Forecast,MATCH($D$8&amp;$C26&amp;$D$7,[2]!rng_ForecastRowLookup,0),MATCH(G$11,[2]!rng_ForecastColumnLookup,0))</f>
        <v>169.33614686514122</v>
      </c>
      <c r="H26" s="65">
        <f>INDEX([2]!tbl_Forecast,MATCH($D$8&amp;$C26&amp;$D$7,[2]!rng_ForecastRowLookup,0),MATCH(H$11,[2]!rng_ForecastColumnLookup,0))</f>
        <v>168.92974011266489</v>
      </c>
      <c r="I26" s="65">
        <f>INDEX([2]!tbl_Forecast,MATCH($D$8&amp;$C26&amp;$D$7,[2]!rng_ForecastRowLookup,0),MATCH(I$11,[2]!rng_ForecastColumnLookup,0))</f>
        <v>168.52430873639449</v>
      </c>
      <c r="J26" s="65">
        <f>INDEX([2]!tbl_Forecast,MATCH($D$8&amp;$C26&amp;$D$7,[2]!rng_ForecastRowLookup,0),MATCH(J$11,[2]!rng_ForecastColumnLookup,0))</f>
        <v>168.11985039542716</v>
      </c>
      <c r="K26" s="65">
        <f>INDEX([2]!tbl_Forecast,MATCH($D$8&amp;$C26&amp;$D$7,[2]!rng_ForecastRowLookup,0),MATCH(K$11,[2]!rng_ForecastColumnLookup,0))</f>
        <v>167.71636275447813</v>
      </c>
      <c r="L26" s="65">
        <f>INDEX([2]!tbl_Forecast,MATCH($D$8&amp;$C26&amp;$D$7,[2]!rng_ForecastRowLookup,0),MATCH(L$11,[2]!rng_ForecastColumnLookup,0))</f>
        <v>167.31384348386743</v>
      </c>
      <c r="M26" s="65">
        <f>INDEX([2]!tbl_Forecast,MATCH($D$8&amp;$C26&amp;$D$7,[2]!rng_ForecastRowLookup,0),MATCH(M$11,[2]!rng_ForecastColumnLookup,0))</f>
        <v>166.91229025950614</v>
      </c>
      <c r="N26" s="65">
        <f>INDEX([2]!tbl_Forecast,MATCH($D$8&amp;$C26&amp;$D$7,[2]!rng_ForecastRowLookup,0),MATCH(N$11,[2]!rng_ForecastColumnLookup,0))</f>
        <v>166.51170076288332</v>
      </c>
      <c r="O26" s="65">
        <f>INDEX([2]!tbl_Forecast,MATCH($D$8&amp;$C26&amp;$D$7,[2]!rng_ForecastRowLookup,0),MATCH(O$11,[2]!rng_ForecastColumnLookup,0))</f>
        <v>166.11207268105238</v>
      </c>
      <c r="P26" s="65">
        <f>INDEX([2]!tbl_Forecast,MATCH($D$8&amp;$C26&amp;$D$7,[2]!rng_ForecastRowLookup,0),MATCH(P$11,[2]!rng_ForecastColumnLookup,0))</f>
        <v>165.7134037066179</v>
      </c>
      <c r="Q26" s="65">
        <f>INDEX([2]!tbl_Forecast,MATCH($D$8&amp;$C26&amp;$D$7,[2]!rng_ForecastRowLookup,0),MATCH(Q$11,[2]!rng_ForecastColumnLookup,0))</f>
        <v>165.31569153772202</v>
      </c>
      <c r="R26" s="65">
        <f>INDEX([2]!tbl_Forecast,MATCH($D$8&amp;$C26&amp;$D$7,[2]!rng_ForecastRowLookup,0),MATCH(R$11,[2]!rng_ForecastColumnLookup,0))</f>
        <v>164.91893387803151</v>
      </c>
      <c r="S26" s="65">
        <f>INDEX([2]!tbl_Forecast,MATCH($D$8&amp;$C26&amp;$D$7,[2]!rng_ForecastRowLookup,0),MATCH(S$11,[2]!rng_ForecastColumnLookup,0))</f>
        <v>164.52312843672422</v>
      </c>
      <c r="T26" s="65">
        <f>INDEX([2]!tbl_Forecast,MATCH($D$8&amp;$C26&amp;$D$7,[2]!rng_ForecastRowLookup,0),MATCH(T$11,[2]!rng_ForecastColumnLookup,0))</f>
        <v>164.12827292847609</v>
      </c>
      <c r="U26" s="65">
        <f>INDEX([2]!tbl_Forecast,MATCH($D$8&amp;$C26&amp;$D$7,[2]!rng_ForecastRowLookup,0),MATCH(U$11,[2]!rng_ForecastColumnLookup,0))</f>
        <v>163.73436507344778</v>
      </c>
      <c r="V26" s="65">
        <f>INDEX([2]!tbl_Forecast,MATCH($D$8&amp;$C26&amp;$D$7,[2]!rng_ForecastRowLookup,0),MATCH(V$11,[2]!rng_ForecastColumnLookup,0))</f>
        <v>163.3414025972715</v>
      </c>
      <c r="W26" s="65">
        <f>INDEX([2]!tbl_Forecast,MATCH($D$8&amp;$C26&amp;$D$7,[2]!rng_ForecastRowLookup,0),MATCH(W$11,[2]!rng_ForecastColumnLookup,0))</f>
        <v>162.94938323103807</v>
      </c>
      <c r="X26" s="65">
        <f>INDEX([2]!tbl_Forecast,MATCH($D$8&amp;$C26&amp;$D$7,[2]!rng_ForecastRowLookup,0),MATCH(X$11,[2]!rng_ForecastColumnLookup,0))</f>
        <v>162.55830471128357</v>
      </c>
      <c r="Y26" s="71"/>
      <c r="Z26" s="70"/>
    </row>
    <row r="27" spans="1:26">
      <c r="B27" s="24"/>
      <c r="C27" s="24" t="s">
        <v>590</v>
      </c>
      <c r="D27" s="98">
        <v>15</v>
      </c>
      <c r="E27" s="65">
        <f>INDEX([2]!tbl_Forecast,MATCH($D$8&amp;$C27&amp;$D$7,[2]!rng_ForecastRowLookup,0),MATCH(E$11,[2]!rng_ForecastColumnLookup,0))</f>
        <v>105.02947953487826</v>
      </c>
      <c r="F27" s="65">
        <f>INDEX([2]!tbl_Forecast,MATCH($D$8&amp;$C27&amp;$D$7,[2]!rng_ForecastRowLookup,0),MATCH(F$11,[2]!rng_ForecastColumnLookup,0))</f>
        <v>104.80891762785501</v>
      </c>
      <c r="G27" s="65">
        <f>INDEX([2]!tbl_Forecast,MATCH($D$8&amp;$C27&amp;$D$7,[2]!rng_ForecastRowLookup,0),MATCH(G$11,[2]!rng_ForecastColumnLookup,0))</f>
        <v>104.58881890083651</v>
      </c>
      <c r="H27" s="65">
        <f>INDEX([2]!tbl_Forecast,MATCH($D$8&amp;$C27&amp;$D$7,[2]!rng_ForecastRowLookup,0),MATCH(H$11,[2]!rng_ForecastColumnLookup,0))</f>
        <v>104.36918238114475</v>
      </c>
      <c r="I27" s="65">
        <f>INDEX([2]!tbl_Forecast,MATCH($D$8&amp;$C27&amp;$D$7,[2]!rng_ForecastRowLookup,0),MATCH(I$11,[2]!rng_ForecastColumnLookup,0))</f>
        <v>104.15000709814436</v>
      </c>
      <c r="J27" s="65">
        <f>INDEX([2]!tbl_Forecast,MATCH($D$8&amp;$C27&amp;$D$7,[2]!rng_ForecastRowLookup,0),MATCH(J$11,[2]!rng_ForecastColumnLookup,0))</f>
        <v>103.93129208323826</v>
      </c>
      <c r="K27" s="65">
        <f>INDEX([2]!tbl_Forecast,MATCH($D$8&amp;$C27&amp;$D$7,[2]!rng_ForecastRowLookup,0),MATCH(K$11,[2]!rng_ForecastColumnLookup,0))</f>
        <v>103.71303636986346</v>
      </c>
      <c r="L27" s="65">
        <f>INDEX([2]!tbl_Forecast,MATCH($D$8&amp;$C27&amp;$D$7,[2]!rng_ForecastRowLookup,0),MATCH(L$11,[2]!rng_ForecastColumnLookup,0))</f>
        <v>103.49523899348674</v>
      </c>
      <c r="M27" s="65">
        <f>INDEX([2]!tbl_Forecast,MATCH($D$8&amp;$C27&amp;$D$7,[2]!rng_ForecastRowLookup,0),MATCH(M$11,[2]!rng_ForecastColumnLookup,0))</f>
        <v>103.27789899160042</v>
      </c>
      <c r="N27" s="65">
        <f>INDEX([2]!tbl_Forecast,MATCH($D$8&amp;$C27&amp;$D$7,[2]!rng_ForecastRowLookup,0),MATCH(N$11,[2]!rng_ForecastColumnLookup,0))</f>
        <v>103.06101540371807</v>
      </c>
      <c r="O27" s="65">
        <f>INDEX([2]!tbl_Forecast,MATCH($D$8&amp;$C27&amp;$D$7,[2]!rng_ForecastRowLookup,0),MATCH(O$11,[2]!rng_ForecastColumnLookup,0))</f>
        <v>102.84458727137024</v>
      </c>
      <c r="P27" s="65">
        <f>INDEX([2]!tbl_Forecast,MATCH($D$8&amp;$C27&amp;$D$7,[2]!rng_ForecastRowLookup,0),MATCH(P$11,[2]!rng_ForecastColumnLookup,0))</f>
        <v>102.62861363810038</v>
      </c>
      <c r="Q27" s="65">
        <f>INDEX([2]!tbl_Forecast,MATCH($D$8&amp;$C27&amp;$D$7,[2]!rng_ForecastRowLookup,0),MATCH(Q$11,[2]!rng_ForecastColumnLookup,0))</f>
        <v>102.41309354946036</v>
      </c>
      <c r="R27" s="65">
        <f>INDEX([2]!tbl_Forecast,MATCH($D$8&amp;$C27&amp;$D$7,[2]!rng_ForecastRowLookup,0),MATCH(R$11,[2]!rng_ForecastColumnLookup,0))</f>
        <v>102.19802605300649</v>
      </c>
      <c r="S27" s="65">
        <f>INDEX([2]!tbl_Forecast,MATCH($D$8&amp;$C27&amp;$D$7,[2]!rng_ForecastRowLookup,0),MATCH(S$11,[2]!rng_ForecastColumnLookup,0))</f>
        <v>101.98341019829519</v>
      </c>
      <c r="T27" s="65">
        <f>INDEX([2]!tbl_Forecast,MATCH($D$8&amp;$C27&amp;$D$7,[2]!rng_ForecastRowLookup,0),MATCH(T$11,[2]!rng_ForecastColumnLookup,0))</f>
        <v>101.76924503687877</v>
      </c>
      <c r="U27" s="65">
        <f>INDEX([2]!tbl_Forecast,MATCH($D$8&amp;$C27&amp;$D$7,[2]!rng_ForecastRowLookup,0),MATCH(U$11,[2]!rng_ForecastColumnLookup,0))</f>
        <v>101.55552962230132</v>
      </c>
      <c r="V27" s="65">
        <f>INDEX([2]!tbl_Forecast,MATCH($D$8&amp;$C27&amp;$D$7,[2]!rng_ForecastRowLookup,0),MATCH(V$11,[2]!rng_ForecastColumnLookup,0))</f>
        <v>101.3422630100945</v>
      </c>
      <c r="W27" s="65">
        <f>INDEX([2]!tbl_Forecast,MATCH($D$8&amp;$C27&amp;$D$7,[2]!rng_ForecastRowLookup,0),MATCH(W$11,[2]!rng_ForecastColumnLookup,0))</f>
        <v>101.1294442577733</v>
      </c>
      <c r="X27" s="65">
        <f>INDEX([2]!tbl_Forecast,MATCH($D$8&amp;$C27&amp;$D$7,[2]!rng_ForecastRowLookup,0),MATCH(X$11,[2]!rng_ForecastColumnLookup,0))</f>
        <v>100.91707242483197</v>
      </c>
      <c r="Y27" s="71"/>
      <c r="Z27" s="70"/>
    </row>
    <row r="28" spans="1:26">
      <c r="B28" s="24"/>
      <c r="C28" s="24" t="s">
        <v>263</v>
      </c>
      <c r="D28" s="24">
        <v>16</v>
      </c>
      <c r="E28" s="65">
        <f>INDEX([2]!tbl_Forecast,MATCH($D$8&amp;$C28&amp;$D$7,[2]!rng_ForecastRowLookup,0),MATCH(E$11,[2]!rng_ForecastColumnLookup,0))</f>
        <v>128.74820917277606</v>
      </c>
      <c r="F28" s="65">
        <f>INDEX([2]!tbl_Forecast,MATCH($D$8&amp;$C28&amp;$D$7,[2]!rng_ForecastRowLookup,0),MATCH(F$11,[2]!rng_ForecastColumnLookup,0))</f>
        <v>128.43921347076139</v>
      </c>
      <c r="G28" s="65">
        <f>INDEX([2]!tbl_Forecast,MATCH($D$8&amp;$C28&amp;$D$7,[2]!rng_ForecastRowLookup,0),MATCH(G$11,[2]!rng_ForecastColumnLookup,0))</f>
        <v>128.1309593584316</v>
      </c>
      <c r="H28" s="65">
        <f>INDEX([2]!tbl_Forecast,MATCH($D$8&amp;$C28&amp;$D$7,[2]!rng_ForecastRowLookup,0),MATCH(H$11,[2]!rng_ForecastColumnLookup,0))</f>
        <v>127.82344505597135</v>
      </c>
      <c r="I28" s="65">
        <f>INDEX([2]!tbl_Forecast,MATCH($D$8&amp;$C28&amp;$D$7,[2]!rng_ForecastRowLookup,0),MATCH(I$11,[2]!rng_ForecastColumnLookup,0))</f>
        <v>127.51666878783702</v>
      </c>
      <c r="J28" s="65">
        <f>INDEX([2]!tbl_Forecast,MATCH($D$8&amp;$C28&amp;$D$7,[2]!rng_ForecastRowLookup,0),MATCH(J$11,[2]!rng_ForecastColumnLookup,0))</f>
        <v>127.21062878274621</v>
      </c>
      <c r="K28" s="65">
        <f>INDEX([2]!tbl_Forecast,MATCH($D$8&amp;$C28&amp;$D$7,[2]!rng_ForecastRowLookup,0),MATCH(K$11,[2]!rng_ForecastColumnLookup,0))</f>
        <v>126.90532327366765</v>
      </c>
      <c r="L28" s="65">
        <f>INDEX([2]!tbl_Forecast,MATCH($D$8&amp;$C28&amp;$D$7,[2]!rng_ForecastRowLookup,0),MATCH(L$11,[2]!rng_ForecastColumnLookup,0))</f>
        <v>126.60075049781085</v>
      </c>
      <c r="M28" s="65">
        <f>INDEX([2]!tbl_Forecast,MATCH($D$8&amp;$C28&amp;$D$7,[2]!rng_ForecastRowLookup,0),MATCH(M$11,[2]!rng_ForecastColumnLookup,0))</f>
        <v>126.29690869661611</v>
      </c>
      <c r="N28" s="65">
        <f>INDEX([2]!tbl_Forecast,MATCH($D$8&amp;$C28&amp;$D$7,[2]!rng_ForecastRowLookup,0),MATCH(N$11,[2]!rng_ForecastColumnLookup,0))</f>
        <v>125.99379611574425</v>
      </c>
      <c r="O28" s="65">
        <f>INDEX([2]!tbl_Forecast,MATCH($D$8&amp;$C28&amp;$D$7,[2]!rng_ForecastRowLookup,0),MATCH(O$11,[2]!rng_ForecastColumnLookup,0))</f>
        <v>125.69141100506647</v>
      </c>
      <c r="P28" s="65">
        <f>INDEX([2]!tbl_Forecast,MATCH($D$8&amp;$C28&amp;$D$7,[2]!rng_ForecastRowLookup,0),MATCH(P$11,[2]!rng_ForecastColumnLookup,0))</f>
        <v>125.3897516186543</v>
      </c>
      <c r="Q28" s="65">
        <f>INDEX([2]!tbl_Forecast,MATCH($D$8&amp;$C28&amp;$D$7,[2]!rng_ForecastRowLookup,0),MATCH(Q$11,[2]!rng_ForecastColumnLookup,0))</f>
        <v>125.08881621476955</v>
      </c>
      <c r="R28" s="65">
        <f>INDEX([2]!tbl_Forecast,MATCH($D$8&amp;$C28&amp;$D$7,[2]!rng_ForecastRowLookup,0),MATCH(R$11,[2]!rng_ForecastColumnLookup,0))</f>
        <v>124.78860305585408</v>
      </c>
      <c r="S28" s="65">
        <f>INDEX([2]!tbl_Forecast,MATCH($D$8&amp;$C28&amp;$D$7,[2]!rng_ForecastRowLookup,0),MATCH(S$11,[2]!rng_ForecastColumnLookup,0))</f>
        <v>124.48911040852005</v>
      </c>
      <c r="T28" s="65">
        <f>INDEX([2]!tbl_Forecast,MATCH($D$8&amp;$C28&amp;$D$7,[2]!rng_ForecastRowLookup,0),MATCH(T$11,[2]!rng_ForecastColumnLookup,0))</f>
        <v>124.1903365435396</v>
      </c>
      <c r="U28" s="65">
        <f>INDEX([2]!tbl_Forecast,MATCH($D$8&amp;$C28&amp;$D$7,[2]!rng_ForecastRowLookup,0),MATCH(U$11,[2]!rng_ForecastColumnLookup,0))</f>
        <v>123.8922797358351</v>
      </c>
      <c r="V28" s="65">
        <f>INDEX([2]!tbl_Forecast,MATCH($D$8&amp;$C28&amp;$D$7,[2]!rng_ForecastRowLookup,0),MATCH(V$11,[2]!rng_ForecastColumnLookup,0))</f>
        <v>123.59493826446912</v>
      </c>
      <c r="W28" s="65">
        <f>INDEX([2]!tbl_Forecast,MATCH($D$8&amp;$C28&amp;$D$7,[2]!rng_ForecastRowLookup,0),MATCH(W$11,[2]!rng_ForecastColumnLookup,0))</f>
        <v>123.29831041263438</v>
      </c>
      <c r="X28" s="65">
        <f>INDEX([2]!tbl_Forecast,MATCH($D$8&amp;$C28&amp;$D$7,[2]!rng_ForecastRowLookup,0),MATCH(X$11,[2]!rng_ForecastColumnLookup,0))</f>
        <v>123.00239446764408</v>
      </c>
      <c r="Y28" s="71"/>
      <c r="Z28" s="70"/>
    </row>
    <row r="29" spans="1:26">
      <c r="B29" s="24"/>
      <c r="C29" s="24" t="s">
        <v>253</v>
      </c>
      <c r="D29" s="24">
        <v>17</v>
      </c>
      <c r="E29" s="65">
        <f>INDEX([2]!tbl_Forecast,MATCH($D$8&amp;$C29&amp;$D$7,[2]!rng_ForecastRowLookup,0),MATCH(E$11,[2]!rng_ForecastColumnLookup,0))</f>
        <v>375.90224900649127</v>
      </c>
      <c r="F29" s="65">
        <f>INDEX([2]!tbl_Forecast,MATCH($D$8&amp;$C29&amp;$D$7,[2]!rng_ForecastRowLookup,0),MATCH(F$11,[2]!rng_ForecastColumnLookup,0))</f>
        <v>374.21570091594884</v>
      </c>
      <c r="G29" s="65">
        <f>INDEX([2]!tbl_Forecast,MATCH($D$8&amp;$C29&amp;$D$7,[2]!rng_ForecastRowLookup,0),MATCH(G$11,[2]!rng_ForecastColumnLookup,0))</f>
        <v>372.53671980450594</v>
      </c>
      <c r="H29" s="65">
        <f>INDEX([2]!tbl_Forecast,MATCH($D$8&amp;$C29&amp;$D$7,[2]!rng_ForecastRowLookup,0),MATCH(H$11,[2]!rng_ForecastColumnLookup,0))</f>
        <v>370.86527172164978</v>
      </c>
      <c r="I29" s="65">
        <f>INDEX([2]!tbl_Forecast,MATCH($D$8&amp;$C29&amp;$D$7,[2]!rng_ForecastRowLookup,0),MATCH(I$11,[2]!rng_ForecastColumnLookup,0))</f>
        <v>369.20132286919198</v>
      </c>
      <c r="J29" s="65">
        <f>INDEX([2]!tbl_Forecast,MATCH($D$8&amp;$C29&amp;$D$7,[2]!rng_ForecastRowLookup,0),MATCH(J$11,[2]!rng_ForecastColumnLookup,0))</f>
        <v>367.54483960058553</v>
      </c>
      <c r="K29" s="65">
        <f>INDEX([2]!tbl_Forecast,MATCH($D$8&amp;$C29&amp;$D$7,[2]!rng_ForecastRowLookup,0),MATCH(K$11,[2]!rng_ForecastColumnLookup,0))</f>
        <v>365.89578842024423</v>
      </c>
      <c r="L29" s="65">
        <f>INDEX([2]!tbl_Forecast,MATCH($D$8&amp;$C29&amp;$D$7,[2]!rng_ForecastRowLookup,0),MATCH(L$11,[2]!rng_ForecastColumnLookup,0))</f>
        <v>364.25413598286536</v>
      </c>
      <c r="M29" s="65">
        <f>INDEX([2]!tbl_Forecast,MATCH($D$8&amp;$C29&amp;$D$7,[2]!rng_ForecastRowLookup,0),MATCH(M$11,[2]!rng_ForecastColumnLookup,0))</f>
        <v>362.6198490927556</v>
      </c>
      <c r="N29" s="65">
        <f>INDEX([2]!tbl_Forecast,MATCH($D$8&amp;$C29&amp;$D$7,[2]!rng_ForecastRowLookup,0),MATCH(N$11,[2]!rng_ForecastColumnLookup,0))</f>
        <v>360.99289470315949</v>
      </c>
      <c r="O29" s="65">
        <f>INDEX([2]!tbl_Forecast,MATCH($D$8&amp;$C29&amp;$D$7,[2]!rng_ForecastRowLookup,0),MATCH(O$11,[2]!rng_ForecastColumnLookup,0))</f>
        <v>359.37323991559134</v>
      </c>
      <c r="P29" s="65">
        <f>INDEX([2]!tbl_Forecast,MATCH($D$8&amp;$C29&amp;$D$7,[2]!rng_ForecastRowLookup,0),MATCH(P$11,[2]!rng_ForecastColumnLookup,0))</f>
        <v>357.76085197917007</v>
      </c>
      <c r="Q29" s="65">
        <f>INDEX([2]!tbl_Forecast,MATCH($D$8&amp;$C29&amp;$D$7,[2]!rng_ForecastRowLookup,0),MATCH(Q$11,[2]!rng_ForecastColumnLookup,0))</f>
        <v>356.15569828995689</v>
      </c>
      <c r="R29" s="65">
        <f>INDEX([2]!tbl_Forecast,MATCH($D$8&amp;$C29&amp;$D$7,[2]!rng_ForecastRowLookup,0),MATCH(R$11,[2]!rng_ForecastColumnLookup,0))</f>
        <v>354.55774639029596</v>
      </c>
      <c r="S29" s="65">
        <f>INDEX([2]!tbl_Forecast,MATCH($D$8&amp;$C29&amp;$D$7,[2]!rng_ForecastRowLookup,0),MATCH(S$11,[2]!rng_ForecastColumnLookup,0))</f>
        <v>352.96696396815821</v>
      </c>
      <c r="T29" s="65">
        <f>INDEX([2]!tbl_Forecast,MATCH($D$8&amp;$C29&amp;$D$7,[2]!rng_ForecastRowLookup,0),MATCH(T$11,[2]!rng_ForecastColumnLookup,0))</f>
        <v>351.38331885648773</v>
      </c>
      <c r="U29" s="65">
        <f>INDEX([2]!tbl_Forecast,MATCH($D$8&amp;$C29&amp;$D$7,[2]!rng_ForecastRowLookup,0),MATCH(U$11,[2]!rng_ForecastColumnLookup,0))</f>
        <v>349.80677903255156</v>
      </c>
      <c r="V29" s="65">
        <f>INDEX([2]!tbl_Forecast,MATCH($D$8&amp;$C29&amp;$D$7,[2]!rng_ForecastRowLookup,0),MATCH(V$11,[2]!rng_ForecastColumnLookup,0))</f>
        <v>348.23731261729228</v>
      </c>
      <c r="W29" s="65">
        <f>INDEX([2]!tbl_Forecast,MATCH($D$8&amp;$C29&amp;$D$7,[2]!rng_ForecastRowLookup,0),MATCH(W$11,[2]!rng_ForecastColumnLookup,0))</f>
        <v>346.67488787468267</v>
      </c>
      <c r="X29" s="65">
        <f>INDEX([2]!tbl_Forecast,MATCH($D$8&amp;$C29&amp;$D$7,[2]!rng_ForecastRowLookup,0),MATCH(X$11,[2]!rng_ForecastColumnLookup,0))</f>
        <v>345.11947321108494</v>
      </c>
      <c r="Y29" s="71"/>
      <c r="Z29" s="70"/>
    </row>
    <row r="30" spans="1:26">
      <c r="B30" s="24"/>
      <c r="C30" s="24" t="s">
        <v>261</v>
      </c>
      <c r="D30" s="24">
        <v>18</v>
      </c>
      <c r="E30" s="65">
        <f>INDEX([2]!tbl_Forecast,MATCH($D$8&amp;$C30&amp;$D$7,[2]!rng_ForecastRowLookup,0),MATCH(E$11,[2]!rng_ForecastColumnLookup,0))</f>
        <v>342.64988330108076</v>
      </c>
      <c r="F30" s="65">
        <f>INDEX([2]!tbl_Forecast,MATCH($D$8&amp;$C30&amp;$D$7,[2]!rng_ForecastRowLookup,0),MATCH(F$11,[2]!rng_ForecastColumnLookup,0))</f>
        <v>339.56603435137106</v>
      </c>
      <c r="G30" s="65">
        <f>INDEX([2]!tbl_Forecast,MATCH($D$8&amp;$C30&amp;$D$7,[2]!rng_ForecastRowLookup,0),MATCH(G$11,[2]!rng_ForecastColumnLookup,0))</f>
        <v>336.50994004220871</v>
      </c>
      <c r="H30" s="65">
        <f>INDEX([2]!tbl_Forecast,MATCH($D$8&amp;$C30&amp;$D$7,[2]!rng_ForecastRowLookup,0),MATCH(H$11,[2]!rng_ForecastColumnLookup,0))</f>
        <v>333.48135058182885</v>
      </c>
      <c r="I30" s="65">
        <f>INDEX([2]!tbl_Forecast,MATCH($D$8&amp;$C30&amp;$D$7,[2]!rng_ForecastRowLookup,0),MATCH(I$11,[2]!rng_ForecastColumnLookup,0))</f>
        <v>330.48001842659238</v>
      </c>
      <c r="J30" s="65">
        <f>INDEX([2]!tbl_Forecast,MATCH($D$8&amp;$C30&amp;$D$7,[2]!rng_ForecastRowLookup,0),MATCH(J$11,[2]!rng_ForecastColumnLookup,0))</f>
        <v>327.50569826075304</v>
      </c>
      <c r="K30" s="65">
        <f>INDEX([2]!tbl_Forecast,MATCH($D$8&amp;$C30&amp;$D$7,[2]!rng_ForecastRowLookup,0),MATCH(K$11,[2]!rng_ForecastColumnLookup,0))</f>
        <v>324.55814697640625</v>
      </c>
      <c r="L30" s="65">
        <f>INDEX([2]!tbl_Forecast,MATCH($D$8&amp;$C30&amp;$D$7,[2]!rng_ForecastRowLookup,0),MATCH(L$11,[2]!rng_ForecastColumnLookup,0))</f>
        <v>321.63712365361863</v>
      </c>
      <c r="M30" s="65">
        <f>INDEX([2]!tbl_Forecast,MATCH($D$8&amp;$C30&amp;$D$7,[2]!rng_ForecastRowLookup,0),MATCH(M$11,[2]!rng_ForecastColumnLookup,0))</f>
        <v>318.7423895407361</v>
      </c>
      <c r="N30" s="65">
        <f>INDEX([2]!tbl_Forecast,MATCH($D$8&amp;$C30&amp;$D$7,[2]!rng_ForecastRowLookup,0),MATCH(N$11,[2]!rng_ForecastColumnLookup,0))</f>
        <v>315.87370803486942</v>
      </c>
      <c r="O30" s="65">
        <f>INDEX([2]!tbl_Forecast,MATCH($D$8&amp;$C30&amp;$D$7,[2]!rng_ForecastRowLookup,0),MATCH(O$11,[2]!rng_ForecastColumnLookup,0))</f>
        <v>313.03084466255564</v>
      </c>
      <c r="P30" s="65">
        <f>INDEX([2]!tbl_Forecast,MATCH($D$8&amp;$C30&amp;$D$7,[2]!rng_ForecastRowLookup,0),MATCH(P$11,[2]!rng_ForecastColumnLookup,0))</f>
        <v>310.21356706059254</v>
      </c>
      <c r="Q30" s="65">
        <f>INDEX([2]!tbl_Forecast,MATCH($D$8&amp;$C30&amp;$D$7,[2]!rng_ForecastRowLookup,0),MATCH(Q$11,[2]!rng_ForecastColumnLookup,0))</f>
        <v>307.42164495704725</v>
      </c>
      <c r="R30" s="65">
        <f>INDEX([2]!tbl_Forecast,MATCH($D$8&amp;$C30&amp;$D$7,[2]!rng_ForecastRowLookup,0),MATCH(R$11,[2]!rng_ForecastColumnLookup,0))</f>
        <v>304.65485015243382</v>
      </c>
      <c r="S30" s="65">
        <f>INDEX([2]!tbl_Forecast,MATCH($D$8&amp;$C30&amp;$D$7,[2]!rng_ForecastRowLookup,0),MATCH(S$11,[2]!rng_ForecastColumnLookup,0))</f>
        <v>301.9129565010619</v>
      </c>
      <c r="T30" s="65">
        <f>INDEX([2]!tbl_Forecast,MATCH($D$8&amp;$C30&amp;$D$7,[2]!rng_ForecastRowLookup,0),MATCH(T$11,[2]!rng_ForecastColumnLookup,0))</f>
        <v>299.19573989255235</v>
      </c>
      <c r="U30" s="65">
        <f>INDEX([2]!tbl_Forecast,MATCH($D$8&amp;$C30&amp;$D$7,[2]!rng_ForecastRowLookup,0),MATCH(U$11,[2]!rng_ForecastColumnLookup,0))</f>
        <v>296.50297823351934</v>
      </c>
      <c r="V30" s="65">
        <f>INDEX([2]!tbl_Forecast,MATCH($D$8&amp;$C30&amp;$D$7,[2]!rng_ForecastRowLookup,0),MATCH(V$11,[2]!rng_ForecastColumnLookup,0))</f>
        <v>293.83445142941764</v>
      </c>
      <c r="W30" s="65">
        <f>INDEX([2]!tbl_Forecast,MATCH($D$8&amp;$C30&amp;$D$7,[2]!rng_ForecastRowLookup,0),MATCH(W$11,[2]!rng_ForecastColumnLookup,0))</f>
        <v>291.18994136655289</v>
      </c>
      <c r="X30" s="65">
        <f>INDEX([2]!tbl_Forecast,MATCH($D$8&amp;$C30&amp;$D$7,[2]!rng_ForecastRowLookup,0),MATCH(X$11,[2]!rng_ForecastColumnLookup,0))</f>
        <v>288.5692318942539</v>
      </c>
      <c r="Y30" s="71"/>
      <c r="Z30" s="70"/>
    </row>
    <row r="31" spans="1:26">
      <c r="A31" s="24"/>
      <c r="B31" s="24"/>
      <c r="C31" s="24"/>
      <c r="D31" s="70"/>
      <c r="E31" s="71"/>
      <c r="F31" s="71"/>
      <c r="G31" s="71"/>
      <c r="H31" s="71"/>
      <c r="I31" s="71"/>
      <c r="J31" s="71"/>
      <c r="K31" s="71"/>
      <c r="L31" s="71"/>
      <c r="M31" s="71"/>
      <c r="N31" s="71"/>
      <c r="O31" s="71"/>
      <c r="P31" s="71"/>
      <c r="Q31" s="71"/>
      <c r="R31" s="71"/>
      <c r="S31" s="71"/>
      <c r="T31" s="71"/>
      <c r="U31" s="71"/>
      <c r="V31" s="71"/>
      <c r="W31" s="71"/>
      <c r="X31" s="71"/>
      <c r="Y31" s="71"/>
      <c r="Z31" s="70"/>
    </row>
    <row r="32" spans="1:26">
      <c r="A32" s="24" t="s">
        <v>591</v>
      </c>
      <c r="B32" s="24"/>
      <c r="C32" s="24" t="s">
        <v>294</v>
      </c>
      <c r="D32" s="70"/>
      <c r="E32" s="71">
        <f>SUM(E13:E30)</f>
        <v>3371.0405269479006</v>
      </c>
      <c r="F32" s="71">
        <f t="shared" ref="F32:X32" si="3">SUM(F13:F30)</f>
        <v>3356.5369104716883</v>
      </c>
      <c r="G32" s="71">
        <f t="shared" si="3"/>
        <v>3342.1075656435023</v>
      </c>
      <c r="H32" s="71">
        <f t="shared" si="3"/>
        <v>3327.7520346049623</v>
      </c>
      <c r="I32" s="71">
        <f t="shared" si="3"/>
        <v>3313.4698627952139</v>
      </c>
      <c r="J32" s="71">
        <f t="shared" si="3"/>
        <v>3299.2605989245808</v>
      </c>
      <c r="K32" s="71">
        <f t="shared" si="3"/>
        <v>3285.1237949484457</v>
      </c>
      <c r="L32" s="71">
        <f t="shared" si="3"/>
        <v>3271.0590060413433</v>
      </c>
      <c r="M32" s="71">
        <f t="shared" si="3"/>
        <v>3257.0657905712806</v>
      </c>
      <c r="N32" s="71">
        <f t="shared" si="3"/>
        <v>3243.1437100742696</v>
      </c>
      <c r="O32" s="71">
        <f t="shared" si="3"/>
        <v>3229.2923292290834</v>
      </c>
      <c r="P32" s="71">
        <f t="shared" si="3"/>
        <v>3215.5112158322117</v>
      </c>
      <c r="Q32" s="71">
        <f t="shared" si="3"/>
        <v>3201.7999407730422</v>
      </c>
      <c r="R32" s="71">
        <f t="shared" si="3"/>
        <v>3188.1580780092468</v>
      </c>
      <c r="S32" s="71">
        <f t="shared" si="3"/>
        <v>3174.5852045423726</v>
      </c>
      <c r="T32" s="71">
        <f t="shared" si="3"/>
        <v>3161.0809003936483</v>
      </c>
      <c r="U32" s="71">
        <f t="shared" si="3"/>
        <v>3147.644748579979</v>
      </c>
      <c r="V32" s="71">
        <f t="shared" si="3"/>
        <v>3134.2763350901637</v>
      </c>
      <c r="W32" s="71">
        <f t="shared" si="3"/>
        <v>3120.9752488612994</v>
      </c>
      <c r="X32" s="71">
        <f t="shared" si="3"/>
        <v>3107.74108175539</v>
      </c>
      <c r="Y32" s="71"/>
      <c r="Z32" s="70"/>
    </row>
    <row r="33" spans="1:26">
      <c r="A33" s="24"/>
      <c r="B33" s="24"/>
      <c r="C33" s="24"/>
      <c r="D33" s="70"/>
      <c r="E33" s="71"/>
      <c r="F33" s="71"/>
      <c r="G33" s="71"/>
      <c r="H33" s="71"/>
      <c r="I33" s="71"/>
      <c r="J33" s="71"/>
      <c r="K33" s="71"/>
      <c r="L33" s="71"/>
      <c r="M33" s="71"/>
      <c r="N33" s="71"/>
      <c r="O33" s="71"/>
      <c r="P33" s="71"/>
      <c r="Q33" s="71"/>
      <c r="R33" s="71"/>
      <c r="S33" s="71"/>
      <c r="T33" s="71"/>
      <c r="U33" s="71"/>
      <c r="V33" s="71"/>
      <c r="W33" s="71"/>
      <c r="X33" s="71"/>
      <c r="Y33" s="71"/>
      <c r="Z33" s="70"/>
    </row>
    <row r="34" spans="1:26">
      <c r="A34" s="292" t="s">
        <v>613</v>
      </c>
      <c r="B34" s="293">
        <f>CBSA!$AK$36</f>
        <v>1.2141867612293149</v>
      </c>
      <c r="C34" s="24" t="s">
        <v>619</v>
      </c>
      <c r="D34" s="70"/>
      <c r="E34" s="71">
        <f>E32*1000000*$B$34/1000</f>
        <v>4093072.7793876347</v>
      </c>
      <c r="F34" s="71">
        <f t="shared" ref="F34:X34" si="4">F32*1000000*$B$34/1000</f>
        <v>4075462.68027227</v>
      </c>
      <c r="G34" s="71">
        <f t="shared" si="4"/>
        <v>4057942.7608086737</v>
      </c>
      <c r="H34" s="71">
        <f t="shared" si="4"/>
        <v>4040512.4650712623</v>
      </c>
      <c r="I34" s="71">
        <f t="shared" si="4"/>
        <v>4023171.2411382627</v>
      </c>
      <c r="J34" s="71">
        <f t="shared" si="4"/>
        <v>4005918.5410597264</v>
      </c>
      <c r="K34" s="71">
        <f t="shared" si="4"/>
        <v>3988753.8208258096</v>
      </c>
      <c r="L34" s="71">
        <f t="shared" si="4"/>
        <v>3971676.5403353204</v>
      </c>
      <c r="M34" s="71">
        <f t="shared" si="4"/>
        <v>3954686.1633645413</v>
      </c>
      <c r="N34" s="71">
        <f t="shared" si="4"/>
        <v>3937782.1575363022</v>
      </c>
      <c r="O34" s="71">
        <f t="shared" si="4"/>
        <v>3920963.9942893316</v>
      </c>
      <c r="P34" s="71">
        <f t="shared" si="4"/>
        <v>3904231.14884785</v>
      </c>
      <c r="Q34" s="71">
        <f t="shared" si="4"/>
        <v>3887583.1001914325</v>
      </c>
      <c r="R34" s="71">
        <f t="shared" si="4"/>
        <v>3871019.331025125</v>
      </c>
      <c r="S34" s="71">
        <f t="shared" si="4"/>
        <v>3854539.327749806</v>
      </c>
      <c r="T34" s="71">
        <f t="shared" si="4"/>
        <v>3838142.5804328104</v>
      </c>
      <c r="U34" s="71">
        <f t="shared" si="4"/>
        <v>3821828.5827787858</v>
      </c>
      <c r="V34" s="71">
        <f t="shared" si="4"/>
        <v>3805596.8321008128</v>
      </c>
      <c r="W34" s="71">
        <f t="shared" si="4"/>
        <v>3789446.8292917563</v>
      </c>
      <c r="X34" s="71">
        <f t="shared" si="4"/>
        <v>3773378.0787958647</v>
      </c>
      <c r="Y34" s="71"/>
      <c r="Z34" s="70"/>
    </row>
    <row r="35" spans="1:26">
      <c r="A35" s="24"/>
      <c r="B35" s="24"/>
      <c r="C35" s="24"/>
      <c r="D35" s="70"/>
      <c r="E35" s="71"/>
      <c r="F35" s="71"/>
      <c r="G35" s="71"/>
      <c r="H35" s="71"/>
      <c r="I35" s="71"/>
      <c r="J35" s="71"/>
      <c r="K35" s="71"/>
      <c r="L35" s="71"/>
      <c r="M35" s="71"/>
      <c r="N35" s="71"/>
      <c r="O35" s="71"/>
      <c r="P35" s="71"/>
      <c r="Q35" s="71"/>
      <c r="R35" s="71"/>
      <c r="S35" s="71"/>
      <c r="T35" s="71"/>
      <c r="U35" s="71"/>
      <c r="V35" s="71"/>
      <c r="W35" s="71"/>
      <c r="X35" s="71"/>
      <c r="Y35" s="71"/>
      <c r="Z35" s="70"/>
    </row>
    <row r="36" spans="1:26">
      <c r="A36" s="24"/>
      <c r="B36" s="24"/>
      <c r="C36" s="24"/>
      <c r="D36" s="70"/>
      <c r="E36" s="71"/>
      <c r="F36" s="71"/>
      <c r="G36" s="71"/>
      <c r="H36" s="71"/>
      <c r="I36" s="71"/>
      <c r="J36" s="71"/>
      <c r="K36" s="71"/>
      <c r="L36" s="71"/>
      <c r="M36" s="71"/>
      <c r="N36" s="71"/>
      <c r="O36" s="71"/>
      <c r="P36" s="71"/>
      <c r="Q36" s="71"/>
      <c r="R36" s="71"/>
      <c r="S36" s="71"/>
      <c r="T36" s="71"/>
      <c r="U36" s="71"/>
      <c r="V36" s="71"/>
      <c r="W36" s="71"/>
      <c r="X36" s="71"/>
      <c r="Y36" s="71"/>
      <c r="Z36" s="70"/>
    </row>
    <row r="37" spans="1:26">
      <c r="A37" s="24"/>
      <c r="B37" s="24"/>
      <c r="C37" s="24"/>
      <c r="D37" s="70"/>
      <c r="E37" s="71"/>
      <c r="F37" s="71"/>
      <c r="G37" s="71"/>
      <c r="H37" s="71"/>
      <c r="I37" s="71"/>
      <c r="J37" s="71"/>
      <c r="K37" s="71"/>
      <c r="L37" s="71"/>
      <c r="M37" s="71"/>
      <c r="N37" s="71"/>
      <c r="O37" s="71"/>
      <c r="P37" s="71"/>
      <c r="Q37" s="71"/>
      <c r="R37" s="71"/>
      <c r="S37" s="71"/>
      <c r="T37" s="71"/>
      <c r="U37" s="71"/>
      <c r="V37" s="71"/>
      <c r="W37" s="71"/>
      <c r="X37" s="71"/>
      <c r="Y37" s="71"/>
      <c r="Z37" s="70"/>
    </row>
    <row r="38" spans="1:26">
      <c r="A38" s="24"/>
      <c r="B38" s="24"/>
      <c r="C38" s="24"/>
      <c r="D38" s="70"/>
      <c r="E38" s="71"/>
      <c r="F38" s="71"/>
      <c r="G38" s="71"/>
      <c r="H38" s="71"/>
      <c r="I38" s="71"/>
      <c r="J38" s="71"/>
      <c r="K38" s="71"/>
      <c r="L38" s="71"/>
      <c r="M38" s="71"/>
      <c r="N38" s="71"/>
      <c r="O38" s="71"/>
      <c r="P38" s="71"/>
      <c r="Q38" s="71"/>
      <c r="R38" s="71"/>
      <c r="S38" s="71"/>
      <c r="T38" s="71"/>
      <c r="U38" s="71"/>
      <c r="V38" s="71"/>
      <c r="W38" s="71"/>
      <c r="X38" s="71"/>
      <c r="Y38" s="71"/>
      <c r="Z38" s="70"/>
    </row>
    <row r="40" spans="1:26" ht="15">
      <c r="A40" s="277" t="s">
        <v>185</v>
      </c>
      <c r="B40" s="298" t="s">
        <v>623</v>
      </c>
      <c r="C40" s="24"/>
      <c r="D40" s="70"/>
      <c r="E40" s="64">
        <f t="shared" ref="E40:X40" si="5">E11</f>
        <v>2016</v>
      </c>
      <c r="F40" s="64">
        <f t="shared" si="5"/>
        <v>2017</v>
      </c>
      <c r="G40" s="64">
        <f t="shared" si="5"/>
        <v>2018</v>
      </c>
      <c r="H40" s="64">
        <f t="shared" si="5"/>
        <v>2019</v>
      </c>
      <c r="I40" s="64">
        <f t="shared" si="5"/>
        <v>2020</v>
      </c>
      <c r="J40" s="64">
        <f t="shared" si="5"/>
        <v>2021</v>
      </c>
      <c r="K40" s="64">
        <f t="shared" si="5"/>
        <v>2022</v>
      </c>
      <c r="L40" s="64">
        <f t="shared" si="5"/>
        <v>2023</v>
      </c>
      <c r="M40" s="64">
        <f t="shared" si="5"/>
        <v>2024</v>
      </c>
      <c r="N40" s="64">
        <f t="shared" si="5"/>
        <v>2025</v>
      </c>
      <c r="O40" s="64">
        <f t="shared" si="5"/>
        <v>2026</v>
      </c>
      <c r="P40" s="64">
        <f t="shared" si="5"/>
        <v>2027</v>
      </c>
      <c r="Q40" s="64">
        <f t="shared" si="5"/>
        <v>2028</v>
      </c>
      <c r="R40" s="64">
        <f t="shared" si="5"/>
        <v>2029</v>
      </c>
      <c r="S40" s="64">
        <f t="shared" si="5"/>
        <v>2030</v>
      </c>
      <c r="T40" s="64">
        <f t="shared" si="5"/>
        <v>2031</v>
      </c>
      <c r="U40" s="64">
        <f t="shared" si="5"/>
        <v>2032</v>
      </c>
      <c r="V40" s="64">
        <f t="shared" si="5"/>
        <v>2033</v>
      </c>
      <c r="W40" s="64">
        <f t="shared" si="5"/>
        <v>2034</v>
      </c>
      <c r="X40" s="64">
        <f t="shared" si="5"/>
        <v>2035</v>
      </c>
      <c r="Y40" s="67" t="s">
        <v>53</v>
      </c>
      <c r="Z40" s="67" t="s">
        <v>183</v>
      </c>
    </row>
    <row r="41" spans="1:26">
      <c r="A41" s="24"/>
      <c r="B41" s="78">
        <f>VLOOKUP(C41,ExitApplic,4,FALSE)</f>
        <v>0.70825134575255211</v>
      </c>
      <c r="C41" s="297" t="s">
        <v>566</v>
      </c>
      <c r="D41" t="s">
        <v>621</v>
      </c>
      <c r="E41" s="71">
        <f>E$34*$B41</f>
        <v>2898924.3042644309</v>
      </c>
      <c r="F41" s="71">
        <f t="shared" ref="F41:X42" si="6">F$34*$B41</f>
        <v>2886451.9278671383</v>
      </c>
      <c r="G41" s="71">
        <f t="shared" si="6"/>
        <v>2874043.42132957</v>
      </c>
      <c r="H41" s="71">
        <f t="shared" si="6"/>
        <v>2861698.3909166832</v>
      </c>
      <c r="I41" s="71">
        <f t="shared" si="6"/>
        <v>2849416.4457291397</v>
      </c>
      <c r="J41" s="71">
        <f t="shared" si="6"/>
        <v>2837197.1976806512</v>
      </c>
      <c r="K41" s="71">
        <f t="shared" si="6"/>
        <v>2825040.2614755137</v>
      </c>
      <c r="L41" s="71">
        <f t="shared" si="6"/>
        <v>2812945.2545863311</v>
      </c>
      <c r="M41" s="71">
        <f t="shared" si="6"/>
        <v>2800911.7972319336</v>
      </c>
      <c r="N41" s="71">
        <f t="shared" si="6"/>
        <v>2788939.5123554743</v>
      </c>
      <c r="O41" s="71">
        <f t="shared" si="6"/>
        <v>2777028.0256027211</v>
      </c>
      <c r="P41" s="71">
        <f t="shared" si="6"/>
        <v>2765176.9653005223</v>
      </c>
      <c r="Q41" s="71">
        <f t="shared" si="6"/>
        <v>2753385.9624354606</v>
      </c>
      <c r="R41" s="71">
        <f t="shared" si="6"/>
        <v>2741654.6506326888</v>
      </c>
      <c r="S41" s="71">
        <f t="shared" si="6"/>
        <v>2729982.6661349377</v>
      </c>
      <c r="T41" s="71">
        <f t="shared" si="6"/>
        <v>2718369.6477817111</v>
      </c>
      <c r="U41" s="71">
        <f t="shared" si="6"/>
        <v>2706815.2369886441</v>
      </c>
      <c r="V41" s="71">
        <f t="shared" si="6"/>
        <v>2695319.0777270496</v>
      </c>
      <c r="W41" s="71">
        <f t="shared" si="6"/>
        <v>2683880.8165036282</v>
      </c>
      <c r="X41" s="71">
        <f t="shared" si="6"/>
        <v>2672500.1023403509</v>
      </c>
      <c r="Y41" s="24"/>
      <c r="Z41" s="71"/>
    </row>
    <row r="42" spans="1:26">
      <c r="A42" s="24"/>
      <c r="B42" s="78">
        <f>VLOOKUP(C42,ExitApplic,4,FALSE)</f>
        <v>0.29174865424744784</v>
      </c>
      <c r="C42" s="297" t="s">
        <v>567</v>
      </c>
      <c r="D42" t="s">
        <v>622</v>
      </c>
      <c r="E42" s="71">
        <f>E$34*$B42</f>
        <v>1194148.4751232034</v>
      </c>
      <c r="F42" s="71">
        <f t="shared" si="6"/>
        <v>1189010.7524051315</v>
      </c>
      <c r="G42" s="71">
        <f t="shared" si="6"/>
        <v>1183899.3394791037</v>
      </c>
      <c r="H42" s="71">
        <f t="shared" si="6"/>
        <v>1178814.0741545788</v>
      </c>
      <c r="I42" s="71">
        <f t="shared" si="6"/>
        <v>1173754.7954091225</v>
      </c>
      <c r="J42" s="71">
        <f t="shared" si="6"/>
        <v>1168721.3433790747</v>
      </c>
      <c r="K42" s="71">
        <f t="shared" si="6"/>
        <v>1163713.5593502957</v>
      </c>
      <c r="L42" s="71">
        <f t="shared" si="6"/>
        <v>1158731.2857489891</v>
      </c>
      <c r="M42" s="71">
        <f t="shared" si="6"/>
        <v>1153774.3661326075</v>
      </c>
      <c r="N42" s="71">
        <f t="shared" si="6"/>
        <v>1148842.6451808277</v>
      </c>
      <c r="O42" s="71">
        <f t="shared" si="6"/>
        <v>1143935.9686866102</v>
      </c>
      <c r="P42" s="71">
        <f t="shared" si="6"/>
        <v>1139054.1835473275</v>
      </c>
      <c r="Q42" s="71">
        <f t="shared" si="6"/>
        <v>1134197.1377559716</v>
      </c>
      <c r="R42" s="71">
        <f t="shared" si="6"/>
        <v>1129364.680392436</v>
      </c>
      <c r="S42" s="71">
        <f t="shared" si="6"/>
        <v>1124556.6616148681</v>
      </c>
      <c r="T42" s="71">
        <f t="shared" si="6"/>
        <v>1119772.9326510993</v>
      </c>
      <c r="U42" s="71">
        <f t="shared" si="6"/>
        <v>1115013.3457901415</v>
      </c>
      <c r="V42" s="71">
        <f t="shared" si="6"/>
        <v>1110277.7543737628</v>
      </c>
      <c r="W42" s="71">
        <f t="shared" si="6"/>
        <v>1105566.0127881281</v>
      </c>
      <c r="X42" s="71">
        <f t="shared" si="6"/>
        <v>1100877.9764555136</v>
      </c>
      <c r="Y42" s="24"/>
      <c r="Z42" s="71"/>
    </row>
    <row r="43" spans="1:26">
      <c r="A43" s="24"/>
      <c r="B43" s="24"/>
      <c r="C43" s="24"/>
      <c r="D43" s="70"/>
      <c r="E43" s="71"/>
      <c r="F43" s="71"/>
      <c r="G43" s="71"/>
      <c r="H43" s="71"/>
      <c r="I43" s="71"/>
      <c r="J43" s="71"/>
      <c r="K43" s="71"/>
      <c r="L43" s="71"/>
      <c r="M43" s="71"/>
      <c r="N43" s="71"/>
      <c r="O43" s="71"/>
      <c r="P43" s="71"/>
      <c r="Q43" s="71"/>
      <c r="R43" s="71"/>
      <c r="S43" s="71"/>
      <c r="T43" s="71"/>
      <c r="U43" s="71"/>
      <c r="V43" s="71"/>
      <c r="W43" s="71"/>
      <c r="X43" s="71"/>
      <c r="Y43" s="24"/>
      <c r="Z43" s="71"/>
    </row>
    <row r="46" spans="1:26" ht="15">
      <c r="A46" s="277" t="s">
        <v>184</v>
      </c>
      <c r="B46" s="277"/>
      <c r="C46" s="24"/>
      <c r="D46" s="70"/>
      <c r="E46" s="104">
        <v>1</v>
      </c>
      <c r="F46" s="104">
        <v>2</v>
      </c>
      <c r="G46" s="104">
        <v>3</v>
      </c>
      <c r="H46" s="104">
        <v>4</v>
      </c>
      <c r="I46" s="104">
        <v>5</v>
      </c>
      <c r="J46" s="104">
        <v>6</v>
      </c>
      <c r="K46" s="104">
        <v>7</v>
      </c>
      <c r="L46" s="104">
        <v>8</v>
      </c>
      <c r="M46" s="104">
        <v>9</v>
      </c>
      <c r="N46" s="104">
        <v>10</v>
      </c>
      <c r="O46" s="104">
        <v>11</v>
      </c>
      <c r="P46" s="104">
        <v>12</v>
      </c>
      <c r="Q46" s="104">
        <v>13</v>
      </c>
      <c r="R46" s="104">
        <v>14</v>
      </c>
      <c r="S46" s="104">
        <v>15</v>
      </c>
      <c r="T46" s="104">
        <v>16</v>
      </c>
      <c r="U46" s="104">
        <v>17</v>
      </c>
      <c r="V46" s="104">
        <v>18</v>
      </c>
      <c r="W46" s="104">
        <v>19</v>
      </c>
      <c r="X46" s="104">
        <v>20</v>
      </c>
      <c r="Y46" s="67" t="s">
        <v>53</v>
      </c>
      <c r="Z46" s="67" t="s">
        <v>183</v>
      </c>
    </row>
    <row r="47" spans="1:26">
      <c r="A47" s="68" t="s">
        <v>170</v>
      </c>
      <c r="B47" s="68">
        <f>MMap!J11</f>
        <v>15</v>
      </c>
      <c r="D47" t="str">
        <f>'SC-New'!C141</f>
        <v>LEC Exit Sign-Double-New</v>
      </c>
      <c r="E47" s="71">
        <f>IF(E$46&lt;=$B$47,0,INDEX('SC-New'!$E$141:$X$142,2,'SC-NR'!E$46-ROUND($B$47,0)))</f>
        <v>0</v>
      </c>
      <c r="F47" s="71">
        <f>IF(F$46&lt;=$B$47,0,INDEX('SC-New'!$E$141:$X$142,2,'SC-NR'!F$46-ROUND($B$47,0)))</f>
        <v>0</v>
      </c>
      <c r="G47" s="71">
        <f>IF(G$46&lt;=$B$47,0,INDEX('SC-New'!$E$141:$X$142,2,'SC-NR'!G$46-ROUND($B$47,0)))</f>
        <v>0</v>
      </c>
      <c r="H47" s="71">
        <f>IF(H$46&lt;=$B$47,0,INDEX('SC-New'!$E$141:$X$142,2,'SC-NR'!H$46-ROUND($B$47,0)))</f>
        <v>0</v>
      </c>
      <c r="I47" s="71">
        <f>IF(I$46&lt;=$B$47,0,INDEX('SC-New'!$E$141:$X$142,2,'SC-NR'!I$46-ROUND($B$47,0)))</f>
        <v>0</v>
      </c>
      <c r="J47" s="71">
        <f>IF(J$46&lt;=$B$47,0,INDEX('SC-New'!$E$141:$X$142,2,'SC-NR'!J$46-ROUND($B$47,0)))</f>
        <v>0</v>
      </c>
      <c r="K47" s="71">
        <f>IF(K$46&lt;=$B$47,0,INDEX('SC-New'!$E$141:$X$142,2,'SC-NR'!K$46-ROUND($B$47,0)))</f>
        <v>0</v>
      </c>
      <c r="L47" s="71">
        <f>IF(L$46&lt;=$B$47,0,INDEX('SC-New'!$E$141:$X$142,2,'SC-NR'!L$46-ROUND($B$47,0)))</f>
        <v>0</v>
      </c>
      <c r="M47" s="71">
        <f>IF(M$46&lt;=$B$47,0,INDEX('SC-New'!$E$141:$X$142,2,'SC-NR'!M$46-ROUND($B$47,0)))</f>
        <v>0</v>
      </c>
      <c r="N47" s="71">
        <f>IF(N$46&lt;=$B$47,0,INDEX('SC-New'!$E$141:$X$142,2,'SC-NR'!N$46-ROUND($B$47,0)))</f>
        <v>0</v>
      </c>
      <c r="O47" s="71">
        <f>IF(O$46&lt;=$B$47,0,INDEX('SC-New'!$E$141:$X$142,2,'SC-NR'!O$46-ROUND($B$47,0)))</f>
        <v>0</v>
      </c>
      <c r="P47" s="71">
        <f>IF(P$46&lt;=$B$47,0,INDEX('SC-New'!$E$141:$X$142,2,'SC-NR'!P$46-ROUND($B$47,0)))</f>
        <v>0</v>
      </c>
      <c r="Q47" s="71">
        <f>IF(Q$46&lt;=$B$47,0,INDEX('SC-New'!$E$141:$X$142,2,'SC-NR'!Q$46-ROUND($B$47,0)))</f>
        <v>0</v>
      </c>
      <c r="R47" s="71">
        <f>IF(R$46&lt;=$B$47,0,INDEX('SC-New'!$E$141:$X$142,2,'SC-NR'!R$46-ROUND($B$47,0)))</f>
        <v>0</v>
      </c>
      <c r="S47" s="71">
        <f>IF(S$46&lt;=$B$47,0,INDEX('SC-New'!$E$141:$X$142,2,'SC-NR'!S$46-ROUND($B$47,0)))</f>
        <v>0</v>
      </c>
      <c r="T47" s="71">
        <f>IF(T$46&lt;=$B$47,0,INDEX('SC-New'!$E$144:$X$145,1,'SC-NR'!T$46-ROUND($B$47,0)))</f>
        <v>42466.460903774976</v>
      </c>
      <c r="U47" s="71">
        <f>IF(U$46&lt;=$B$47,0,INDEX('SC-New'!$E$144:$X$145,1,'SC-NR'!U$46-ROUND($B$47,0)))</f>
        <v>75138.794441305843</v>
      </c>
      <c r="V47" s="71">
        <f>IF(V$46&lt;=$B$47,0,INDEX('SC-New'!$E$144:$X$145,1,'SC-NR'!V$46-ROUND($B$47,0)))</f>
        <v>101102.906437196</v>
      </c>
      <c r="W47" s="71">
        <f>IF(W$46&lt;=$B$47,0,INDEX('SC-New'!$E$144:$X$145,1,'SC-NR'!W$46-ROUND($B$47,0)))</f>
        <v>125116.4067574089</v>
      </c>
      <c r="X47" s="71">
        <f>IF(X$46&lt;=$B$47,0,INDEX('SC-New'!$E$144:$X$145,1,'SC-NR'!X$46-ROUND($B$47,0)))</f>
        <v>144233.74238439943</v>
      </c>
      <c r="Y47" s="24"/>
      <c r="Z47" s="71">
        <f>SUM(E47:X47)</f>
        <v>488058.31092408509</v>
      </c>
    </row>
    <row r="48" spans="1:26">
      <c r="A48" s="24"/>
      <c r="B48" s="24"/>
      <c r="D48" t="str">
        <f>'SC-New'!C142</f>
        <v>LEC Exit Sign-Single-New</v>
      </c>
      <c r="E48" s="71">
        <f>IF(E$46&lt;=$B$47,0,INDEX('SC-New'!$E$141:$X$142,2,'SC-NR'!E$46-ROUND($B$47,0)))</f>
        <v>0</v>
      </c>
      <c r="F48" s="71">
        <f>IF(F$46&lt;=$B$47,0,INDEX('SC-New'!$E$141:$X$142,2,'SC-NR'!F$46-ROUND($B$47,0)))</f>
        <v>0</v>
      </c>
      <c r="G48" s="71">
        <f>IF(G$46&lt;=$B$47,0,INDEX('SC-New'!$E$141:$X$142,2,'SC-NR'!G$46-ROUND($B$47,0)))</f>
        <v>0</v>
      </c>
      <c r="H48" s="71">
        <f>IF(H$46&lt;=$B$47,0,INDEX('SC-New'!$E$141:$X$142,2,'SC-NR'!H$46-ROUND($B$47,0)))</f>
        <v>0</v>
      </c>
      <c r="I48" s="71">
        <f>IF(I$46&lt;=$B$47,0,INDEX('SC-New'!$E$141:$X$142,2,'SC-NR'!I$46-ROUND($B$47,0)))</f>
        <v>0</v>
      </c>
      <c r="J48" s="71">
        <f>IF(J$46&lt;=$B$47,0,INDEX('SC-New'!$E$141:$X$142,2,'SC-NR'!J$46-ROUND($B$47,0)))</f>
        <v>0</v>
      </c>
      <c r="K48" s="71">
        <f>IF(K$46&lt;=$B$47,0,INDEX('SC-New'!$E$141:$X$142,2,'SC-NR'!K$46-ROUND($B$47,0)))</f>
        <v>0</v>
      </c>
      <c r="L48" s="71">
        <f>IF(L$46&lt;=$B$47,0,INDEX('SC-New'!$E$141:$X$142,2,'SC-NR'!L$46-ROUND($B$47,0)))</f>
        <v>0</v>
      </c>
      <c r="M48" s="71">
        <f>IF(M$46&lt;=$B$47,0,INDEX('SC-New'!$E$141:$X$142,2,'SC-NR'!M$46-ROUND($B$47,0)))</f>
        <v>0</v>
      </c>
      <c r="N48" s="71">
        <f>IF(N$46&lt;=$B$47,0,INDEX('SC-New'!$E$141:$X$142,2,'SC-NR'!N$46-ROUND($B$47,0)))</f>
        <v>0</v>
      </c>
      <c r="O48" s="71">
        <f>IF(O$46&lt;=$B$47,0,INDEX('SC-New'!$E$141:$X$142,2,'SC-NR'!O$46-ROUND($B$47,0)))</f>
        <v>0</v>
      </c>
      <c r="P48" s="71">
        <f>IF(P$46&lt;=$B$47,0,INDEX('SC-New'!$E$141:$X$142,2,'SC-NR'!P$46-ROUND($B$47,0)))</f>
        <v>0</v>
      </c>
      <c r="Q48" s="71">
        <f>IF(Q$46&lt;=$B$47,0,INDEX('SC-New'!$E$141:$X$142,2,'SC-NR'!Q$46-ROUND($B$47,0)))</f>
        <v>0</v>
      </c>
      <c r="R48" s="71">
        <f>IF(R$46&lt;=$B$47,0,INDEX('SC-New'!$E$141:$X$142,2,'SC-NR'!R$46-ROUND($B$47,0)))</f>
        <v>0</v>
      </c>
      <c r="S48" s="71">
        <f>IF(S$46&lt;=$B$47,0,INDEX('SC-New'!$E$141:$X$142,2,'SC-NR'!S$46-ROUND($B$47,0)))</f>
        <v>0</v>
      </c>
      <c r="T48" s="71">
        <f>IF(T$46&lt;=$B$47,0,INDEX('SC-New'!$E$144:$X$145,2,'SC-NR'!T$46-ROUND($B$47,0)))</f>
        <v>17493.12993703346</v>
      </c>
      <c r="U48" s="71">
        <f>IF(U$46&lt;=$B$47,0,INDEX('SC-New'!$E$144:$X$145,2,'SC-NR'!U$46-ROUND($B$47,0)))</f>
        <v>30951.783277917759</v>
      </c>
      <c r="V48" s="71">
        <f>IF(V$46&lt;=$B$47,0,INDEX('SC-New'!$E$144:$X$145,2,'SC-NR'!V$46-ROUND($B$47,0)))</f>
        <v>41647.131446274805</v>
      </c>
      <c r="W48" s="71">
        <f>IF(W$46&lt;=$B$47,0,INDEX('SC-New'!$E$144:$X$145,2,'SC-NR'!W$46-ROUND($B$47,0)))</f>
        <v>51538.967789696995</v>
      </c>
      <c r="X48" s="71">
        <f>IF(X$46&lt;=$B$47,0,INDEX('SC-New'!$E$144:$X$145,2,'SC-NR'!X$46-ROUND($B$47,0)))</f>
        <v>59413.936154275179</v>
      </c>
      <c r="Y48" s="24"/>
      <c r="Z48" s="71">
        <f>SUM(E48:X48)</f>
        <v>201044.94860519818</v>
      </c>
    </row>
    <row r="49" spans="1:26">
      <c r="A49" s="24"/>
      <c r="B49" s="24"/>
      <c r="D49" s="24"/>
      <c r="E49" s="71"/>
      <c r="F49" s="71"/>
      <c r="G49" s="71"/>
      <c r="H49" s="71"/>
      <c r="I49" s="71"/>
      <c r="J49" s="71"/>
      <c r="K49" s="71"/>
      <c r="L49" s="71"/>
      <c r="M49" s="71"/>
      <c r="N49" s="71"/>
      <c r="O49" s="71"/>
      <c r="P49" s="71"/>
      <c r="Q49" s="71"/>
      <c r="R49" s="71"/>
      <c r="S49" s="71"/>
      <c r="T49" s="71"/>
      <c r="U49" s="71"/>
      <c r="V49" s="71"/>
      <c r="W49" s="71"/>
      <c r="X49" s="71"/>
      <c r="Y49" s="24"/>
      <c r="Z49" s="71"/>
    </row>
    <row r="50" spans="1:26">
      <c r="A50" s="24"/>
      <c r="B50" s="24"/>
      <c r="D50" s="24"/>
      <c r="E50" s="71"/>
      <c r="F50" s="71"/>
      <c r="G50" s="71"/>
      <c r="H50" s="71"/>
      <c r="I50" s="71"/>
      <c r="J50" s="71"/>
      <c r="K50" s="71"/>
      <c r="L50" s="71"/>
      <c r="M50" s="71"/>
      <c r="N50" s="71"/>
      <c r="O50" s="71"/>
      <c r="P50" s="71"/>
      <c r="Q50" s="71"/>
      <c r="R50" s="71"/>
      <c r="S50" s="71"/>
      <c r="T50" s="71"/>
      <c r="U50" s="71"/>
      <c r="V50" s="71"/>
      <c r="W50" s="71"/>
      <c r="X50" s="71"/>
      <c r="Y50" s="24"/>
      <c r="Z50" s="71"/>
    </row>
    <row r="51" spans="1:26">
      <c r="A51" s="24"/>
      <c r="B51" s="24"/>
      <c r="C51" s="24"/>
      <c r="D51" s="70"/>
      <c r="E51" s="71"/>
      <c r="F51" s="71"/>
      <c r="G51" s="71"/>
      <c r="H51" s="71"/>
      <c r="I51" s="71"/>
      <c r="J51" s="71"/>
      <c r="K51" s="71"/>
      <c r="L51" s="71"/>
      <c r="M51" s="71"/>
      <c r="N51" s="71"/>
      <c r="O51" s="71"/>
      <c r="P51" s="71"/>
      <c r="Q51" s="71"/>
      <c r="R51" s="71"/>
      <c r="S51" s="71"/>
      <c r="T51" s="71"/>
      <c r="U51" s="71"/>
      <c r="V51" s="71"/>
      <c r="W51" s="71"/>
      <c r="X51" s="71"/>
      <c r="Y51" s="24"/>
      <c r="Z51" s="71"/>
    </row>
    <row r="52" spans="1:26">
      <c r="A52" s="24"/>
      <c r="B52" s="24"/>
      <c r="C52" s="269" t="s">
        <v>596</v>
      </c>
      <c r="D52" s="70"/>
      <c r="E52" s="71"/>
      <c r="F52" s="71"/>
      <c r="G52" s="71"/>
      <c r="H52" s="71"/>
      <c r="I52" s="71"/>
      <c r="J52" s="71"/>
      <c r="K52" s="71"/>
      <c r="L52" s="71"/>
      <c r="M52" s="71"/>
      <c r="N52" s="71"/>
      <c r="O52" s="71"/>
      <c r="P52" s="71"/>
      <c r="Q52" s="71"/>
      <c r="R52" s="71"/>
      <c r="S52" s="71"/>
      <c r="T52" s="71"/>
      <c r="U52" s="71"/>
      <c r="V52" s="71"/>
      <c r="W52" s="71"/>
      <c r="X52" s="71"/>
      <c r="Y52" s="24"/>
      <c r="Z52" s="71"/>
    </row>
    <row r="53" spans="1:26" ht="15">
      <c r="A53" s="106" t="s">
        <v>186</v>
      </c>
      <c r="B53" s="106"/>
      <c r="C53" s="24"/>
      <c r="D53" s="24" t="s">
        <v>187</v>
      </c>
      <c r="E53" s="71"/>
      <c r="F53" s="71"/>
      <c r="G53" s="71"/>
      <c r="H53" s="71"/>
      <c r="I53" s="71"/>
      <c r="J53" s="71"/>
      <c r="K53" s="71"/>
      <c r="L53" s="71"/>
      <c r="M53" s="71"/>
      <c r="N53" s="71"/>
      <c r="O53" s="71"/>
      <c r="P53" s="71"/>
      <c r="Q53" s="71"/>
      <c r="R53" s="71"/>
      <c r="S53" s="71"/>
      <c r="T53" s="71"/>
      <c r="U53" s="71"/>
      <c r="V53" s="71"/>
      <c r="W53" s="71"/>
      <c r="X53" s="71"/>
      <c r="Y53" s="24"/>
      <c r="Z53" s="24"/>
    </row>
    <row r="54" spans="1:26" ht="15">
      <c r="A54" s="272" t="s">
        <v>624</v>
      </c>
      <c r="B54" s="272" t="s">
        <v>189</v>
      </c>
      <c r="C54" s="272" t="s">
        <v>190</v>
      </c>
      <c r="D54" s="272" t="str">
        <f>$C$11</f>
        <v>LEC Exit Sign-NR</v>
      </c>
      <c r="E54" s="281">
        <f t="shared" ref="E54:X54" si="7">E11</f>
        <v>2016</v>
      </c>
      <c r="F54" s="281">
        <f t="shared" si="7"/>
        <v>2017</v>
      </c>
      <c r="G54" s="281">
        <f t="shared" si="7"/>
        <v>2018</v>
      </c>
      <c r="H54" s="281">
        <f t="shared" si="7"/>
        <v>2019</v>
      </c>
      <c r="I54" s="281">
        <f t="shared" si="7"/>
        <v>2020</v>
      </c>
      <c r="J54" s="281">
        <f t="shared" si="7"/>
        <v>2021</v>
      </c>
      <c r="K54" s="281">
        <f t="shared" si="7"/>
        <v>2022</v>
      </c>
      <c r="L54" s="281">
        <f t="shared" si="7"/>
        <v>2023</v>
      </c>
      <c r="M54" s="281">
        <f t="shared" si="7"/>
        <v>2024</v>
      </c>
      <c r="N54" s="281">
        <f t="shared" si="7"/>
        <v>2025</v>
      </c>
      <c r="O54" s="281">
        <f t="shared" si="7"/>
        <v>2026</v>
      </c>
      <c r="P54" s="281">
        <f t="shared" si="7"/>
        <v>2027</v>
      </c>
      <c r="Q54" s="281">
        <f t="shared" si="7"/>
        <v>2028</v>
      </c>
      <c r="R54" s="281">
        <f t="shared" si="7"/>
        <v>2029</v>
      </c>
      <c r="S54" s="281">
        <f t="shared" si="7"/>
        <v>2030</v>
      </c>
      <c r="T54" s="281">
        <f t="shared" si="7"/>
        <v>2031</v>
      </c>
      <c r="U54" s="281">
        <f t="shared" si="7"/>
        <v>2032</v>
      </c>
      <c r="V54" s="281">
        <f t="shared" si="7"/>
        <v>2033</v>
      </c>
      <c r="W54" s="281">
        <f t="shared" si="7"/>
        <v>2034</v>
      </c>
      <c r="X54" s="281">
        <f t="shared" si="7"/>
        <v>2035</v>
      </c>
      <c r="Y54" s="67" t="s">
        <v>53</v>
      </c>
      <c r="Z54" s="67" t="s">
        <v>183</v>
      </c>
    </row>
    <row r="55" spans="1:26">
      <c r="A55" s="282">
        <f>Sources!$T$54</f>
        <v>0.8</v>
      </c>
      <c r="B55" s="107">
        <f>1-Sources!$T$56</f>
        <v>0.9</v>
      </c>
      <c r="C55" s="107">
        <f>1/MMap!$J$11</f>
        <v>6.6666666666666666E-2</v>
      </c>
      <c r="D55" t="str">
        <f t="shared" ref="D55:D56" si="8">D41</f>
        <v>LEC Exit Sign-Double-NR</v>
      </c>
      <c r="E55" s="74">
        <f>E$41*$C55*$B55*$A55</f>
        <v>139148.36660469268</v>
      </c>
      <c r="F55" s="74">
        <f t="shared" ref="F55:X55" si="9">F$41*$C55*$B55*$A55</f>
        <v>138549.69253762264</v>
      </c>
      <c r="G55" s="74">
        <f t="shared" si="9"/>
        <v>137954.08422381937</v>
      </c>
      <c r="H55" s="74">
        <f t="shared" si="9"/>
        <v>137361.52276400078</v>
      </c>
      <c r="I55" s="74">
        <f t="shared" si="9"/>
        <v>136771.98939499873</v>
      </c>
      <c r="J55" s="74">
        <f t="shared" si="9"/>
        <v>136185.46548867127</v>
      </c>
      <c r="K55" s="74">
        <f t="shared" si="9"/>
        <v>135601.93255082468</v>
      </c>
      <c r="L55" s="74">
        <f t="shared" si="9"/>
        <v>135021.37222014388</v>
      </c>
      <c r="M55" s="74">
        <f t="shared" si="9"/>
        <v>134443.76626713283</v>
      </c>
      <c r="N55" s="74">
        <f t="shared" si="9"/>
        <v>133869.09659306277</v>
      </c>
      <c r="O55" s="74">
        <f t="shared" si="9"/>
        <v>133297.34522893062</v>
      </c>
      <c r="P55" s="74">
        <f t="shared" si="9"/>
        <v>132728.49433442505</v>
      </c>
      <c r="Q55" s="74">
        <f t="shared" si="9"/>
        <v>132162.52619690212</v>
      </c>
      <c r="R55" s="74">
        <f t="shared" si="9"/>
        <v>131599.42323036908</v>
      </c>
      <c r="S55" s="74">
        <f t="shared" si="9"/>
        <v>131039.16797447701</v>
      </c>
      <c r="T55" s="74">
        <f t="shared" si="9"/>
        <v>130481.74309352213</v>
      </c>
      <c r="U55" s="74">
        <f t="shared" si="9"/>
        <v>129927.1313754549</v>
      </c>
      <c r="V55" s="74">
        <f t="shared" si="9"/>
        <v>129375.31573089839</v>
      </c>
      <c r="W55" s="74">
        <f t="shared" si="9"/>
        <v>128826.27919217416</v>
      </c>
      <c r="X55" s="74">
        <f t="shared" si="9"/>
        <v>128280.00491233685</v>
      </c>
      <c r="Y55" s="105">
        <f>Z55*$Y$12</f>
        <v>2271731.0119272908</v>
      </c>
      <c r="Z55" s="73">
        <f>SUM(E55:X55)</f>
        <v>2672624.7199144601</v>
      </c>
    </row>
    <row r="56" spans="1:26">
      <c r="A56" s="282">
        <f>Sources!$T$54</f>
        <v>0.8</v>
      </c>
      <c r="B56" s="107">
        <f>1-Sources!$T$56</f>
        <v>0.9</v>
      </c>
      <c r="C56" s="107">
        <f>1/MMap!$J$11</f>
        <v>6.6666666666666666E-2</v>
      </c>
      <c r="D56" t="str">
        <f t="shared" si="8"/>
        <v>LEC Exit Sign-Single-NR</v>
      </c>
      <c r="E56" s="74">
        <f>E$42*$C56*$B56*$A56</f>
        <v>57319.126805913766</v>
      </c>
      <c r="F56" s="74">
        <f t="shared" ref="F56:X56" si="10">F$42*$C56*$B56*$A56</f>
        <v>57072.516115446313</v>
      </c>
      <c r="G56" s="74">
        <f t="shared" si="10"/>
        <v>56827.168294996984</v>
      </c>
      <c r="H56" s="74">
        <f t="shared" si="10"/>
        <v>56583.075559419791</v>
      </c>
      <c r="I56" s="74">
        <f t="shared" si="10"/>
        <v>56340.230179637882</v>
      </c>
      <c r="J56" s="74">
        <f t="shared" si="10"/>
        <v>56098.624482195592</v>
      </c>
      <c r="K56" s="74">
        <f t="shared" si="10"/>
        <v>55858.250848814198</v>
      </c>
      <c r="L56" s="74">
        <f t="shared" si="10"/>
        <v>55619.101715951474</v>
      </c>
      <c r="M56" s="74">
        <f t="shared" si="10"/>
        <v>55381.169574365165</v>
      </c>
      <c r="N56" s="74">
        <f t="shared" si="10"/>
        <v>55144.446968679738</v>
      </c>
      <c r="O56" s="74">
        <f t="shared" si="10"/>
        <v>54908.926496957291</v>
      </c>
      <c r="P56" s="74">
        <f t="shared" si="10"/>
        <v>54674.600810271724</v>
      </c>
      <c r="Q56" s="74">
        <f t="shared" si="10"/>
        <v>54441.462612286647</v>
      </c>
      <c r="R56" s="74">
        <f t="shared" si="10"/>
        <v>54209.50465883693</v>
      </c>
      <c r="S56" s="74">
        <f t="shared" si="10"/>
        <v>53978.719757513667</v>
      </c>
      <c r="T56" s="74">
        <f t="shared" si="10"/>
        <v>53749.10076725277</v>
      </c>
      <c r="U56" s="74">
        <f t="shared" si="10"/>
        <v>53520.640597926795</v>
      </c>
      <c r="V56" s="74">
        <f t="shared" si="10"/>
        <v>53293.332209940621</v>
      </c>
      <c r="W56" s="74">
        <f t="shared" si="10"/>
        <v>53067.168613830152</v>
      </c>
      <c r="X56" s="74">
        <f t="shared" si="10"/>
        <v>52842.142869864663</v>
      </c>
      <c r="Y56" s="105">
        <f>Z56*$Y$12</f>
        <v>935789.91344908671</v>
      </c>
      <c r="Z56" s="73">
        <f>SUM(E56:X56)</f>
        <v>1100929.309940102</v>
      </c>
    </row>
    <row r="57" spans="1:26">
      <c r="A57" s="24"/>
      <c r="B57" s="24"/>
      <c r="C57" s="24"/>
      <c r="D57" s="70"/>
      <c r="E57" s="71"/>
      <c r="F57" s="71"/>
      <c r="G57" s="71"/>
      <c r="H57" s="71"/>
      <c r="I57" s="71"/>
      <c r="J57" s="71"/>
      <c r="K57" s="71"/>
      <c r="L57" s="71"/>
      <c r="M57" s="71"/>
      <c r="N57" s="71"/>
      <c r="O57" s="71"/>
      <c r="P57" s="71"/>
      <c r="Q57" s="71"/>
      <c r="R57" s="71"/>
      <c r="S57" s="71"/>
      <c r="T57" s="71"/>
      <c r="U57" s="71"/>
      <c r="V57" s="71"/>
      <c r="W57" s="71"/>
      <c r="X57" s="71"/>
      <c r="Y57" s="57"/>
      <c r="Z57" s="71"/>
    </row>
    <row r="58" spans="1:26">
      <c r="A58" s="24"/>
      <c r="B58" s="24"/>
      <c r="C58" s="24"/>
      <c r="D58" s="70" t="s">
        <v>191</v>
      </c>
      <c r="E58" s="71"/>
      <c r="F58" s="71"/>
      <c r="G58" s="71"/>
      <c r="H58" s="71"/>
      <c r="I58" s="71"/>
      <c r="J58" s="71"/>
      <c r="K58" s="71"/>
      <c r="L58" s="71"/>
      <c r="M58" s="71"/>
      <c r="N58" s="71"/>
      <c r="O58" s="71"/>
      <c r="P58" s="71"/>
      <c r="Q58" s="71"/>
      <c r="R58" s="71"/>
      <c r="S58" s="71"/>
      <c r="T58" s="71"/>
      <c r="U58" s="71"/>
      <c r="V58" s="71"/>
      <c r="W58" s="71"/>
      <c r="X58" s="71"/>
      <c r="Y58" s="71">
        <f>SUM(Y55:Y56)</f>
        <v>3207520.9253763775</v>
      </c>
      <c r="Z58" s="71">
        <f>SUM(Z55:Z56)</f>
        <v>3773554.0298545621</v>
      </c>
    </row>
    <row r="59" spans="1:26">
      <c r="A59" s="24"/>
      <c r="B59" s="24"/>
      <c r="C59" s="24"/>
      <c r="D59" s="70"/>
      <c r="E59" s="71"/>
      <c r="F59" s="71"/>
      <c r="G59" s="71"/>
      <c r="H59" s="71"/>
      <c r="I59" s="71"/>
      <c r="J59" s="71"/>
      <c r="K59" s="71"/>
      <c r="L59" s="71"/>
      <c r="M59" s="71"/>
      <c r="N59" s="71"/>
      <c r="O59" s="71"/>
      <c r="P59" s="71"/>
      <c r="Q59" s="71"/>
      <c r="R59" s="71"/>
      <c r="S59" s="71"/>
      <c r="T59" s="71"/>
      <c r="U59" s="71"/>
      <c r="V59" s="71"/>
      <c r="W59" s="71"/>
      <c r="X59" s="71"/>
      <c r="Y59" s="24"/>
      <c r="Z59" s="71"/>
    </row>
    <row r="60" spans="1:26" ht="15">
      <c r="A60" s="106" t="s">
        <v>186</v>
      </c>
      <c r="B60" s="106"/>
      <c r="C60" s="24"/>
      <c r="D60" s="24" t="s">
        <v>192</v>
      </c>
      <c r="E60" s="57"/>
      <c r="F60" s="57"/>
      <c r="G60" s="70"/>
      <c r="H60" s="70"/>
      <c r="I60" s="70"/>
      <c r="J60" s="70"/>
      <c r="K60" s="70"/>
      <c r="L60" s="70"/>
      <c r="M60" s="70"/>
      <c r="N60" s="70"/>
      <c r="O60" s="70"/>
      <c r="P60" s="70"/>
      <c r="Q60" s="70"/>
      <c r="R60" s="70"/>
      <c r="S60" s="70"/>
      <c r="T60" s="70"/>
      <c r="U60" s="70"/>
      <c r="V60" s="70"/>
      <c r="W60" s="70"/>
      <c r="X60" s="70"/>
      <c r="Y60" s="24"/>
      <c r="Z60" s="70"/>
    </row>
    <row r="61" spans="1:26" ht="15">
      <c r="A61" s="272" t="s">
        <v>188</v>
      </c>
      <c r="B61" s="272" t="s">
        <v>189</v>
      </c>
      <c r="C61" s="272" t="s">
        <v>190</v>
      </c>
      <c r="D61" s="272" t="str">
        <f>$C$11</f>
        <v>LEC Exit Sign-NR</v>
      </c>
      <c r="E61" s="281">
        <f t="shared" ref="E61:X61" si="11">E11</f>
        <v>2016</v>
      </c>
      <c r="F61" s="281">
        <f t="shared" si="11"/>
        <v>2017</v>
      </c>
      <c r="G61" s="281">
        <f t="shared" si="11"/>
        <v>2018</v>
      </c>
      <c r="H61" s="281">
        <f t="shared" si="11"/>
        <v>2019</v>
      </c>
      <c r="I61" s="281">
        <f t="shared" si="11"/>
        <v>2020</v>
      </c>
      <c r="J61" s="281">
        <f t="shared" si="11"/>
        <v>2021</v>
      </c>
      <c r="K61" s="281">
        <f t="shared" si="11"/>
        <v>2022</v>
      </c>
      <c r="L61" s="281">
        <f t="shared" si="11"/>
        <v>2023</v>
      </c>
      <c r="M61" s="281">
        <f t="shared" si="11"/>
        <v>2024</v>
      </c>
      <c r="N61" s="281">
        <f t="shared" si="11"/>
        <v>2025</v>
      </c>
      <c r="O61" s="281">
        <f t="shared" si="11"/>
        <v>2026</v>
      </c>
      <c r="P61" s="281">
        <f t="shared" si="11"/>
        <v>2027</v>
      </c>
      <c r="Q61" s="281">
        <f t="shared" si="11"/>
        <v>2028</v>
      </c>
      <c r="R61" s="281">
        <f t="shared" si="11"/>
        <v>2029</v>
      </c>
      <c r="S61" s="281">
        <f t="shared" si="11"/>
        <v>2030</v>
      </c>
      <c r="T61" s="281">
        <f t="shared" si="11"/>
        <v>2031</v>
      </c>
      <c r="U61" s="281">
        <f t="shared" si="11"/>
        <v>2032</v>
      </c>
      <c r="V61" s="281">
        <f t="shared" si="11"/>
        <v>2033</v>
      </c>
      <c r="W61" s="281">
        <f t="shared" si="11"/>
        <v>2034</v>
      </c>
      <c r="X61" s="281">
        <f t="shared" si="11"/>
        <v>2035</v>
      </c>
      <c r="Y61" s="67" t="s">
        <v>53</v>
      </c>
      <c r="Z61" s="67" t="s">
        <v>183</v>
      </c>
    </row>
    <row r="62" spans="1:26">
      <c r="A62" s="282">
        <f>Sources!$T$54</f>
        <v>0.8</v>
      </c>
      <c r="B62" s="107">
        <f>1-Sources!$T$56</f>
        <v>0.9</v>
      </c>
      <c r="C62" s="107">
        <f>1/MMap!$J$11</f>
        <v>6.6666666666666666E-2</v>
      </c>
      <c r="D62" t="str">
        <f t="shared" ref="D62:D63" si="12">D41</f>
        <v>LEC Exit Sign-Double-NR</v>
      </c>
      <c r="E62" s="74">
        <f>E$47*$C62*$B62*$A62</f>
        <v>0</v>
      </c>
      <c r="F62" s="74">
        <f t="shared" ref="F62:X62" si="13">F$47*$C62*$B62*$A62</f>
        <v>0</v>
      </c>
      <c r="G62" s="74">
        <f t="shared" si="13"/>
        <v>0</v>
      </c>
      <c r="H62" s="74">
        <f t="shared" si="13"/>
        <v>0</v>
      </c>
      <c r="I62" s="74">
        <f t="shared" si="13"/>
        <v>0</v>
      </c>
      <c r="J62" s="74">
        <f t="shared" si="13"/>
        <v>0</v>
      </c>
      <c r="K62" s="74">
        <f t="shared" si="13"/>
        <v>0</v>
      </c>
      <c r="L62" s="74">
        <f t="shared" si="13"/>
        <v>0</v>
      </c>
      <c r="M62" s="74">
        <f t="shared" si="13"/>
        <v>0</v>
      </c>
      <c r="N62" s="74">
        <f t="shared" si="13"/>
        <v>0</v>
      </c>
      <c r="O62" s="74">
        <f t="shared" si="13"/>
        <v>0</v>
      </c>
      <c r="P62" s="74">
        <f t="shared" si="13"/>
        <v>0</v>
      </c>
      <c r="Q62" s="74">
        <f t="shared" si="13"/>
        <v>0</v>
      </c>
      <c r="R62" s="74">
        <f t="shared" si="13"/>
        <v>0</v>
      </c>
      <c r="S62" s="74">
        <f t="shared" si="13"/>
        <v>0</v>
      </c>
      <c r="T62" s="74">
        <f t="shared" si="13"/>
        <v>2038.3901233811991</v>
      </c>
      <c r="U62" s="74">
        <f t="shared" si="13"/>
        <v>3606.6621331826809</v>
      </c>
      <c r="V62" s="74">
        <f t="shared" si="13"/>
        <v>4852.9395089854079</v>
      </c>
      <c r="W62" s="74">
        <f t="shared" si="13"/>
        <v>6005.5875243556284</v>
      </c>
      <c r="X62" s="74">
        <f t="shared" si="13"/>
        <v>6923.2196344511731</v>
      </c>
      <c r="Y62" s="73">
        <f>Z62*$Y$12</f>
        <v>19912.779085702674</v>
      </c>
      <c r="Z62" s="73">
        <f>SUM(E62:X62)</f>
        <v>23426.798924356088</v>
      </c>
    </row>
    <row r="63" spans="1:26">
      <c r="A63" s="282">
        <f>Sources!$T$54</f>
        <v>0.8</v>
      </c>
      <c r="B63" s="107">
        <f>1-Sources!$T$56</f>
        <v>0.9</v>
      </c>
      <c r="C63" s="107">
        <f>1/MMap!$J$11</f>
        <v>6.6666666666666666E-2</v>
      </c>
      <c r="D63" t="str">
        <f t="shared" si="12"/>
        <v>LEC Exit Sign-Single-NR</v>
      </c>
      <c r="E63" s="74">
        <f>E$48*$C63*$B63*$A63</f>
        <v>0</v>
      </c>
      <c r="F63" s="74">
        <f t="shared" ref="F63:X63" si="14">F$48*$C63*$B63*$A63</f>
        <v>0</v>
      </c>
      <c r="G63" s="74">
        <f t="shared" si="14"/>
        <v>0</v>
      </c>
      <c r="H63" s="74">
        <f t="shared" si="14"/>
        <v>0</v>
      </c>
      <c r="I63" s="74">
        <f t="shared" si="14"/>
        <v>0</v>
      </c>
      <c r="J63" s="74">
        <f t="shared" si="14"/>
        <v>0</v>
      </c>
      <c r="K63" s="74">
        <f t="shared" si="14"/>
        <v>0</v>
      </c>
      <c r="L63" s="74">
        <f t="shared" si="14"/>
        <v>0</v>
      </c>
      <c r="M63" s="74">
        <f t="shared" si="14"/>
        <v>0</v>
      </c>
      <c r="N63" s="74">
        <f t="shared" si="14"/>
        <v>0</v>
      </c>
      <c r="O63" s="74">
        <f t="shared" si="14"/>
        <v>0</v>
      </c>
      <c r="P63" s="74">
        <f t="shared" si="14"/>
        <v>0</v>
      </c>
      <c r="Q63" s="74">
        <f t="shared" si="14"/>
        <v>0</v>
      </c>
      <c r="R63" s="74">
        <f t="shared" si="14"/>
        <v>0</v>
      </c>
      <c r="S63" s="74">
        <f t="shared" si="14"/>
        <v>0</v>
      </c>
      <c r="T63" s="74">
        <f t="shared" si="14"/>
        <v>839.67023697760624</v>
      </c>
      <c r="U63" s="74">
        <f t="shared" si="14"/>
        <v>1485.6855973400525</v>
      </c>
      <c r="V63" s="74">
        <f t="shared" si="14"/>
        <v>1999.0623094211908</v>
      </c>
      <c r="W63" s="74">
        <f t="shared" si="14"/>
        <v>2473.8704539054561</v>
      </c>
      <c r="X63" s="74">
        <f t="shared" si="14"/>
        <v>2851.868935405209</v>
      </c>
      <c r="Y63" s="73">
        <f>Z63*$Y$12</f>
        <v>8202.6339030920863</v>
      </c>
      <c r="Z63" s="73">
        <f>SUM(E63:X63)</f>
        <v>9650.1575330495143</v>
      </c>
    </row>
    <row r="64" spans="1:26">
      <c r="A64" s="24"/>
      <c r="B64" s="24"/>
      <c r="C64" s="24"/>
      <c r="D64" s="24"/>
      <c r="E64" s="72"/>
      <c r="F64" s="72"/>
      <c r="G64" s="72"/>
      <c r="H64" s="72"/>
      <c r="I64" s="72"/>
      <c r="J64" s="72"/>
      <c r="K64" s="72"/>
      <c r="L64" s="72"/>
      <c r="M64" s="72"/>
      <c r="N64" s="72"/>
      <c r="O64" s="72"/>
      <c r="P64" s="72"/>
      <c r="Q64" s="72"/>
      <c r="R64" s="72"/>
      <c r="S64" s="72"/>
      <c r="T64" s="72"/>
      <c r="U64" s="72"/>
      <c r="V64" s="72"/>
      <c r="W64" s="72"/>
      <c r="X64" s="72"/>
      <c r="Y64" s="75"/>
    </row>
    <row r="65" spans="1:26">
      <c r="A65" s="24"/>
      <c r="B65" s="24"/>
      <c r="C65" s="24"/>
      <c r="D65" s="83" t="s">
        <v>191</v>
      </c>
      <c r="E65" s="74"/>
      <c r="F65" s="74"/>
      <c r="G65" s="74"/>
      <c r="H65" s="74"/>
      <c r="I65" s="74"/>
      <c r="J65" s="74"/>
      <c r="K65" s="74"/>
      <c r="L65" s="74"/>
      <c r="M65" s="74"/>
      <c r="N65" s="74"/>
      <c r="O65" s="74"/>
      <c r="P65" s="74"/>
      <c r="Q65" s="74"/>
      <c r="R65" s="74"/>
      <c r="S65" s="74"/>
      <c r="T65" s="74"/>
      <c r="U65" s="74"/>
      <c r="V65" s="74"/>
      <c r="W65" s="74"/>
      <c r="X65" s="74"/>
      <c r="Y65" s="71">
        <f>SUM(Y62:Y63)</f>
        <v>28115.41298879476</v>
      </c>
    </row>
    <row r="66" spans="1:26">
      <c r="A66" s="24"/>
      <c r="B66" s="24"/>
      <c r="C66" s="24"/>
      <c r="D66" s="83"/>
      <c r="E66" s="74"/>
      <c r="F66" s="74"/>
      <c r="G66" s="74"/>
      <c r="H66" s="74"/>
      <c r="I66" s="74"/>
      <c r="J66" s="74"/>
      <c r="K66" s="74"/>
      <c r="L66" s="74"/>
      <c r="M66" s="74"/>
      <c r="N66" s="74"/>
      <c r="O66" s="74"/>
      <c r="P66" s="74"/>
      <c r="Q66" s="74"/>
      <c r="R66" s="74"/>
      <c r="S66" s="74"/>
      <c r="T66" s="74"/>
      <c r="U66" s="74"/>
      <c r="V66" s="74"/>
      <c r="W66" s="74"/>
      <c r="X66" s="74"/>
      <c r="Y66" s="71"/>
      <c r="Z66" s="24"/>
    </row>
    <row r="67" spans="1:26" ht="15">
      <c r="A67" s="24"/>
      <c r="B67" s="24"/>
      <c r="C67" s="272" t="str">
        <f>VLOOKUP($D$68,[1]!ACHIEV,MATCH(E$11,$E$11:$Z$11,0)+1,FALSE)</f>
        <v>LO20Fast</v>
      </c>
      <c r="D67" s="272" t="s">
        <v>56</v>
      </c>
      <c r="E67" s="24"/>
      <c r="F67" s="24"/>
      <c r="G67" s="24"/>
      <c r="H67" s="24"/>
      <c r="I67" s="24"/>
      <c r="J67" s="24"/>
      <c r="K67" s="24"/>
      <c r="L67" s="24"/>
      <c r="M67" s="24"/>
      <c r="N67" s="24"/>
      <c r="O67" s="24"/>
      <c r="P67" s="24"/>
      <c r="Q67" s="24"/>
      <c r="R67" s="24"/>
      <c r="S67" s="24"/>
      <c r="T67" s="24"/>
      <c r="U67" s="24"/>
      <c r="V67" s="24"/>
      <c r="W67" s="24"/>
      <c r="X67" s="24"/>
      <c r="Y67" s="71"/>
      <c r="Z67" s="24"/>
    </row>
    <row r="68" spans="1:26" ht="15">
      <c r="A68" s="277" t="s">
        <v>193</v>
      </c>
      <c r="B68" s="24"/>
      <c r="C68" s="24"/>
      <c r="D68" s="272" t="str">
        <f>$C$8</f>
        <v>LEC Exit Sign-NR</v>
      </c>
      <c r="E68" s="273">
        <f>VLOOKUP($D$68,[1]!ACHIEV,MATCH(E$11,$E$11:$Z$11,0)+2,FALSE)</f>
        <v>0.22119921692859512</v>
      </c>
      <c r="F68" s="273">
        <f>VLOOKUP($D$68,[1]!ACHIEV,MATCH(F$11,$E$11:$Z$11,0)+2,FALSE)</f>
        <v>0.37624232795148943</v>
      </c>
      <c r="G68" s="273">
        <f>VLOOKUP($D$68,[1]!ACHIEV,MATCH(G$11,$E$11:$Z$11,0)+2,FALSE)</f>
        <v>0.48357361352878442</v>
      </c>
      <c r="H68" s="273">
        <f>VLOOKUP($D$68,[1]!ACHIEV,MATCH(H$11,$E$11:$Z$11,0)+2,FALSE)</f>
        <v>0.56716330278444227</v>
      </c>
      <c r="I68" s="273">
        <f>VLOOKUP($D$68,[1]!ACHIEV,MATCH(I$11,$E$11:$Z$11,0)+2,FALSE)</f>
        <v>0.64040048266456928</v>
      </c>
      <c r="J68" s="273">
        <f>VLOOKUP($D$68,[1]!ACHIEV,MATCH(J$11,$E$11:$Z$11,0)+2,FALSE)</f>
        <v>0.70377511937632964</v>
      </c>
      <c r="K68" s="273">
        <f>VLOOKUP($D$68,[1]!ACHIEV,MATCH(K$11,$E$11:$Z$11,0)+2,FALSE)</f>
        <v>0.7580669577441127</v>
      </c>
      <c r="L68" s="273">
        <f>VLOOKUP($D$68,[1]!ACHIEV,MATCH(L$11,$E$11:$Z$11,0)+2,FALSE)</f>
        <v>0.80419335000071168</v>
      </c>
      <c r="M68" s="273">
        <f>VLOOKUP($D$68,[1]!ACHIEV,MATCH(M$11,$E$11:$Z$11,0)+2,FALSE)</f>
        <v>0.84311022627788457</v>
      </c>
      <c r="N68" s="273">
        <f>VLOOKUP($D$68,[1]!ACHIEV,MATCH(N$11,$E$11:$Z$11,0)+2,FALSE)</f>
        <v>0.87575014259103623</v>
      </c>
      <c r="O68" s="273">
        <f>VLOOKUP($D$68,[1]!ACHIEV,MATCH(O$11,$E$11:$Z$11,0)+2,FALSE)</f>
        <v>0.90298584871682319</v>
      </c>
      <c r="P68" s="273">
        <f>VLOOKUP($D$68,[1]!ACHIEV,MATCH(P$11,$E$11:$Z$11,0)+2,FALSE)</f>
        <v>0.92419703797508856</v>
      </c>
      <c r="Q68" s="273">
        <f>VLOOKUP($D$68,[1]!ACHIEV,MATCH(Q$11,$E$11:$Z$11,0)+2,FALSE)</f>
        <v>0.94071632877930145</v>
      </c>
      <c r="R68" s="273">
        <f>VLOOKUP($D$68,[1]!ACHIEV,MATCH(R$11,$E$11:$Z$11,0)+2,FALSE)</f>
        <v>0.95358156539340677</v>
      </c>
      <c r="S68" s="273">
        <f>VLOOKUP($D$68,[1]!ACHIEV,MATCH(S$11,$E$11:$Z$11,0)+2,FALSE)</f>
        <v>0.96360102174287088</v>
      </c>
      <c r="T68" s="273">
        <f>VLOOKUP($D$68,[1]!ACHIEV,MATCH(T$11,$E$11:$Z$11,0)+2,FALSE)</f>
        <v>0.97140418219378311</v>
      </c>
      <c r="U68" s="273">
        <f>VLOOKUP($D$68,[1]!ACHIEV,MATCH(U$11,$E$11:$Z$11,0)+2,FALSE)</f>
        <v>0.97748128966338554</v>
      </c>
      <c r="V68" s="273">
        <f>VLOOKUP($D$68,[1]!ACHIEV,MATCH(V$11,$E$11:$Z$11,0)+2,FALSE)</f>
        <v>0.98221414571952104</v>
      </c>
      <c r="W68" s="273">
        <f>VLOOKUP($D$68,[1]!ACHIEV,MATCH(W$11,$E$11:$Z$11,0)+2,FALSE)</f>
        <v>0.98590009772220355</v>
      </c>
      <c r="X68" s="273">
        <f>VLOOKUP($D$68,[1]!ACHIEV,MATCH(X$11,$E$11:$Z$11,0)+2,FALSE)</f>
        <v>0.98877072002825628</v>
      </c>
      <c r="Y68" s="71"/>
      <c r="Z68" s="24"/>
    </row>
    <row r="69" spans="1:26">
      <c r="A69" s="64" t="s">
        <v>55</v>
      </c>
      <c r="B69" s="24"/>
      <c r="C69" s="24"/>
      <c r="D69" s="46" t="str">
        <f t="shared" ref="D69:D70" si="15">D41</f>
        <v>LEC Exit Sign-Double-NR</v>
      </c>
      <c r="E69" s="74">
        <f>SUM(E55,E62)*E$68*$Y$12</f>
        <v>26162.583270373434</v>
      </c>
      <c r="F69" s="74">
        <f>SUM(F55,F62)*F$68*$Y$12</f>
        <v>44309.020028720508</v>
      </c>
      <c r="G69" s="74">
        <f>SUM(G55,G62)*G$68*$Y$12</f>
        <v>56704.311757791613</v>
      </c>
      <c r="H69" s="74">
        <f>SUM(H55,H62)*H$68*$Y$12</f>
        <v>66220.452687381388</v>
      </c>
      <c r="I69" s="74">
        <f>SUM(I55,I62)*I$68*$Y$12</f>
        <v>74450.520820017962</v>
      </c>
      <c r="J69" s="74">
        <f>SUM(J55,J62)*J$68*$Y$12</f>
        <v>81467.350896869044</v>
      </c>
      <c r="K69" s="74">
        <f>SUM(K55,K62)*K$68*$Y$12</f>
        <v>87376.04280207213</v>
      </c>
      <c r="L69" s="74">
        <f>SUM(L55,L62)*L$68*$Y$12</f>
        <v>92295.796200298952</v>
      </c>
      <c r="M69" s="74">
        <f>SUM(M55,M62)*M$68*$Y$12</f>
        <v>96348.277069263379</v>
      </c>
      <c r="N69" s="74">
        <f>SUM(N55,N62)*N$68*$Y$12</f>
        <v>99650.498365421736</v>
      </c>
      <c r="O69" s="74">
        <f>SUM(O55,O62)*O$68*$Y$12</f>
        <v>102310.7739512585</v>
      </c>
      <c r="P69" s="74">
        <f>SUM(P55,P62)*P$68*$Y$12</f>
        <v>104267.18912095361</v>
      </c>
      <c r="Q69" s="74">
        <f>SUM(Q55,Q62)*Q$68*$Y$12</f>
        <v>105678.32947922582</v>
      </c>
      <c r="R69" s="74">
        <f>SUM(R55,R62)*R$68*$Y$12</f>
        <v>106667.16640755208</v>
      </c>
      <c r="S69" s="74">
        <f>SUM(S55,S62)*S$68*$Y$12</f>
        <v>107329.05472626047</v>
      </c>
      <c r="T69" s="74">
        <f>SUM(T55,T62)*T$68*$Y$12</f>
        <v>109421.0198870106</v>
      </c>
      <c r="U69" s="74">
        <f>SUM(U55,U62)*U$68*$Y$12</f>
        <v>110947.76698859718</v>
      </c>
      <c r="V69" s="74">
        <f>SUM(V55,V62)*V$68*$Y$12</f>
        <v>112064.75739408463</v>
      </c>
      <c r="W69" s="74">
        <f>SUM(W55,W62)*W$68*$Y$12</f>
        <v>112991.13798610977</v>
      </c>
      <c r="X69" s="74">
        <f>SUM(X55,X62)*X$68*$Y$12</f>
        <v>113632.24123247918</v>
      </c>
      <c r="Y69" s="71"/>
      <c r="Z69" s="24"/>
    </row>
    <row r="70" spans="1:26">
      <c r="A70" s="24"/>
      <c r="B70" s="24"/>
      <c r="C70" s="24"/>
      <c r="D70" s="46" t="str">
        <f t="shared" si="15"/>
        <v>LEC Exit Sign-Single-NR</v>
      </c>
      <c r="E70" s="74">
        <f>SUM(E56,E63)*E$68*$Y$12</f>
        <v>10777.104069824125</v>
      </c>
      <c r="F70" s="74">
        <f>SUM(F56,F63)*F$68*$Y$12</f>
        <v>18252.131876525757</v>
      </c>
      <c r="G70" s="74">
        <f>SUM(G56,G63)*G$68*$Y$12</f>
        <v>23358.101251167052</v>
      </c>
      <c r="H70" s="74">
        <f>SUM(H56,H63)*H$68*$Y$12</f>
        <v>27278.067413584853</v>
      </c>
      <c r="I70" s="74">
        <f>SUM(I56,I63)*I$68*$Y$12</f>
        <v>30668.264010402072</v>
      </c>
      <c r="J70" s="74">
        <f>SUM(J56,J63)*J$68*$Y$12</f>
        <v>33558.69372053432</v>
      </c>
      <c r="K70" s="74">
        <f>SUM(K56,K63)*K$68*$Y$12</f>
        <v>35992.650142987863</v>
      </c>
      <c r="L70" s="74">
        <f>SUM(L56,L63)*L$68*$Y$12</f>
        <v>38019.234973034145</v>
      </c>
      <c r="M70" s="74">
        <f>SUM(M56,M63)*M$68*$Y$12</f>
        <v>39688.565849670376</v>
      </c>
      <c r="N70" s="74">
        <f>SUM(N56,N63)*N$68*$Y$12</f>
        <v>41048.843701536352</v>
      </c>
      <c r="O70" s="74">
        <f>SUM(O56,O63)*O$68*$Y$12</f>
        <v>42144.686055736944</v>
      </c>
      <c r="P70" s="74">
        <f>SUM(P56,P63)*P$68*$Y$12</f>
        <v>42950.588503124978</v>
      </c>
      <c r="Q70" s="74">
        <f>SUM(Q56,Q63)*Q$68*$Y$12</f>
        <v>43531.876915705005</v>
      </c>
      <c r="R70" s="74">
        <f>SUM(R56,R63)*R$68*$Y$12</f>
        <v>43939.206665008656</v>
      </c>
      <c r="S70" s="74">
        <f>SUM(S56,S63)*S$68*$Y$12</f>
        <v>44211.857084105424</v>
      </c>
      <c r="T70" s="74">
        <f>SUM(T56,T63)*T$68*$Y$12</f>
        <v>45073.596386178891</v>
      </c>
      <c r="U70" s="74">
        <f>SUM(U56,U63)*U$68*$Y$12</f>
        <v>45702.506468645159</v>
      </c>
      <c r="V70" s="74">
        <f>SUM(V56,V63)*V$68*$Y$12</f>
        <v>46162.626240478436</v>
      </c>
      <c r="W70" s="74">
        <f>SUM(W56,W63)*W$68*$Y$12</f>
        <v>46544.22846780227</v>
      </c>
      <c r="X70" s="74">
        <f>SUM(X56,X63)*X$68*$Y$12</f>
        <v>46808.316930865061</v>
      </c>
      <c r="Y70" s="71"/>
      <c r="Z70" s="24"/>
    </row>
    <row r="71" spans="1:26">
      <c r="A71" s="24"/>
      <c r="B71" s="24"/>
      <c r="C71" s="24"/>
      <c r="D71" s="83"/>
      <c r="E71" s="74"/>
      <c r="F71" s="74"/>
      <c r="G71" s="74"/>
      <c r="H71" s="74"/>
      <c r="I71" s="74"/>
      <c r="J71" s="74"/>
      <c r="K71" s="74"/>
      <c r="L71" s="74"/>
      <c r="M71" s="74"/>
      <c r="N71" s="74"/>
      <c r="O71" s="74"/>
      <c r="P71" s="74"/>
      <c r="Q71" s="74"/>
      <c r="R71" s="74"/>
      <c r="S71" s="74"/>
      <c r="T71" s="74"/>
      <c r="U71" s="74"/>
      <c r="V71" s="74"/>
      <c r="W71" s="74"/>
      <c r="X71" s="74"/>
      <c r="Y71" s="71"/>
      <c r="Z71" s="24"/>
    </row>
    <row r="72" spans="1:26">
      <c r="A72" s="24"/>
      <c r="B72" s="24"/>
      <c r="C72" s="24"/>
      <c r="D72" s="83" t="s">
        <v>194</v>
      </c>
      <c r="E72" s="74">
        <f>SUM(E69:E70)</f>
        <v>36939.687340197561</v>
      </c>
      <c r="F72" s="74">
        <f>SUM(F69:F70)</f>
        <v>62561.151905246268</v>
      </c>
      <c r="G72" s="74">
        <f>SUM(G69:G70)</f>
        <v>80062.413008958669</v>
      </c>
      <c r="H72" s="74">
        <f>SUM(H69:H70)</f>
        <v>93498.520100966241</v>
      </c>
      <c r="I72" s="74">
        <f>SUM(I69:I70)</f>
        <v>105118.78483042003</v>
      </c>
      <c r="J72" s="74">
        <f>SUM(J69:J70)</f>
        <v>115026.04461740336</v>
      </c>
      <c r="K72" s="74">
        <f>SUM(K69:K70)</f>
        <v>123368.69294506</v>
      </c>
      <c r="L72" s="74">
        <f>SUM(L69:L70)</f>
        <v>130315.03117333309</v>
      </c>
      <c r="M72" s="74">
        <f>SUM(M69:M70)</f>
        <v>136036.84291893375</v>
      </c>
      <c r="N72" s="74">
        <f>SUM(N69:N70)</f>
        <v>140699.34206695808</v>
      </c>
      <c r="O72" s="74">
        <f>SUM(O69:O70)</f>
        <v>144455.46000699545</v>
      </c>
      <c r="P72" s="74">
        <f>SUM(P69:P70)</f>
        <v>147217.77762407859</v>
      </c>
      <c r="Q72" s="74">
        <f>SUM(Q69:Q70)</f>
        <v>149210.20639493084</v>
      </c>
      <c r="R72" s="74">
        <f>SUM(R69:R70)</f>
        <v>150606.37307256073</v>
      </c>
      <c r="S72" s="74">
        <f>SUM(S69:S70)</f>
        <v>151540.91181036588</v>
      </c>
      <c r="T72" s="74">
        <f>SUM(T69:T70)</f>
        <v>154494.61627318949</v>
      </c>
      <c r="U72" s="74">
        <f>SUM(U69:U70)</f>
        <v>156650.27345724235</v>
      </c>
      <c r="V72" s="74">
        <f>SUM(V69:V70)</f>
        <v>158227.38363456307</v>
      </c>
      <c r="W72" s="74">
        <f>SUM(W69:W70)</f>
        <v>159535.36645391205</v>
      </c>
      <c r="X72" s="74">
        <f>SUM(X69:X70)</f>
        <v>160440.55816334425</v>
      </c>
      <c r="Y72" s="71"/>
      <c r="Z72" s="24"/>
    </row>
    <row r="73" spans="1:26">
      <c r="A73" s="24"/>
      <c r="B73" s="24"/>
      <c r="C73" s="24"/>
      <c r="D73" s="83"/>
      <c r="E73" s="74"/>
      <c r="F73" s="74"/>
      <c r="G73" s="74"/>
      <c r="H73" s="74"/>
      <c r="I73" s="74"/>
      <c r="J73" s="74"/>
      <c r="K73" s="74"/>
      <c r="L73" s="74"/>
      <c r="M73" s="74"/>
      <c r="N73" s="74"/>
      <c r="O73" s="74"/>
      <c r="P73" s="74"/>
      <c r="Q73" s="74"/>
      <c r="R73" s="74"/>
      <c r="S73" s="74"/>
      <c r="T73" s="74"/>
      <c r="U73" s="74"/>
      <c r="V73" s="74"/>
      <c r="W73" s="74"/>
      <c r="X73" s="74"/>
      <c r="Y73" s="71"/>
      <c r="Z73" s="24"/>
    </row>
    <row r="74" spans="1:26">
      <c r="A74" s="24"/>
      <c r="B74" s="24"/>
      <c r="C74" s="24"/>
      <c r="D74" s="83"/>
      <c r="E74" s="74"/>
      <c r="F74" s="74"/>
      <c r="G74" s="74"/>
      <c r="H74" s="74"/>
      <c r="I74" s="74"/>
      <c r="J74" s="74"/>
      <c r="K74" s="74"/>
      <c r="L74" s="74"/>
      <c r="M74" s="74"/>
      <c r="N74" s="74"/>
      <c r="O74" s="74"/>
      <c r="P74" s="74"/>
      <c r="Q74" s="74"/>
      <c r="R74" s="74"/>
      <c r="S74" s="74"/>
      <c r="T74" s="74"/>
      <c r="U74" s="74"/>
      <c r="V74" s="74"/>
      <c r="W74" s="74"/>
      <c r="X74" s="74"/>
      <c r="Y74" s="71"/>
      <c r="Z74" s="24"/>
    </row>
    <row r="75" spans="1:26" ht="15">
      <c r="A75" s="277" t="s">
        <v>195</v>
      </c>
      <c r="B75" s="24"/>
      <c r="C75" s="24"/>
      <c r="D75" s="272" t="str">
        <f>$C$8</f>
        <v>LEC Exit Sign-NR</v>
      </c>
      <c r="E75" s="272">
        <v>1</v>
      </c>
      <c r="F75" s="272">
        <v>2</v>
      </c>
      <c r="G75" s="272">
        <v>3</v>
      </c>
      <c r="H75" s="272">
        <v>4</v>
      </c>
      <c r="I75" s="272">
        <v>5</v>
      </c>
      <c r="J75" s="272">
        <v>6</v>
      </c>
      <c r="K75" s="272">
        <v>7</v>
      </c>
      <c r="L75" s="272">
        <v>8</v>
      </c>
      <c r="M75" s="272">
        <v>9</v>
      </c>
      <c r="N75" s="272">
        <v>10</v>
      </c>
      <c r="O75" s="272">
        <v>11</v>
      </c>
      <c r="P75" s="272">
        <v>12</v>
      </c>
      <c r="Q75" s="272">
        <v>13</v>
      </c>
      <c r="R75" s="272">
        <v>14</v>
      </c>
      <c r="S75" s="272">
        <v>15</v>
      </c>
      <c r="T75" s="272">
        <v>16</v>
      </c>
      <c r="U75" s="272">
        <v>17</v>
      </c>
      <c r="V75" s="272">
        <v>18</v>
      </c>
      <c r="W75" s="272">
        <v>19</v>
      </c>
      <c r="X75" s="272">
        <v>20</v>
      </c>
      <c r="Y75" s="71"/>
      <c r="Z75" s="24"/>
    </row>
    <row r="76" spans="1:26">
      <c r="A76" s="64" t="s">
        <v>55</v>
      </c>
      <c r="B76" s="24"/>
      <c r="D76" s="46" t="str">
        <f t="shared" ref="D76:D77" si="16">D41</f>
        <v>LEC Exit Sign-Double-NR</v>
      </c>
      <c r="E76" s="74">
        <f>E69</f>
        <v>26162.583270373434</v>
      </c>
      <c r="F76" s="74">
        <f>E76+F69</f>
        <v>70471.603299093942</v>
      </c>
      <c r="G76" s="74">
        <f>F76+G69</f>
        <v>127175.91505688555</v>
      </c>
      <c r="H76" s="74">
        <f>G76+H69</f>
        <v>193396.36774426693</v>
      </c>
      <c r="I76" s="74">
        <f>H76+I69</f>
        <v>267846.88856428489</v>
      </c>
      <c r="J76" s="74">
        <f>I76+J69</f>
        <v>349314.23946115392</v>
      </c>
      <c r="K76" s="74">
        <f>J76+K69</f>
        <v>436690.28226322605</v>
      </c>
      <c r="L76" s="74">
        <f>K76+L69</f>
        <v>528986.07846352505</v>
      </c>
      <c r="M76" s="74">
        <f>L76+M69</f>
        <v>625334.35553278844</v>
      </c>
      <c r="N76" s="74">
        <f>M76+N69</f>
        <v>724984.85389821022</v>
      </c>
      <c r="O76" s="74">
        <f>N76+O69</f>
        <v>827295.62784946873</v>
      </c>
      <c r="P76" s="74">
        <f>O76+P69</f>
        <v>931562.8169704224</v>
      </c>
      <c r="Q76" s="74">
        <f>P76+Q69</f>
        <v>1037241.1464496482</v>
      </c>
      <c r="R76" s="74">
        <f>Q76+R69</f>
        <v>1143908.3128572004</v>
      </c>
      <c r="S76" s="74">
        <f>R76+S69</f>
        <v>1251237.3675834609</v>
      </c>
      <c r="T76" s="74">
        <f>S76+T69</f>
        <v>1360658.3874704714</v>
      </c>
      <c r="U76" s="74">
        <f>T76+U69</f>
        <v>1471606.1544590686</v>
      </c>
      <c r="V76" s="74">
        <f>U76+V69</f>
        <v>1583670.9118531533</v>
      </c>
      <c r="W76" s="74">
        <f>V76+W69</f>
        <v>1696662.0498392631</v>
      </c>
      <c r="X76" s="74">
        <f>W76+X69</f>
        <v>1810294.2910717423</v>
      </c>
      <c r="Y76" s="71"/>
      <c r="Z76" s="24"/>
    </row>
    <row r="77" spans="1:26">
      <c r="A77" s="24"/>
      <c r="D77" s="46" t="str">
        <f t="shared" si="16"/>
        <v>LEC Exit Sign-Single-NR</v>
      </c>
      <c r="E77" s="74">
        <f>E70</f>
        <v>10777.104069824125</v>
      </c>
      <c r="F77" s="74">
        <f>E77+F70</f>
        <v>29029.23594634988</v>
      </c>
      <c r="G77" s="74">
        <f>F77+G70</f>
        <v>52387.337197516928</v>
      </c>
      <c r="H77" s="74">
        <f>G77+H70</f>
        <v>79665.404611101781</v>
      </c>
      <c r="I77" s="74">
        <f>H77+I70</f>
        <v>110333.66862150385</v>
      </c>
      <c r="J77" s="74">
        <f>I77+J70</f>
        <v>143892.36234203816</v>
      </c>
      <c r="K77" s="74">
        <f>J77+K70</f>
        <v>179885.01248502603</v>
      </c>
      <c r="L77" s="74">
        <f>K77+L70</f>
        <v>217904.24745806018</v>
      </c>
      <c r="M77" s="74">
        <f>L77+M70</f>
        <v>257592.81330773057</v>
      </c>
      <c r="N77" s="74">
        <f>M77+N70</f>
        <v>298641.6570092669</v>
      </c>
      <c r="O77" s="74">
        <f>N77+O70</f>
        <v>340786.34306500386</v>
      </c>
      <c r="P77" s="74">
        <f>O77+P70</f>
        <v>383736.93156812887</v>
      </c>
      <c r="Q77" s="74">
        <f>P77+Q70</f>
        <v>427268.80848383385</v>
      </c>
      <c r="R77" s="74">
        <f>Q77+R70</f>
        <v>471208.01514884253</v>
      </c>
      <c r="S77" s="74">
        <f>R77+S70</f>
        <v>515419.87223294796</v>
      </c>
      <c r="T77" s="74">
        <f>S77+T70</f>
        <v>560493.46861912683</v>
      </c>
      <c r="U77" s="74">
        <f>T77+U70</f>
        <v>606195.97508777201</v>
      </c>
      <c r="V77" s="74">
        <f>U77+V70</f>
        <v>652358.60132825049</v>
      </c>
      <c r="W77" s="74">
        <f>V77+W70</f>
        <v>698902.82979605277</v>
      </c>
      <c r="X77" s="74">
        <f>W77+X70</f>
        <v>745711.14672691782</v>
      </c>
      <c r="Y77" s="71"/>
      <c r="Z77" s="24"/>
    </row>
    <row r="78" spans="1:26">
      <c r="A78" s="24"/>
      <c r="C78" s="24"/>
      <c r="D78" s="83"/>
      <c r="E78" s="24"/>
      <c r="F78" s="24"/>
      <c r="G78" s="24"/>
      <c r="H78" s="24"/>
      <c r="I78" s="24"/>
      <c r="J78" s="24"/>
      <c r="K78" s="24"/>
      <c r="L78" s="24"/>
      <c r="M78" s="24"/>
      <c r="N78" s="24"/>
      <c r="O78" s="24"/>
      <c r="P78" s="24"/>
      <c r="Q78" s="24"/>
      <c r="R78" s="24"/>
      <c r="S78" s="24"/>
      <c r="T78" s="24"/>
      <c r="U78" s="24"/>
      <c r="V78" s="24"/>
      <c r="W78" s="24"/>
      <c r="X78" s="24"/>
      <c r="Y78" s="71"/>
      <c r="Z78" s="24"/>
    </row>
    <row r="79" spans="1:26">
      <c r="A79" s="24"/>
      <c r="B79" s="24"/>
      <c r="C79" s="24"/>
      <c r="D79" s="83" t="s">
        <v>194</v>
      </c>
      <c r="E79" s="74">
        <f>SUM(E76:E77)</f>
        <v>36939.687340197561</v>
      </c>
      <c r="F79" s="74">
        <f>SUM(F76:F77)</f>
        <v>99500.839245443814</v>
      </c>
      <c r="G79" s="74">
        <f>SUM(G76:G77)</f>
        <v>179563.2522544025</v>
      </c>
      <c r="H79" s="74">
        <f>SUM(H76:H77)</f>
        <v>273061.77235536871</v>
      </c>
      <c r="I79" s="74">
        <f>SUM(I76:I77)</f>
        <v>378180.55718578876</v>
      </c>
      <c r="J79" s="74">
        <f>SUM(J76:J77)</f>
        <v>493206.60180319205</v>
      </c>
      <c r="K79" s="74">
        <f>SUM(K76:K77)</f>
        <v>616575.29474825202</v>
      </c>
      <c r="L79" s="74">
        <f>SUM(L76:L77)</f>
        <v>746890.3259215852</v>
      </c>
      <c r="M79" s="74">
        <f>SUM(M76:M77)</f>
        <v>882927.16884051904</v>
      </c>
      <c r="N79" s="74">
        <f>SUM(N76:N77)</f>
        <v>1023626.5109074771</v>
      </c>
      <c r="O79" s="74">
        <f>SUM(O76:O77)</f>
        <v>1168081.9709144726</v>
      </c>
      <c r="P79" s="74">
        <f>SUM(P76:P77)</f>
        <v>1315299.7485385514</v>
      </c>
      <c r="Q79" s="74">
        <f>SUM(Q76:Q77)</f>
        <v>1464509.954933482</v>
      </c>
      <c r="R79" s="74">
        <f>SUM(R76:R77)</f>
        <v>1615116.3280060429</v>
      </c>
      <c r="S79" s="74">
        <f>SUM(S76:S77)</f>
        <v>1766657.2398164088</v>
      </c>
      <c r="T79" s="74">
        <f>SUM(T76:T77)</f>
        <v>1921151.8560895983</v>
      </c>
      <c r="U79" s="74">
        <f>SUM(U76:U77)</f>
        <v>2077802.1295468407</v>
      </c>
      <c r="V79" s="74">
        <f>SUM(V76:V77)</f>
        <v>2236029.5131814037</v>
      </c>
      <c r="W79" s="74">
        <f>SUM(W76:W77)</f>
        <v>2395564.8796353159</v>
      </c>
      <c r="X79" s="74">
        <f>SUM(X76:X77)</f>
        <v>2556005.4377986602</v>
      </c>
      <c r="Y79" s="71"/>
      <c r="Z79" s="24"/>
    </row>
    <row r="80" spans="1:26">
      <c r="A80" s="24"/>
      <c r="B80" s="24"/>
      <c r="C80" s="24"/>
      <c r="D80" s="83"/>
      <c r="E80" s="74"/>
      <c r="F80" s="74"/>
      <c r="G80" s="74"/>
      <c r="H80" s="74"/>
      <c r="I80" s="74"/>
      <c r="J80" s="74"/>
      <c r="K80" s="74"/>
      <c r="L80" s="74"/>
      <c r="M80" s="74"/>
      <c r="N80" s="74"/>
      <c r="O80" s="74"/>
      <c r="P80" s="74"/>
      <c r="Q80" s="74"/>
      <c r="R80" s="74"/>
      <c r="S80" s="74"/>
      <c r="T80" s="74"/>
      <c r="U80" s="74"/>
      <c r="V80" s="74"/>
      <c r="W80" s="74"/>
      <c r="X80" s="74"/>
      <c r="Y80" s="71"/>
      <c r="Z80" s="24"/>
    </row>
    <row r="81" spans="1:26">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
      <c r="A82" s="277" t="s">
        <v>59</v>
      </c>
      <c r="B82" s="24"/>
      <c r="C82" s="98"/>
      <c r="D82" s="84" t="s">
        <v>181</v>
      </c>
      <c r="E82" s="283" t="s">
        <v>196</v>
      </c>
      <c r="F82" s="24"/>
      <c r="G82" s="24"/>
      <c r="H82" s="24"/>
      <c r="I82" s="24"/>
      <c r="J82" s="24"/>
      <c r="K82" s="24"/>
      <c r="L82" s="24"/>
      <c r="M82" s="24"/>
      <c r="N82" s="24"/>
      <c r="O82" s="24"/>
      <c r="P82" s="24"/>
      <c r="Q82" s="24"/>
      <c r="R82" s="24"/>
      <c r="S82" s="24"/>
      <c r="T82" s="24"/>
      <c r="U82" s="24"/>
      <c r="V82" s="24"/>
      <c r="W82" s="24"/>
      <c r="X82" s="24"/>
      <c r="Y82" s="24"/>
      <c r="Z82" s="24"/>
    </row>
    <row r="83" spans="1:26" ht="15">
      <c r="A83" s="272" t="s">
        <v>197</v>
      </c>
      <c r="B83" s="272" t="s">
        <v>61</v>
      </c>
      <c r="C83" s="272"/>
      <c r="D83" s="272">
        <v>1</v>
      </c>
      <c r="E83" s="274">
        <f t="shared" ref="E83:X83" si="17">E11</f>
        <v>2016</v>
      </c>
      <c r="F83" s="274">
        <f t="shared" si="17"/>
        <v>2017</v>
      </c>
      <c r="G83" s="274">
        <f t="shared" si="17"/>
        <v>2018</v>
      </c>
      <c r="H83" s="274">
        <f t="shared" si="17"/>
        <v>2019</v>
      </c>
      <c r="I83" s="274">
        <f t="shared" si="17"/>
        <v>2020</v>
      </c>
      <c r="J83" s="274">
        <f t="shared" si="17"/>
        <v>2021</v>
      </c>
      <c r="K83" s="274">
        <f t="shared" si="17"/>
        <v>2022</v>
      </c>
      <c r="L83" s="274">
        <f t="shared" si="17"/>
        <v>2023</v>
      </c>
      <c r="M83" s="274">
        <f t="shared" si="17"/>
        <v>2024</v>
      </c>
      <c r="N83" s="274">
        <f t="shared" si="17"/>
        <v>2025</v>
      </c>
      <c r="O83" s="274">
        <f t="shared" si="17"/>
        <v>2026</v>
      </c>
      <c r="P83" s="274">
        <f t="shared" si="17"/>
        <v>2027</v>
      </c>
      <c r="Q83" s="274">
        <f t="shared" si="17"/>
        <v>2028</v>
      </c>
      <c r="R83" s="274">
        <f t="shared" si="17"/>
        <v>2029</v>
      </c>
      <c r="S83" s="274">
        <f t="shared" si="17"/>
        <v>2030</v>
      </c>
      <c r="T83" s="274">
        <f t="shared" si="17"/>
        <v>2031</v>
      </c>
      <c r="U83" s="274">
        <f t="shared" si="17"/>
        <v>2032</v>
      </c>
      <c r="V83" s="274">
        <f t="shared" si="17"/>
        <v>2033</v>
      </c>
      <c r="W83" s="274">
        <f t="shared" si="17"/>
        <v>2034</v>
      </c>
      <c r="X83" s="274">
        <f t="shared" si="17"/>
        <v>2035</v>
      </c>
      <c r="Y83" s="67" t="s">
        <v>53</v>
      </c>
    </row>
    <row r="84" spans="1:26" ht="15">
      <c r="A84" s="272" t="s">
        <v>62</v>
      </c>
      <c r="B84" s="272" t="s">
        <v>63</v>
      </c>
      <c r="C84" s="272" t="s">
        <v>64</v>
      </c>
      <c r="D84" s="272" t="s">
        <v>65</v>
      </c>
      <c r="E84" s="86" t="str">
        <f>CONCATENATE("aMW_",E$11)</f>
        <v>aMW_2016</v>
      </c>
      <c r="F84" s="86" t="str">
        <f t="shared" ref="F84:X84" si="18">CONCATENATE("aMW_",F$11)</f>
        <v>aMW_2017</v>
      </c>
      <c r="G84" s="86" t="str">
        <f t="shared" si="18"/>
        <v>aMW_2018</v>
      </c>
      <c r="H84" s="86" t="str">
        <f t="shared" si="18"/>
        <v>aMW_2019</v>
      </c>
      <c r="I84" s="86" t="str">
        <f t="shared" si="18"/>
        <v>aMW_2020</v>
      </c>
      <c r="J84" s="86" t="str">
        <f t="shared" si="18"/>
        <v>aMW_2021</v>
      </c>
      <c r="K84" s="86" t="str">
        <f t="shared" si="18"/>
        <v>aMW_2022</v>
      </c>
      <c r="L84" s="86" t="str">
        <f t="shared" si="18"/>
        <v>aMW_2023</v>
      </c>
      <c r="M84" s="86" t="str">
        <f t="shared" si="18"/>
        <v>aMW_2024</v>
      </c>
      <c r="N84" s="86" t="str">
        <f t="shared" si="18"/>
        <v>aMW_2025</v>
      </c>
      <c r="O84" s="86" t="str">
        <f t="shared" si="18"/>
        <v>aMW_2026</v>
      </c>
      <c r="P84" s="86" t="str">
        <f t="shared" si="18"/>
        <v>aMW_2027</v>
      </c>
      <c r="Q84" s="86" t="str">
        <f t="shared" si="18"/>
        <v>aMW_2028</v>
      </c>
      <c r="R84" s="86" t="str">
        <f t="shared" si="18"/>
        <v>aMW_2029</v>
      </c>
      <c r="S84" s="86" t="str">
        <f t="shared" si="18"/>
        <v>aMW_2030</v>
      </c>
      <c r="T84" s="86" t="str">
        <f t="shared" si="18"/>
        <v>aMW_2031</v>
      </c>
      <c r="U84" s="86" t="str">
        <f t="shared" si="18"/>
        <v>aMW_2032</v>
      </c>
      <c r="V84" s="86" t="str">
        <f t="shared" si="18"/>
        <v>aMW_2033</v>
      </c>
      <c r="W84" s="86" t="str">
        <f t="shared" si="18"/>
        <v>aMW_2034</v>
      </c>
      <c r="X84" s="86" t="str">
        <f t="shared" si="18"/>
        <v>aMW_2035</v>
      </c>
      <c r="Y84" s="67" t="s">
        <v>53</v>
      </c>
    </row>
    <row r="85" spans="1:26">
      <c r="A85" s="87">
        <f>VLOOKUP(D85,MeasOut,3,FALSE)</f>
        <v>64.032340478741247</v>
      </c>
      <c r="B85" s="88">
        <f>VLOOKUP(D85,MeasOut,11,FALSE)</f>
        <v>9.8774252761486263</v>
      </c>
      <c r="D85" s="24" t="str">
        <f t="shared" ref="D85:D86" si="19">D41</f>
        <v>LEC Exit Sign-Double-NR</v>
      </c>
      <c r="E85" s="89">
        <f>E69*$D$83*$A85/8760/1000</f>
        <v>0.19123874883241684</v>
      </c>
      <c r="F85" s="89">
        <f>F69*$D$83*$A85/8760/1000</f>
        <v>0.32388244940164351</v>
      </c>
      <c r="G85" s="89">
        <f>G69*$D$83*$A85/8760/1000</f>
        <v>0.41448741975885883</v>
      </c>
      <c r="H85" s="89">
        <f>H69*$D$83*$A85/8760/1000</f>
        <v>0.48404686907931288</v>
      </c>
      <c r="I85" s="89">
        <f>I69*$D$83*$A85/8760/1000</f>
        <v>0.54420560479075386</v>
      </c>
      <c r="J85" s="89">
        <f>J69*$D$83*$A85/8760/1000</f>
        <v>0.5954960217499321</v>
      </c>
      <c r="K85" s="89">
        <f>K69*$D$83*$A85/8760/1000</f>
        <v>0.63868636100312226</v>
      </c>
      <c r="L85" s="89">
        <f>L69*$D$83*$A85/8760/1000</f>
        <v>0.67464792774589666</v>
      </c>
      <c r="M85" s="89">
        <f>M69*$D$83*$A85/8760/1000</f>
        <v>0.7042700550044716</v>
      </c>
      <c r="N85" s="89">
        <f>N69*$D$83*$A85/8760/1000</f>
        <v>0.72840806395101965</v>
      </c>
      <c r="O85" s="89">
        <f>O69*$D$83*$A85/8760/1000</f>
        <v>0.74785368861763868</v>
      </c>
      <c r="P85" s="89">
        <f>P69*$D$83*$A85/8760/1000</f>
        <v>0.76215435554271771</v>
      </c>
      <c r="Q85" s="89">
        <f>Q69*$D$83*$A85/8760/1000</f>
        <v>0.7724692664884002</v>
      </c>
      <c r="R85" s="89">
        <f>R69*$D$83*$A85/8760/1000</f>
        <v>0.77969729649668107</v>
      </c>
      <c r="S85" s="89">
        <f>S69*$D$83*$A85/8760/1000</f>
        <v>0.78453545382344325</v>
      </c>
      <c r="T85" s="89">
        <f>T69*$D$83*$A85/8760/1000</f>
        <v>0.79982694074613925</v>
      </c>
      <c r="U85" s="89">
        <f>U69*$D$83*$A85/8760/1000</f>
        <v>0.81098689396916712</v>
      </c>
      <c r="V85" s="89">
        <f>V69*$D$83*$A85/8760/1000</f>
        <v>0.8191516782106808</v>
      </c>
      <c r="W85" s="89">
        <f>W69*$D$83*$A85/8760/1000</f>
        <v>0.82592317564007012</v>
      </c>
      <c r="X85" s="89">
        <f>X69*$D$83*$A85/8760/1000</f>
        <v>0.83060940182198262</v>
      </c>
      <c r="Y85" s="73">
        <f>((VLOOKUP($D85,$D$54:$Z$56,$X$75+2,FALSE)+VLOOKUP($D85,$D$61:$Z$63,$X$75+2,FALSE)))*$A85*$D$83/8760/1000</f>
        <v>16.751063411202892</v>
      </c>
    </row>
    <row r="86" spans="1:26">
      <c r="A86" s="87">
        <f>VLOOKUP(D86,MeasOut,3,FALSE)</f>
        <v>31.912740614515091</v>
      </c>
      <c r="B86" s="88">
        <f>VLOOKUP(D86,MeasOut,11,FALSE)</f>
        <v>26.995982092312257</v>
      </c>
      <c r="D86" s="24" t="str">
        <f t="shared" si="19"/>
        <v>LEC Exit Sign-Single-NR</v>
      </c>
      <c r="E86" s="89">
        <f>E70*$D$83*$A86/8760/1000</f>
        <v>3.9261064698165773E-2</v>
      </c>
      <c r="F86" s="89">
        <f>F70*$D$83*$A86/8760/1000</f>
        <v>6.6492642721174541E-2</v>
      </c>
      <c r="G86" s="89">
        <f>G70*$D$83*$A86/8760/1000</f>
        <v>8.5093724483570152E-2</v>
      </c>
      <c r="H86" s="89">
        <f>H70*$D$83*$A86/8760/1000</f>
        <v>9.9374188337327612E-2</v>
      </c>
      <c r="I86" s="89">
        <f>I70*$D$83*$A86/8760/1000</f>
        <v>0.1117246979978801</v>
      </c>
      <c r="J86" s="89">
        <f>J70*$D$83*$A86/8760/1000</f>
        <v>0.12225455343211965</v>
      </c>
      <c r="K86" s="89">
        <f>K70*$D$83*$A86/8760/1000</f>
        <v>0.13112147352079467</v>
      </c>
      <c r="L86" s="89">
        <f>L70*$D$83*$A86/8760/1000</f>
        <v>0.13850433607953644</v>
      </c>
      <c r="M86" s="89">
        <f>M70*$D$83*$A86/8760/1000</f>
        <v>0.14458572001399911</v>
      </c>
      <c r="N86" s="89">
        <f>N70*$D$83*$A86/8760/1000</f>
        <v>0.14954122164074213</v>
      </c>
      <c r="O86" s="89">
        <f>O70*$D$83*$A86/8760/1000</f>
        <v>0.15353338291973792</v>
      </c>
      <c r="P86" s="89">
        <f>P70*$D$83*$A86/8760/1000</f>
        <v>0.15646929111198646</v>
      </c>
      <c r="Q86" s="89">
        <f>Q70*$D$83*$A86/8760/1000</f>
        <v>0.15858692882122041</v>
      </c>
      <c r="R86" s="89">
        <f>R70*$D$83*$A86/8760/1000</f>
        <v>0.16007083391643767</v>
      </c>
      <c r="S86" s="89">
        <f>S70*$D$83*$A86/8760/1000</f>
        <v>0.16106410127980228</v>
      </c>
      <c r="T86" s="89">
        <f>T70*$D$83*$A86/8760/1000</f>
        <v>0.16420342352003101</v>
      </c>
      <c r="U86" s="89">
        <f>U70*$D$83*$A86/8760/1000</f>
        <v>0.16649454730217703</v>
      </c>
      <c r="V86" s="89">
        <f>V70*$D$83*$A86/8760/1000</f>
        <v>0.16817076681474843</v>
      </c>
      <c r="W86" s="89">
        <f>W70*$D$83*$A86/8760/1000</f>
        <v>0.16956094636937249</v>
      </c>
      <c r="X86" s="89">
        <f>X70*$D$83*$A86/8760/1000</f>
        <v>0.17052302246766118</v>
      </c>
      <c r="Y86" s="73">
        <f>((VLOOKUP($D86,$D$54:$Z$56,$X$75+2,FALSE)+VLOOKUP($D86,$D$61:$Z$63,$X$75+2,FALSE)))*$A86*$D$83/8760/1000</f>
        <v>3.4389713819275616</v>
      </c>
    </row>
    <row r="87" spans="1:26">
      <c r="A87" s="24"/>
      <c r="B87" s="24"/>
      <c r="C87" s="24"/>
      <c r="D87" s="24"/>
      <c r="E87" s="89"/>
      <c r="F87" s="89"/>
      <c r="G87" s="89"/>
      <c r="H87" s="89"/>
      <c r="I87" s="89"/>
      <c r="J87" s="89"/>
      <c r="K87" s="89"/>
      <c r="L87" s="89"/>
      <c r="M87" s="89"/>
      <c r="N87" s="89"/>
      <c r="O87" s="89"/>
      <c r="P87" s="89"/>
      <c r="Q87" s="89"/>
      <c r="R87" s="89"/>
      <c r="S87" s="89"/>
      <c r="T87" s="89"/>
      <c r="U87" s="89"/>
      <c r="V87" s="89"/>
      <c r="W87" s="89"/>
      <c r="X87" s="89"/>
      <c r="Y87" s="108"/>
    </row>
    <row r="88" spans="1:26">
      <c r="A88" s="24"/>
      <c r="B88" s="88">
        <f>SUMPRODUCT(B85:B86,A85:A86)/SUM(A85:A86)</f>
        <v>15.571308246950212</v>
      </c>
      <c r="C88" s="24"/>
      <c r="D88" s="24" t="s">
        <v>198</v>
      </c>
      <c r="E88" s="45">
        <f>SUM(E85:E86)</f>
        <v>0.23049981353058263</v>
      </c>
      <c r="F88" s="45">
        <f>SUM(F85:F86)</f>
        <v>0.39037509212281807</v>
      </c>
      <c r="G88" s="45">
        <f>SUM(G85:G86)</f>
        <v>0.499581144242429</v>
      </c>
      <c r="H88" s="45">
        <f>SUM(H85:H86)</f>
        <v>0.58342105741664052</v>
      </c>
      <c r="I88" s="45">
        <f>SUM(I85:I86)</f>
        <v>0.65593030278863396</v>
      </c>
      <c r="J88" s="45">
        <f>SUM(J85:J86)</f>
        <v>0.71775057518205176</v>
      </c>
      <c r="K88" s="45">
        <f>SUM(K85:K86)</f>
        <v>0.76980783452391699</v>
      </c>
      <c r="L88" s="45">
        <f>SUM(L85:L86)</f>
        <v>0.81315226382543315</v>
      </c>
      <c r="M88" s="45">
        <f>SUM(M85:M86)</f>
        <v>0.84885577501847065</v>
      </c>
      <c r="N88" s="45">
        <f>SUM(N85:N86)</f>
        <v>0.87794928559176177</v>
      </c>
      <c r="O88" s="45">
        <f>SUM(O85:O86)</f>
        <v>0.90138707153737663</v>
      </c>
      <c r="P88" s="45">
        <f>SUM(P85:P86)</f>
        <v>0.9186236466547042</v>
      </c>
      <c r="Q88" s="45">
        <f>SUM(Q85:Q86)</f>
        <v>0.93105619530962058</v>
      </c>
      <c r="R88" s="45">
        <f>SUM(R85:R86)</f>
        <v>0.93976813041311869</v>
      </c>
      <c r="S88" s="45">
        <f>SUM(S85:S86)</f>
        <v>0.94559955510324556</v>
      </c>
      <c r="T88" s="45">
        <f>SUM(T85:T86)</f>
        <v>0.96403036426617028</v>
      </c>
      <c r="U88" s="45">
        <f>SUM(U85:U86)</f>
        <v>0.97748144127134418</v>
      </c>
      <c r="V88" s="45">
        <f>SUM(V85:V86)</f>
        <v>0.98732244502542921</v>
      </c>
      <c r="W88" s="45">
        <f>SUM(W85:W86)</f>
        <v>0.99548412200944258</v>
      </c>
      <c r="X88" s="45">
        <f>SUM(X85:X86)</f>
        <v>1.0011324242896438</v>
      </c>
      <c r="Y88" s="73">
        <f>SUM(Y85:Y86)</f>
        <v>20.190034793130454</v>
      </c>
    </row>
    <row r="89" spans="1:26">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
      <c r="A91" s="284" t="s">
        <v>67</v>
      </c>
      <c r="B91" s="28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
      <c r="A92" s="24"/>
      <c r="B92" s="24"/>
      <c r="C92" s="24"/>
      <c r="D92" s="24"/>
      <c r="E92" s="274">
        <f t="shared" ref="E92:X92" si="20">E11</f>
        <v>2016</v>
      </c>
      <c r="F92" s="274">
        <f t="shared" si="20"/>
        <v>2017</v>
      </c>
      <c r="G92" s="274">
        <f t="shared" si="20"/>
        <v>2018</v>
      </c>
      <c r="H92" s="274">
        <f t="shared" si="20"/>
        <v>2019</v>
      </c>
      <c r="I92" s="274">
        <f t="shared" si="20"/>
        <v>2020</v>
      </c>
      <c r="J92" s="274">
        <f t="shared" si="20"/>
        <v>2021</v>
      </c>
      <c r="K92" s="274">
        <f t="shared" si="20"/>
        <v>2022</v>
      </c>
      <c r="L92" s="274">
        <f t="shared" si="20"/>
        <v>2023</v>
      </c>
      <c r="M92" s="274">
        <f t="shared" si="20"/>
        <v>2024</v>
      </c>
      <c r="N92" s="274">
        <f t="shared" si="20"/>
        <v>2025</v>
      </c>
      <c r="O92" s="274">
        <f t="shared" si="20"/>
        <v>2026</v>
      </c>
      <c r="P92" s="274">
        <f t="shared" si="20"/>
        <v>2027</v>
      </c>
      <c r="Q92" s="274">
        <f t="shared" si="20"/>
        <v>2028</v>
      </c>
      <c r="R92" s="274">
        <f t="shared" si="20"/>
        <v>2029</v>
      </c>
      <c r="S92" s="274">
        <f t="shared" si="20"/>
        <v>2030</v>
      </c>
      <c r="T92" s="274">
        <f t="shared" si="20"/>
        <v>2031</v>
      </c>
      <c r="U92" s="274">
        <f t="shared" si="20"/>
        <v>2032</v>
      </c>
      <c r="V92" s="274">
        <f t="shared" si="20"/>
        <v>2033</v>
      </c>
      <c r="W92" s="274">
        <f t="shared" si="20"/>
        <v>2034</v>
      </c>
      <c r="X92" s="274">
        <f t="shared" si="20"/>
        <v>2035</v>
      </c>
      <c r="Y92" s="67" t="s">
        <v>53</v>
      </c>
    </row>
    <row r="93" spans="1:26" ht="15">
      <c r="A93" s="24"/>
      <c r="B93" s="24"/>
      <c r="C93" s="91" t="s">
        <v>63</v>
      </c>
      <c r="D93" s="91" t="s">
        <v>63</v>
      </c>
      <c r="E93" s="86" t="str">
        <f>CONCATENATE("aMW_",E$11)</f>
        <v>aMW_2016</v>
      </c>
      <c r="F93" s="86" t="str">
        <f t="shared" ref="F93:X93" si="21">CONCATENATE("aMW_",F$11)</f>
        <v>aMW_2017</v>
      </c>
      <c r="G93" s="86" t="str">
        <f t="shared" si="21"/>
        <v>aMW_2018</v>
      </c>
      <c r="H93" s="86" t="str">
        <f t="shared" si="21"/>
        <v>aMW_2019</v>
      </c>
      <c r="I93" s="86" t="str">
        <f t="shared" si="21"/>
        <v>aMW_2020</v>
      </c>
      <c r="J93" s="86" t="str">
        <f t="shared" si="21"/>
        <v>aMW_2021</v>
      </c>
      <c r="K93" s="86" t="str">
        <f t="shared" si="21"/>
        <v>aMW_2022</v>
      </c>
      <c r="L93" s="86" t="str">
        <f t="shared" si="21"/>
        <v>aMW_2023</v>
      </c>
      <c r="M93" s="86" t="str">
        <f t="shared" si="21"/>
        <v>aMW_2024</v>
      </c>
      <c r="N93" s="86" t="str">
        <f t="shared" si="21"/>
        <v>aMW_2025</v>
      </c>
      <c r="O93" s="86" t="str">
        <f t="shared" si="21"/>
        <v>aMW_2026</v>
      </c>
      <c r="P93" s="86" t="str">
        <f t="shared" si="21"/>
        <v>aMW_2027</v>
      </c>
      <c r="Q93" s="86" t="str">
        <f t="shared" si="21"/>
        <v>aMW_2028</v>
      </c>
      <c r="R93" s="86" t="str">
        <f t="shared" si="21"/>
        <v>aMW_2029</v>
      </c>
      <c r="S93" s="86" t="str">
        <f t="shared" si="21"/>
        <v>aMW_2030</v>
      </c>
      <c r="T93" s="86" t="str">
        <f t="shared" si="21"/>
        <v>aMW_2031</v>
      </c>
      <c r="U93" s="86" t="str">
        <f t="shared" si="21"/>
        <v>aMW_2032</v>
      </c>
      <c r="V93" s="86" t="str">
        <f t="shared" si="21"/>
        <v>aMW_2033</v>
      </c>
      <c r="W93" s="86" t="str">
        <f t="shared" si="21"/>
        <v>aMW_2034</v>
      </c>
      <c r="X93" s="86" t="str">
        <f t="shared" si="21"/>
        <v>aMW_2035</v>
      </c>
      <c r="Y93" s="67" t="s">
        <v>53</v>
      </c>
    </row>
    <row r="94" spans="1:26">
      <c r="A94" s="24"/>
      <c r="B94" s="24" t="s">
        <v>68</v>
      </c>
      <c r="C94" s="92" t="s">
        <v>69</v>
      </c>
      <c r="D94" s="92" t="s">
        <v>70</v>
      </c>
      <c r="E94" s="93">
        <f>DSUM($B$84:$Y$86,E$93,$C$93:$D94)</f>
        <v>0</v>
      </c>
      <c r="F94" s="93">
        <f>DSUM($B$84:$Y$86,F$93,$C$93:$D94)</f>
        <v>0</v>
      </c>
      <c r="G94" s="93">
        <f>DSUM($B$84:$Y$86,G$93,$C$93:$D94)</f>
        <v>0</v>
      </c>
      <c r="H94" s="93">
        <f>DSUM($B$84:$Y$86,H$93,$C$93:$D94)</f>
        <v>0</v>
      </c>
      <c r="I94" s="93">
        <f>DSUM($B$84:$Y$86,I$93,$C$93:$D94)</f>
        <v>0</v>
      </c>
      <c r="J94" s="93">
        <f>DSUM($B$84:$Y$86,J$93,$C$93:$D94)</f>
        <v>0</v>
      </c>
      <c r="K94" s="93">
        <f>DSUM($B$84:$Y$86,K$93,$C$93:$D94)</f>
        <v>0</v>
      </c>
      <c r="L94" s="93">
        <f>DSUM($B$84:$Y$86,L$93,$C$93:$D94)</f>
        <v>0</v>
      </c>
      <c r="M94" s="93">
        <f>DSUM($B$84:$Y$86,M$93,$C$93:$D94)</f>
        <v>0</v>
      </c>
      <c r="N94" s="93">
        <f>DSUM($B$84:$Y$86,N$93,$C$93:$D94)</f>
        <v>0</v>
      </c>
      <c r="O94" s="93">
        <f>DSUM($B$84:$Y$86,O$93,$C$93:$D94)</f>
        <v>0</v>
      </c>
      <c r="P94" s="93">
        <f>DSUM($B$84:$Y$86,P$93,$C$93:$D94)</f>
        <v>0</v>
      </c>
      <c r="Q94" s="93">
        <f>DSUM($B$84:$Y$86,Q$93,$C$93:$D94)</f>
        <v>0</v>
      </c>
      <c r="R94" s="93">
        <f>DSUM($B$84:$Y$86,R$93,$C$93:$D94)</f>
        <v>0</v>
      </c>
      <c r="S94" s="93">
        <f>DSUM($B$84:$Y$86,S$93,$C$93:$D94)</f>
        <v>0</v>
      </c>
      <c r="T94" s="93">
        <f>DSUM($B$84:$Y$86,T$93,$C$93:$D94)</f>
        <v>0</v>
      </c>
      <c r="U94" s="93">
        <f>DSUM($B$84:$Y$86,U$93,$C$93:$D94)</f>
        <v>0</v>
      </c>
      <c r="V94" s="93">
        <f>DSUM($B$84:$Y$86,V$93,$C$93:$D94)</f>
        <v>0</v>
      </c>
      <c r="W94" s="93">
        <f>DSUM($B$84:$Y$86,W$93,$C$93:$D94)</f>
        <v>0</v>
      </c>
      <c r="X94" s="93">
        <f>DSUM($B$84:$Y$86,X$93,$C$93:$D94)</f>
        <v>0</v>
      </c>
      <c r="Y94" s="70">
        <f>DSUM($B$84:$Y$86,Y$84,$C$93:$D94)</f>
        <v>0</v>
      </c>
    </row>
    <row r="95" spans="1:26">
      <c r="A95" s="24"/>
      <c r="B95" s="24" t="s">
        <v>71</v>
      </c>
      <c r="C95" s="92" t="s">
        <v>72</v>
      </c>
      <c r="D95" s="92" t="s">
        <v>73</v>
      </c>
      <c r="E95" s="93">
        <f>DSUM($B$84:$Y$86,E$93,$C$93:$D95)</f>
        <v>0.19123874883241684</v>
      </c>
      <c r="F95" s="93">
        <f>DSUM($B$84:$Y$86,F$93,$C$93:$D95)</f>
        <v>0.32388244940164351</v>
      </c>
      <c r="G95" s="93">
        <f>DSUM($B$84:$Y$86,G$93,$C$93:$D95)</f>
        <v>0.41448741975885883</v>
      </c>
      <c r="H95" s="93">
        <f>DSUM($B$84:$Y$86,H$93,$C$93:$D95)</f>
        <v>0.48404686907931288</v>
      </c>
      <c r="I95" s="93">
        <f>DSUM($B$84:$Y$86,I$93,$C$93:$D95)</f>
        <v>0.54420560479075386</v>
      </c>
      <c r="J95" s="93">
        <f>DSUM($B$84:$Y$86,J$93,$C$93:$D95)</f>
        <v>0.5954960217499321</v>
      </c>
      <c r="K95" s="93">
        <f>DSUM($B$84:$Y$86,K$93,$C$93:$D95)</f>
        <v>0.63868636100312226</v>
      </c>
      <c r="L95" s="93">
        <f>DSUM($B$84:$Y$86,L$93,$C$93:$D95)</f>
        <v>0.67464792774589666</v>
      </c>
      <c r="M95" s="93">
        <f>DSUM($B$84:$Y$86,M$93,$C$93:$D95)</f>
        <v>0.7042700550044716</v>
      </c>
      <c r="N95" s="93">
        <f>DSUM($B$84:$Y$86,N$93,$C$93:$D95)</f>
        <v>0.72840806395101965</v>
      </c>
      <c r="O95" s="93">
        <f>DSUM($B$84:$Y$86,O$93,$C$93:$D95)</f>
        <v>0.74785368861763868</v>
      </c>
      <c r="P95" s="93">
        <f>DSUM($B$84:$Y$86,P$93,$C$93:$D95)</f>
        <v>0.76215435554271771</v>
      </c>
      <c r="Q95" s="93">
        <f>DSUM($B$84:$Y$86,Q$93,$C$93:$D95)</f>
        <v>0.7724692664884002</v>
      </c>
      <c r="R95" s="93">
        <f>DSUM($B$84:$Y$86,R$93,$C$93:$D95)</f>
        <v>0.77969729649668107</v>
      </c>
      <c r="S95" s="93">
        <f>DSUM($B$84:$Y$86,S$93,$C$93:$D95)</f>
        <v>0.78453545382344325</v>
      </c>
      <c r="T95" s="93">
        <f>DSUM($B$84:$Y$86,T$93,$C$93:$D95)</f>
        <v>0.79982694074613925</v>
      </c>
      <c r="U95" s="93">
        <f>DSUM($B$84:$Y$86,U$93,$C$93:$D95)</f>
        <v>0.81098689396916712</v>
      </c>
      <c r="V95" s="93">
        <f>DSUM($B$84:$Y$86,V$93,$C$93:$D95)</f>
        <v>0.8191516782106808</v>
      </c>
      <c r="W95" s="93">
        <f>DSUM($B$84:$Y$86,W$93,$C$93:$D95)</f>
        <v>0.82592317564007012</v>
      </c>
      <c r="X95" s="93">
        <f>DSUM($B$84:$Y$86,X$93,$C$93:$D95)</f>
        <v>0.83060940182198262</v>
      </c>
      <c r="Y95" s="70">
        <f>DSUM($B$84:$Y$86,Y$84,$C$93:$D95)</f>
        <v>16.751063411202892</v>
      </c>
    </row>
    <row r="96" spans="1:26">
      <c r="A96" s="24"/>
      <c r="B96" s="24" t="s">
        <v>74</v>
      </c>
      <c r="C96" s="92" t="s">
        <v>75</v>
      </c>
      <c r="D96" s="92" t="s">
        <v>76</v>
      </c>
      <c r="E96" s="93">
        <f>DSUM($B$84:$Y$86,E$93,$C$93:$D96)</f>
        <v>0.19123874883241684</v>
      </c>
      <c r="F96" s="93">
        <f>DSUM($B$84:$Y$86,F$93,$C$93:$D96)</f>
        <v>0.32388244940164351</v>
      </c>
      <c r="G96" s="93">
        <f>DSUM($B$84:$Y$86,G$93,$C$93:$D96)</f>
        <v>0.41448741975885883</v>
      </c>
      <c r="H96" s="93">
        <f>DSUM($B$84:$Y$86,H$93,$C$93:$D96)</f>
        <v>0.48404686907931288</v>
      </c>
      <c r="I96" s="93">
        <f>DSUM($B$84:$Y$86,I$93,$C$93:$D96)</f>
        <v>0.54420560479075386</v>
      </c>
      <c r="J96" s="93">
        <f>DSUM($B$84:$Y$86,J$93,$C$93:$D96)</f>
        <v>0.5954960217499321</v>
      </c>
      <c r="K96" s="93">
        <f>DSUM($B$84:$Y$86,K$93,$C$93:$D96)</f>
        <v>0.63868636100312226</v>
      </c>
      <c r="L96" s="93">
        <f>DSUM($B$84:$Y$86,L$93,$C$93:$D96)</f>
        <v>0.67464792774589666</v>
      </c>
      <c r="M96" s="93">
        <f>DSUM($B$84:$Y$86,M$93,$C$93:$D96)</f>
        <v>0.7042700550044716</v>
      </c>
      <c r="N96" s="93">
        <f>DSUM($B$84:$Y$86,N$93,$C$93:$D96)</f>
        <v>0.72840806395101965</v>
      </c>
      <c r="O96" s="93">
        <f>DSUM($B$84:$Y$86,O$93,$C$93:$D96)</f>
        <v>0.74785368861763868</v>
      </c>
      <c r="P96" s="93">
        <f>DSUM($B$84:$Y$86,P$93,$C$93:$D96)</f>
        <v>0.76215435554271771</v>
      </c>
      <c r="Q96" s="93">
        <f>DSUM($B$84:$Y$86,Q$93,$C$93:$D96)</f>
        <v>0.7724692664884002</v>
      </c>
      <c r="R96" s="93">
        <f>DSUM($B$84:$Y$86,R$93,$C$93:$D96)</f>
        <v>0.77969729649668107</v>
      </c>
      <c r="S96" s="93">
        <f>DSUM($B$84:$Y$86,S$93,$C$93:$D96)</f>
        <v>0.78453545382344325</v>
      </c>
      <c r="T96" s="93">
        <f>DSUM($B$84:$Y$86,T$93,$C$93:$D96)</f>
        <v>0.79982694074613925</v>
      </c>
      <c r="U96" s="93">
        <f>DSUM($B$84:$Y$86,U$93,$C$93:$D96)</f>
        <v>0.81098689396916712</v>
      </c>
      <c r="V96" s="93">
        <f>DSUM($B$84:$Y$86,V$93,$C$93:$D96)</f>
        <v>0.8191516782106808</v>
      </c>
      <c r="W96" s="93">
        <f>DSUM($B$84:$Y$86,W$93,$C$93:$D96)</f>
        <v>0.82592317564007012</v>
      </c>
      <c r="X96" s="93">
        <f>DSUM($B$84:$Y$86,X$93,$C$93:$D96)</f>
        <v>0.83060940182198262</v>
      </c>
      <c r="Y96" s="70">
        <f>DSUM($B$84:$Y$86,Y$84,$C$93:$D96)</f>
        <v>16.751063411202892</v>
      </c>
    </row>
    <row r="97" spans="1:25">
      <c r="A97" s="24"/>
      <c r="B97" s="24" t="s">
        <v>77</v>
      </c>
      <c r="C97" s="92" t="s">
        <v>78</v>
      </c>
      <c r="D97" s="92" t="s">
        <v>79</v>
      </c>
      <c r="E97" s="93">
        <f>DSUM($B$84:$Y$86,E$93,$C$93:$D97)</f>
        <v>0.23049981353058263</v>
      </c>
      <c r="F97" s="93">
        <f>DSUM($B$84:$Y$86,F$93,$C$93:$D97)</f>
        <v>0.39037509212281807</v>
      </c>
      <c r="G97" s="93">
        <f>DSUM($B$84:$Y$86,G$93,$C$93:$D97)</f>
        <v>0.499581144242429</v>
      </c>
      <c r="H97" s="93">
        <f>DSUM($B$84:$Y$86,H$93,$C$93:$D97)</f>
        <v>0.58342105741664052</v>
      </c>
      <c r="I97" s="93">
        <f>DSUM($B$84:$Y$86,I$93,$C$93:$D97)</f>
        <v>0.65593030278863396</v>
      </c>
      <c r="J97" s="93">
        <f>DSUM($B$84:$Y$86,J$93,$C$93:$D97)</f>
        <v>0.71775057518205176</v>
      </c>
      <c r="K97" s="93">
        <f>DSUM($B$84:$Y$86,K$93,$C$93:$D97)</f>
        <v>0.76980783452391699</v>
      </c>
      <c r="L97" s="93">
        <f>DSUM($B$84:$Y$86,L$93,$C$93:$D97)</f>
        <v>0.81315226382543315</v>
      </c>
      <c r="M97" s="93">
        <f>DSUM($B$84:$Y$86,M$93,$C$93:$D97)</f>
        <v>0.84885577501847065</v>
      </c>
      <c r="N97" s="93">
        <f>DSUM($B$84:$Y$86,N$93,$C$93:$D97)</f>
        <v>0.87794928559176177</v>
      </c>
      <c r="O97" s="93">
        <f>DSUM($B$84:$Y$86,O$93,$C$93:$D97)</f>
        <v>0.90138707153737663</v>
      </c>
      <c r="P97" s="93">
        <f>DSUM($B$84:$Y$86,P$93,$C$93:$D97)</f>
        <v>0.9186236466547042</v>
      </c>
      <c r="Q97" s="93">
        <f>DSUM($B$84:$Y$86,Q$93,$C$93:$D97)</f>
        <v>0.93105619530962058</v>
      </c>
      <c r="R97" s="93">
        <f>DSUM($B$84:$Y$86,R$93,$C$93:$D97)</f>
        <v>0.93976813041311869</v>
      </c>
      <c r="S97" s="93">
        <f>DSUM($B$84:$Y$86,S$93,$C$93:$D97)</f>
        <v>0.94559955510324556</v>
      </c>
      <c r="T97" s="93">
        <f>DSUM($B$84:$Y$86,T$93,$C$93:$D97)</f>
        <v>0.96403036426617028</v>
      </c>
      <c r="U97" s="93">
        <f>DSUM($B$84:$Y$86,U$93,$C$93:$D97)</f>
        <v>0.97748144127134418</v>
      </c>
      <c r="V97" s="93">
        <f>DSUM($B$84:$Y$86,V$93,$C$93:$D97)</f>
        <v>0.98732244502542921</v>
      </c>
      <c r="W97" s="93">
        <f>DSUM($B$84:$Y$86,W$93,$C$93:$D97)</f>
        <v>0.99548412200944258</v>
      </c>
      <c r="X97" s="93">
        <f>DSUM($B$84:$Y$86,X$93,$C$93:$D97)</f>
        <v>1.0011324242896438</v>
      </c>
      <c r="Y97" s="70">
        <f>DSUM($B$84:$Y$86,Y$84,$C$93:$D97)</f>
        <v>20.190034793130454</v>
      </c>
    </row>
    <row r="98" spans="1:25">
      <c r="A98" s="24"/>
      <c r="B98" s="24" t="s">
        <v>80</v>
      </c>
      <c r="C98" s="92" t="s">
        <v>81</v>
      </c>
      <c r="D98" s="92" t="s">
        <v>82</v>
      </c>
      <c r="E98" s="93">
        <f>DSUM($B$84:$Y$86,E$93,$C$93:$D98)</f>
        <v>0.23049981353058263</v>
      </c>
      <c r="F98" s="93">
        <f>DSUM($B$84:$Y$86,F$93,$C$93:$D98)</f>
        <v>0.39037509212281807</v>
      </c>
      <c r="G98" s="93">
        <f>DSUM($B$84:$Y$86,G$93,$C$93:$D98)</f>
        <v>0.499581144242429</v>
      </c>
      <c r="H98" s="93">
        <f>DSUM($B$84:$Y$86,H$93,$C$93:$D98)</f>
        <v>0.58342105741664052</v>
      </c>
      <c r="I98" s="93">
        <f>DSUM($B$84:$Y$86,I$93,$C$93:$D98)</f>
        <v>0.65593030278863396</v>
      </c>
      <c r="J98" s="93">
        <f>DSUM($B$84:$Y$86,J$93,$C$93:$D98)</f>
        <v>0.71775057518205176</v>
      </c>
      <c r="K98" s="93">
        <f>DSUM($B$84:$Y$86,K$93,$C$93:$D98)</f>
        <v>0.76980783452391699</v>
      </c>
      <c r="L98" s="93">
        <f>DSUM($B$84:$Y$86,L$93,$C$93:$D98)</f>
        <v>0.81315226382543315</v>
      </c>
      <c r="M98" s="93">
        <f>DSUM($B$84:$Y$86,M$93,$C$93:$D98)</f>
        <v>0.84885577501847065</v>
      </c>
      <c r="N98" s="93">
        <f>DSUM($B$84:$Y$86,N$93,$C$93:$D98)</f>
        <v>0.87794928559176177</v>
      </c>
      <c r="O98" s="93">
        <f>DSUM($B$84:$Y$86,O$93,$C$93:$D98)</f>
        <v>0.90138707153737663</v>
      </c>
      <c r="P98" s="93">
        <f>DSUM($B$84:$Y$86,P$93,$C$93:$D98)</f>
        <v>0.9186236466547042</v>
      </c>
      <c r="Q98" s="93">
        <f>DSUM($B$84:$Y$86,Q$93,$C$93:$D98)</f>
        <v>0.93105619530962058</v>
      </c>
      <c r="R98" s="93">
        <f>DSUM($B$84:$Y$86,R$93,$C$93:$D98)</f>
        <v>0.93976813041311869</v>
      </c>
      <c r="S98" s="93">
        <f>DSUM($B$84:$Y$86,S$93,$C$93:$D98)</f>
        <v>0.94559955510324556</v>
      </c>
      <c r="T98" s="93">
        <f>DSUM($B$84:$Y$86,T$93,$C$93:$D98)</f>
        <v>0.96403036426617028</v>
      </c>
      <c r="U98" s="93">
        <f>DSUM($B$84:$Y$86,U$93,$C$93:$D98)</f>
        <v>0.97748144127134418</v>
      </c>
      <c r="V98" s="93">
        <f>DSUM($B$84:$Y$86,V$93,$C$93:$D98)</f>
        <v>0.98732244502542921</v>
      </c>
      <c r="W98" s="93">
        <f>DSUM($B$84:$Y$86,W$93,$C$93:$D98)</f>
        <v>0.99548412200944258</v>
      </c>
      <c r="X98" s="93">
        <f>DSUM($B$84:$Y$86,X$93,$C$93:$D98)</f>
        <v>1.0011324242896438</v>
      </c>
      <c r="Y98" s="70">
        <f>DSUM($B$84:$Y$86,Y$84,$C$93:$D98)</f>
        <v>20.190034793130454</v>
      </c>
    </row>
    <row r="99" spans="1:25">
      <c r="A99" s="24"/>
      <c r="B99" s="24" t="s">
        <v>83</v>
      </c>
      <c r="C99" s="92" t="s">
        <v>84</v>
      </c>
      <c r="D99" s="92" t="s">
        <v>85</v>
      </c>
      <c r="E99" s="93">
        <f>DSUM($B$84:$Y$86,E$93,$C$93:$D99)</f>
        <v>0.23049981353058263</v>
      </c>
      <c r="F99" s="93">
        <f>DSUM($B$84:$Y$86,F$93,$C$93:$D99)</f>
        <v>0.39037509212281807</v>
      </c>
      <c r="G99" s="93">
        <f>DSUM($B$84:$Y$86,G$93,$C$93:$D99)</f>
        <v>0.499581144242429</v>
      </c>
      <c r="H99" s="93">
        <f>DSUM($B$84:$Y$86,H$93,$C$93:$D99)</f>
        <v>0.58342105741664052</v>
      </c>
      <c r="I99" s="93">
        <f>DSUM($B$84:$Y$86,I$93,$C$93:$D99)</f>
        <v>0.65593030278863396</v>
      </c>
      <c r="J99" s="93">
        <f>DSUM($B$84:$Y$86,J$93,$C$93:$D99)</f>
        <v>0.71775057518205176</v>
      </c>
      <c r="K99" s="93">
        <f>DSUM($B$84:$Y$86,K$93,$C$93:$D99)</f>
        <v>0.76980783452391699</v>
      </c>
      <c r="L99" s="93">
        <f>DSUM($B$84:$Y$86,L$93,$C$93:$D99)</f>
        <v>0.81315226382543315</v>
      </c>
      <c r="M99" s="93">
        <f>DSUM($B$84:$Y$86,M$93,$C$93:$D99)</f>
        <v>0.84885577501847065</v>
      </c>
      <c r="N99" s="93">
        <f>DSUM($B$84:$Y$86,N$93,$C$93:$D99)</f>
        <v>0.87794928559176177</v>
      </c>
      <c r="O99" s="93">
        <f>DSUM($B$84:$Y$86,O$93,$C$93:$D99)</f>
        <v>0.90138707153737663</v>
      </c>
      <c r="P99" s="93">
        <f>DSUM($B$84:$Y$86,P$93,$C$93:$D99)</f>
        <v>0.9186236466547042</v>
      </c>
      <c r="Q99" s="93">
        <f>DSUM($B$84:$Y$86,Q$93,$C$93:$D99)</f>
        <v>0.93105619530962058</v>
      </c>
      <c r="R99" s="93">
        <f>DSUM($B$84:$Y$86,R$93,$C$93:$D99)</f>
        <v>0.93976813041311869</v>
      </c>
      <c r="S99" s="93">
        <f>DSUM($B$84:$Y$86,S$93,$C$93:$D99)</f>
        <v>0.94559955510324556</v>
      </c>
      <c r="T99" s="93">
        <f>DSUM($B$84:$Y$86,T$93,$C$93:$D99)</f>
        <v>0.96403036426617028</v>
      </c>
      <c r="U99" s="93">
        <f>DSUM($B$84:$Y$86,U$93,$C$93:$D99)</f>
        <v>0.97748144127134418</v>
      </c>
      <c r="V99" s="93">
        <f>DSUM($B$84:$Y$86,V$93,$C$93:$D99)</f>
        <v>0.98732244502542921</v>
      </c>
      <c r="W99" s="93">
        <f>DSUM($B$84:$Y$86,W$93,$C$93:$D99)</f>
        <v>0.99548412200944258</v>
      </c>
      <c r="X99" s="93">
        <f>DSUM($B$84:$Y$86,X$93,$C$93:$D99)</f>
        <v>1.0011324242896438</v>
      </c>
      <c r="Y99" s="70">
        <f>DSUM($B$84:$Y$86,Y$84,$C$93:$D99)</f>
        <v>20.190034793130454</v>
      </c>
    </row>
    <row r="100" spans="1:25">
      <c r="A100" s="24"/>
      <c r="B100" s="24" t="s">
        <v>86</v>
      </c>
      <c r="C100" s="92" t="s">
        <v>87</v>
      </c>
      <c r="D100" s="92" t="s">
        <v>88</v>
      </c>
      <c r="E100" s="93">
        <f>DSUM($B$84:$Y$86,E$93,$C$93:$D100)</f>
        <v>0.23049981353058263</v>
      </c>
      <c r="F100" s="93">
        <f>DSUM($B$84:$Y$86,F$93,$C$93:$D100)</f>
        <v>0.39037509212281807</v>
      </c>
      <c r="G100" s="93">
        <f>DSUM($B$84:$Y$86,G$93,$C$93:$D100)</f>
        <v>0.499581144242429</v>
      </c>
      <c r="H100" s="93">
        <f>DSUM($B$84:$Y$86,H$93,$C$93:$D100)</f>
        <v>0.58342105741664052</v>
      </c>
      <c r="I100" s="93">
        <f>DSUM($B$84:$Y$86,I$93,$C$93:$D100)</f>
        <v>0.65593030278863396</v>
      </c>
      <c r="J100" s="93">
        <f>DSUM($B$84:$Y$86,J$93,$C$93:$D100)</f>
        <v>0.71775057518205176</v>
      </c>
      <c r="K100" s="93">
        <f>DSUM($B$84:$Y$86,K$93,$C$93:$D100)</f>
        <v>0.76980783452391699</v>
      </c>
      <c r="L100" s="93">
        <f>DSUM($B$84:$Y$86,L$93,$C$93:$D100)</f>
        <v>0.81315226382543315</v>
      </c>
      <c r="M100" s="93">
        <f>DSUM($B$84:$Y$86,M$93,$C$93:$D100)</f>
        <v>0.84885577501847065</v>
      </c>
      <c r="N100" s="93">
        <f>DSUM($B$84:$Y$86,N$93,$C$93:$D100)</f>
        <v>0.87794928559176177</v>
      </c>
      <c r="O100" s="93">
        <f>DSUM($B$84:$Y$86,O$93,$C$93:$D100)</f>
        <v>0.90138707153737663</v>
      </c>
      <c r="P100" s="93">
        <f>DSUM($B$84:$Y$86,P$93,$C$93:$D100)</f>
        <v>0.9186236466547042</v>
      </c>
      <c r="Q100" s="93">
        <f>DSUM($B$84:$Y$86,Q$93,$C$93:$D100)</f>
        <v>0.93105619530962058</v>
      </c>
      <c r="R100" s="93">
        <f>DSUM($B$84:$Y$86,R$93,$C$93:$D100)</f>
        <v>0.93976813041311869</v>
      </c>
      <c r="S100" s="93">
        <f>DSUM($B$84:$Y$86,S$93,$C$93:$D100)</f>
        <v>0.94559955510324556</v>
      </c>
      <c r="T100" s="93">
        <f>DSUM($B$84:$Y$86,T$93,$C$93:$D100)</f>
        <v>0.96403036426617028</v>
      </c>
      <c r="U100" s="93">
        <f>DSUM($B$84:$Y$86,U$93,$C$93:$D100)</f>
        <v>0.97748144127134418</v>
      </c>
      <c r="V100" s="93">
        <f>DSUM($B$84:$Y$86,V$93,$C$93:$D100)</f>
        <v>0.98732244502542921</v>
      </c>
      <c r="W100" s="93">
        <f>DSUM($B$84:$Y$86,W$93,$C$93:$D100)</f>
        <v>0.99548412200944258</v>
      </c>
      <c r="X100" s="93">
        <f>DSUM($B$84:$Y$86,X$93,$C$93:$D100)</f>
        <v>1.0011324242896438</v>
      </c>
      <c r="Y100" s="70">
        <f>DSUM($B$84:$Y$86,Y$84,$C$93:$D100)</f>
        <v>20.190034793130454</v>
      </c>
    </row>
    <row r="101" spans="1:25">
      <c r="A101" s="24"/>
      <c r="B101" s="24" t="s">
        <v>89</v>
      </c>
      <c r="C101" s="92" t="s">
        <v>90</v>
      </c>
      <c r="D101" s="92" t="s">
        <v>91</v>
      </c>
      <c r="E101" s="93">
        <f>DSUM($B$84:$Y$86,E$93,$C$93:$D101)</f>
        <v>0.23049981353058263</v>
      </c>
      <c r="F101" s="93">
        <f>DSUM($B$84:$Y$86,F$93,$C$93:$D101)</f>
        <v>0.39037509212281807</v>
      </c>
      <c r="G101" s="93">
        <f>DSUM($B$84:$Y$86,G$93,$C$93:$D101)</f>
        <v>0.499581144242429</v>
      </c>
      <c r="H101" s="93">
        <f>DSUM($B$84:$Y$86,H$93,$C$93:$D101)</f>
        <v>0.58342105741664052</v>
      </c>
      <c r="I101" s="93">
        <f>DSUM($B$84:$Y$86,I$93,$C$93:$D101)</f>
        <v>0.65593030278863396</v>
      </c>
      <c r="J101" s="93">
        <f>DSUM($B$84:$Y$86,J$93,$C$93:$D101)</f>
        <v>0.71775057518205176</v>
      </c>
      <c r="K101" s="93">
        <f>DSUM($B$84:$Y$86,K$93,$C$93:$D101)</f>
        <v>0.76980783452391699</v>
      </c>
      <c r="L101" s="93">
        <f>DSUM($B$84:$Y$86,L$93,$C$93:$D101)</f>
        <v>0.81315226382543315</v>
      </c>
      <c r="M101" s="93">
        <f>DSUM($B$84:$Y$86,M$93,$C$93:$D101)</f>
        <v>0.84885577501847065</v>
      </c>
      <c r="N101" s="93">
        <f>DSUM($B$84:$Y$86,N$93,$C$93:$D101)</f>
        <v>0.87794928559176177</v>
      </c>
      <c r="O101" s="93">
        <f>DSUM($B$84:$Y$86,O$93,$C$93:$D101)</f>
        <v>0.90138707153737663</v>
      </c>
      <c r="P101" s="93">
        <f>DSUM($B$84:$Y$86,P$93,$C$93:$D101)</f>
        <v>0.9186236466547042</v>
      </c>
      <c r="Q101" s="93">
        <f>DSUM($B$84:$Y$86,Q$93,$C$93:$D101)</f>
        <v>0.93105619530962058</v>
      </c>
      <c r="R101" s="93">
        <f>DSUM($B$84:$Y$86,R$93,$C$93:$D101)</f>
        <v>0.93976813041311869</v>
      </c>
      <c r="S101" s="93">
        <f>DSUM($B$84:$Y$86,S$93,$C$93:$D101)</f>
        <v>0.94559955510324556</v>
      </c>
      <c r="T101" s="93">
        <f>DSUM($B$84:$Y$86,T$93,$C$93:$D101)</f>
        <v>0.96403036426617028</v>
      </c>
      <c r="U101" s="93">
        <f>DSUM($B$84:$Y$86,U$93,$C$93:$D101)</f>
        <v>0.97748144127134418</v>
      </c>
      <c r="V101" s="93">
        <f>DSUM($B$84:$Y$86,V$93,$C$93:$D101)</f>
        <v>0.98732244502542921</v>
      </c>
      <c r="W101" s="93">
        <f>DSUM($B$84:$Y$86,W$93,$C$93:$D101)</f>
        <v>0.99548412200944258</v>
      </c>
      <c r="X101" s="93">
        <f>DSUM($B$84:$Y$86,X$93,$C$93:$D101)</f>
        <v>1.0011324242896438</v>
      </c>
      <c r="Y101" s="70">
        <f>DSUM($B$84:$Y$86,Y$84,$C$93:$D101)</f>
        <v>20.190034793130454</v>
      </c>
    </row>
    <row r="102" spans="1:25">
      <c r="A102" s="24"/>
      <c r="B102" s="24" t="s">
        <v>92</v>
      </c>
      <c r="C102" s="92" t="s">
        <v>93</v>
      </c>
      <c r="D102" s="92" t="s">
        <v>94</v>
      </c>
      <c r="E102" s="93">
        <f>DSUM($B$84:$Y$86,E$93,$C$93:$D102)</f>
        <v>0.23049981353058263</v>
      </c>
      <c r="F102" s="93">
        <f>DSUM($B$84:$Y$86,F$93,$C$93:$D102)</f>
        <v>0.39037509212281807</v>
      </c>
      <c r="G102" s="93">
        <f>DSUM($B$84:$Y$86,G$93,$C$93:$D102)</f>
        <v>0.499581144242429</v>
      </c>
      <c r="H102" s="93">
        <f>DSUM($B$84:$Y$86,H$93,$C$93:$D102)</f>
        <v>0.58342105741664052</v>
      </c>
      <c r="I102" s="93">
        <f>DSUM($B$84:$Y$86,I$93,$C$93:$D102)</f>
        <v>0.65593030278863396</v>
      </c>
      <c r="J102" s="93">
        <f>DSUM($B$84:$Y$86,J$93,$C$93:$D102)</f>
        <v>0.71775057518205176</v>
      </c>
      <c r="K102" s="93">
        <f>DSUM($B$84:$Y$86,K$93,$C$93:$D102)</f>
        <v>0.76980783452391699</v>
      </c>
      <c r="L102" s="93">
        <f>DSUM($B$84:$Y$86,L$93,$C$93:$D102)</f>
        <v>0.81315226382543315</v>
      </c>
      <c r="M102" s="93">
        <f>DSUM($B$84:$Y$86,M$93,$C$93:$D102)</f>
        <v>0.84885577501847065</v>
      </c>
      <c r="N102" s="93">
        <f>DSUM($B$84:$Y$86,N$93,$C$93:$D102)</f>
        <v>0.87794928559176177</v>
      </c>
      <c r="O102" s="93">
        <f>DSUM($B$84:$Y$86,O$93,$C$93:$D102)</f>
        <v>0.90138707153737663</v>
      </c>
      <c r="P102" s="93">
        <f>DSUM($B$84:$Y$86,P$93,$C$93:$D102)</f>
        <v>0.9186236466547042</v>
      </c>
      <c r="Q102" s="93">
        <f>DSUM($B$84:$Y$86,Q$93,$C$93:$D102)</f>
        <v>0.93105619530962058</v>
      </c>
      <c r="R102" s="93">
        <f>DSUM($B$84:$Y$86,R$93,$C$93:$D102)</f>
        <v>0.93976813041311869</v>
      </c>
      <c r="S102" s="93">
        <f>DSUM($B$84:$Y$86,S$93,$C$93:$D102)</f>
        <v>0.94559955510324556</v>
      </c>
      <c r="T102" s="93">
        <f>DSUM($B$84:$Y$86,T$93,$C$93:$D102)</f>
        <v>0.96403036426617028</v>
      </c>
      <c r="U102" s="93">
        <f>DSUM($B$84:$Y$86,U$93,$C$93:$D102)</f>
        <v>0.97748144127134418</v>
      </c>
      <c r="V102" s="93">
        <f>DSUM($B$84:$Y$86,V$93,$C$93:$D102)</f>
        <v>0.98732244502542921</v>
      </c>
      <c r="W102" s="93">
        <f>DSUM($B$84:$Y$86,W$93,$C$93:$D102)</f>
        <v>0.99548412200944258</v>
      </c>
      <c r="X102" s="93">
        <f>DSUM($B$84:$Y$86,X$93,$C$93:$D102)</f>
        <v>1.0011324242896438</v>
      </c>
      <c r="Y102" s="70">
        <f>DSUM($B$84:$Y$86,Y$84,$C$93:$D102)</f>
        <v>20.190034793130454</v>
      </c>
    </row>
    <row r="103" spans="1:25">
      <c r="A103" s="24"/>
      <c r="B103" s="24" t="s">
        <v>95</v>
      </c>
      <c r="C103" s="92" t="s">
        <v>96</v>
      </c>
      <c r="D103" s="92" t="s">
        <v>97</v>
      </c>
      <c r="E103" s="93">
        <f>DSUM($B$84:$Y$86,E$93,$C$93:$D103)</f>
        <v>0.23049981353058263</v>
      </c>
      <c r="F103" s="93">
        <f>DSUM($B$84:$Y$86,F$93,$C$93:$D103)</f>
        <v>0.39037509212281807</v>
      </c>
      <c r="G103" s="93">
        <f>DSUM($B$84:$Y$86,G$93,$C$93:$D103)</f>
        <v>0.499581144242429</v>
      </c>
      <c r="H103" s="93">
        <f>DSUM($B$84:$Y$86,H$93,$C$93:$D103)</f>
        <v>0.58342105741664052</v>
      </c>
      <c r="I103" s="93">
        <f>DSUM($B$84:$Y$86,I$93,$C$93:$D103)</f>
        <v>0.65593030278863396</v>
      </c>
      <c r="J103" s="93">
        <f>DSUM($B$84:$Y$86,J$93,$C$93:$D103)</f>
        <v>0.71775057518205176</v>
      </c>
      <c r="K103" s="93">
        <f>DSUM($B$84:$Y$86,K$93,$C$93:$D103)</f>
        <v>0.76980783452391699</v>
      </c>
      <c r="L103" s="93">
        <f>DSUM($B$84:$Y$86,L$93,$C$93:$D103)</f>
        <v>0.81315226382543315</v>
      </c>
      <c r="M103" s="93">
        <f>DSUM($B$84:$Y$86,M$93,$C$93:$D103)</f>
        <v>0.84885577501847065</v>
      </c>
      <c r="N103" s="93">
        <f>DSUM($B$84:$Y$86,N$93,$C$93:$D103)</f>
        <v>0.87794928559176177</v>
      </c>
      <c r="O103" s="93">
        <f>DSUM($B$84:$Y$86,O$93,$C$93:$D103)</f>
        <v>0.90138707153737663</v>
      </c>
      <c r="P103" s="93">
        <f>DSUM($B$84:$Y$86,P$93,$C$93:$D103)</f>
        <v>0.9186236466547042</v>
      </c>
      <c r="Q103" s="93">
        <f>DSUM($B$84:$Y$86,Q$93,$C$93:$D103)</f>
        <v>0.93105619530962058</v>
      </c>
      <c r="R103" s="93">
        <f>DSUM($B$84:$Y$86,R$93,$C$93:$D103)</f>
        <v>0.93976813041311869</v>
      </c>
      <c r="S103" s="93">
        <f>DSUM($B$84:$Y$86,S$93,$C$93:$D103)</f>
        <v>0.94559955510324556</v>
      </c>
      <c r="T103" s="93">
        <f>DSUM($B$84:$Y$86,T$93,$C$93:$D103)</f>
        <v>0.96403036426617028</v>
      </c>
      <c r="U103" s="93">
        <f>DSUM($B$84:$Y$86,U$93,$C$93:$D103)</f>
        <v>0.97748144127134418</v>
      </c>
      <c r="V103" s="93">
        <f>DSUM($B$84:$Y$86,V$93,$C$93:$D103)</f>
        <v>0.98732244502542921</v>
      </c>
      <c r="W103" s="93">
        <f>DSUM($B$84:$Y$86,W$93,$C$93:$D103)</f>
        <v>0.99548412200944258</v>
      </c>
      <c r="X103" s="93">
        <f>DSUM($B$84:$Y$86,X$93,$C$93:$D103)</f>
        <v>1.0011324242896438</v>
      </c>
      <c r="Y103" s="70">
        <f>DSUM($B$84:$Y$86,Y$84,$C$93:$D103)</f>
        <v>20.190034793130454</v>
      </c>
    </row>
    <row r="104" spans="1:25">
      <c r="A104" s="24"/>
      <c r="B104" s="24" t="s">
        <v>98</v>
      </c>
      <c r="C104" s="92" t="s">
        <v>99</v>
      </c>
      <c r="D104" s="92" t="s">
        <v>100</v>
      </c>
      <c r="E104" s="93">
        <f>DSUM($B$84:$Y$86,E$93,$C$93:$D104)</f>
        <v>0.23049981353058263</v>
      </c>
      <c r="F104" s="93">
        <f>DSUM($B$84:$Y$86,F$93,$C$93:$D104)</f>
        <v>0.39037509212281807</v>
      </c>
      <c r="G104" s="93">
        <f>DSUM($B$84:$Y$86,G$93,$C$93:$D104)</f>
        <v>0.499581144242429</v>
      </c>
      <c r="H104" s="93">
        <f>DSUM($B$84:$Y$86,H$93,$C$93:$D104)</f>
        <v>0.58342105741664052</v>
      </c>
      <c r="I104" s="93">
        <f>DSUM($B$84:$Y$86,I$93,$C$93:$D104)</f>
        <v>0.65593030278863396</v>
      </c>
      <c r="J104" s="93">
        <f>DSUM($B$84:$Y$86,J$93,$C$93:$D104)</f>
        <v>0.71775057518205176</v>
      </c>
      <c r="K104" s="93">
        <f>DSUM($B$84:$Y$86,K$93,$C$93:$D104)</f>
        <v>0.76980783452391699</v>
      </c>
      <c r="L104" s="93">
        <f>DSUM($B$84:$Y$86,L$93,$C$93:$D104)</f>
        <v>0.81315226382543315</v>
      </c>
      <c r="M104" s="93">
        <f>DSUM($B$84:$Y$86,M$93,$C$93:$D104)</f>
        <v>0.84885577501847065</v>
      </c>
      <c r="N104" s="93">
        <f>DSUM($B$84:$Y$86,N$93,$C$93:$D104)</f>
        <v>0.87794928559176177</v>
      </c>
      <c r="O104" s="93">
        <f>DSUM($B$84:$Y$86,O$93,$C$93:$D104)</f>
        <v>0.90138707153737663</v>
      </c>
      <c r="P104" s="93">
        <f>DSUM($B$84:$Y$86,P$93,$C$93:$D104)</f>
        <v>0.9186236466547042</v>
      </c>
      <c r="Q104" s="93">
        <f>DSUM($B$84:$Y$86,Q$93,$C$93:$D104)</f>
        <v>0.93105619530962058</v>
      </c>
      <c r="R104" s="93">
        <f>DSUM($B$84:$Y$86,R$93,$C$93:$D104)</f>
        <v>0.93976813041311869</v>
      </c>
      <c r="S104" s="93">
        <f>DSUM($B$84:$Y$86,S$93,$C$93:$D104)</f>
        <v>0.94559955510324556</v>
      </c>
      <c r="T104" s="93">
        <f>DSUM($B$84:$Y$86,T$93,$C$93:$D104)</f>
        <v>0.96403036426617028</v>
      </c>
      <c r="U104" s="93">
        <f>DSUM($B$84:$Y$86,U$93,$C$93:$D104)</f>
        <v>0.97748144127134418</v>
      </c>
      <c r="V104" s="93">
        <f>DSUM($B$84:$Y$86,V$93,$C$93:$D104)</f>
        <v>0.98732244502542921</v>
      </c>
      <c r="W104" s="93">
        <f>DSUM($B$84:$Y$86,W$93,$C$93:$D104)</f>
        <v>0.99548412200944258</v>
      </c>
      <c r="X104" s="93">
        <f>DSUM($B$84:$Y$86,X$93,$C$93:$D104)</f>
        <v>1.0011324242896438</v>
      </c>
      <c r="Y104" s="70">
        <f>DSUM($B$84:$Y$86,Y$84,$C$93:$D104)</f>
        <v>20.190034793130454</v>
      </c>
    </row>
    <row r="105" spans="1:25">
      <c r="A105" s="24"/>
      <c r="B105" s="24" t="s">
        <v>101</v>
      </c>
      <c r="C105" s="92" t="s">
        <v>102</v>
      </c>
      <c r="D105" s="92" t="s">
        <v>103</v>
      </c>
      <c r="E105" s="93">
        <f>DSUM($B$84:$Y$86,E$93,$C$93:$D105)</f>
        <v>0.23049981353058263</v>
      </c>
      <c r="F105" s="93">
        <f>DSUM($B$84:$Y$86,F$93,$C$93:$D105)</f>
        <v>0.39037509212281807</v>
      </c>
      <c r="G105" s="93">
        <f>DSUM($B$84:$Y$86,G$93,$C$93:$D105)</f>
        <v>0.499581144242429</v>
      </c>
      <c r="H105" s="93">
        <f>DSUM($B$84:$Y$86,H$93,$C$93:$D105)</f>
        <v>0.58342105741664052</v>
      </c>
      <c r="I105" s="93">
        <f>DSUM($B$84:$Y$86,I$93,$C$93:$D105)</f>
        <v>0.65593030278863396</v>
      </c>
      <c r="J105" s="93">
        <f>DSUM($B$84:$Y$86,J$93,$C$93:$D105)</f>
        <v>0.71775057518205176</v>
      </c>
      <c r="K105" s="93">
        <f>DSUM($B$84:$Y$86,K$93,$C$93:$D105)</f>
        <v>0.76980783452391699</v>
      </c>
      <c r="L105" s="93">
        <f>DSUM($B$84:$Y$86,L$93,$C$93:$D105)</f>
        <v>0.81315226382543315</v>
      </c>
      <c r="M105" s="93">
        <f>DSUM($B$84:$Y$86,M$93,$C$93:$D105)</f>
        <v>0.84885577501847065</v>
      </c>
      <c r="N105" s="93">
        <f>DSUM($B$84:$Y$86,N$93,$C$93:$D105)</f>
        <v>0.87794928559176177</v>
      </c>
      <c r="O105" s="93">
        <f>DSUM($B$84:$Y$86,O$93,$C$93:$D105)</f>
        <v>0.90138707153737663</v>
      </c>
      <c r="P105" s="93">
        <f>DSUM($B$84:$Y$86,P$93,$C$93:$D105)</f>
        <v>0.9186236466547042</v>
      </c>
      <c r="Q105" s="93">
        <f>DSUM($B$84:$Y$86,Q$93,$C$93:$D105)</f>
        <v>0.93105619530962058</v>
      </c>
      <c r="R105" s="93">
        <f>DSUM($B$84:$Y$86,R$93,$C$93:$D105)</f>
        <v>0.93976813041311869</v>
      </c>
      <c r="S105" s="93">
        <f>DSUM($B$84:$Y$86,S$93,$C$93:$D105)</f>
        <v>0.94559955510324556</v>
      </c>
      <c r="T105" s="93">
        <f>DSUM($B$84:$Y$86,T$93,$C$93:$D105)</f>
        <v>0.96403036426617028</v>
      </c>
      <c r="U105" s="93">
        <f>DSUM($B$84:$Y$86,U$93,$C$93:$D105)</f>
        <v>0.97748144127134418</v>
      </c>
      <c r="V105" s="93">
        <f>DSUM($B$84:$Y$86,V$93,$C$93:$D105)</f>
        <v>0.98732244502542921</v>
      </c>
      <c r="W105" s="93">
        <f>DSUM($B$84:$Y$86,W$93,$C$93:$D105)</f>
        <v>0.99548412200944258</v>
      </c>
      <c r="X105" s="93">
        <f>DSUM($B$84:$Y$86,X$93,$C$93:$D105)</f>
        <v>1.0011324242896438</v>
      </c>
      <c r="Y105" s="70">
        <f>DSUM($B$84:$Y$86,Y$84,$C$93:$D105)</f>
        <v>20.190034793130454</v>
      </c>
    </row>
    <row r="106" spans="1:25">
      <c r="A106" s="24"/>
      <c r="B106" s="24" t="s">
        <v>104</v>
      </c>
      <c r="C106" s="92" t="s">
        <v>105</v>
      </c>
      <c r="D106" s="92" t="s">
        <v>106</v>
      </c>
      <c r="E106" s="93">
        <f>DSUM($B$84:$Y$86,E$93,$C$93:$D106)</f>
        <v>0.23049981353058263</v>
      </c>
      <c r="F106" s="93">
        <f>DSUM($B$84:$Y$86,F$93,$C$93:$D106)</f>
        <v>0.39037509212281807</v>
      </c>
      <c r="G106" s="93">
        <f>DSUM($B$84:$Y$86,G$93,$C$93:$D106)</f>
        <v>0.499581144242429</v>
      </c>
      <c r="H106" s="93">
        <f>DSUM($B$84:$Y$86,H$93,$C$93:$D106)</f>
        <v>0.58342105741664052</v>
      </c>
      <c r="I106" s="93">
        <f>DSUM($B$84:$Y$86,I$93,$C$93:$D106)</f>
        <v>0.65593030278863396</v>
      </c>
      <c r="J106" s="93">
        <f>DSUM($B$84:$Y$86,J$93,$C$93:$D106)</f>
        <v>0.71775057518205176</v>
      </c>
      <c r="K106" s="93">
        <f>DSUM($B$84:$Y$86,K$93,$C$93:$D106)</f>
        <v>0.76980783452391699</v>
      </c>
      <c r="L106" s="93">
        <f>DSUM($B$84:$Y$86,L$93,$C$93:$D106)</f>
        <v>0.81315226382543315</v>
      </c>
      <c r="M106" s="93">
        <f>DSUM($B$84:$Y$86,M$93,$C$93:$D106)</f>
        <v>0.84885577501847065</v>
      </c>
      <c r="N106" s="93">
        <f>DSUM($B$84:$Y$86,N$93,$C$93:$D106)</f>
        <v>0.87794928559176177</v>
      </c>
      <c r="O106" s="93">
        <f>DSUM($B$84:$Y$86,O$93,$C$93:$D106)</f>
        <v>0.90138707153737663</v>
      </c>
      <c r="P106" s="93">
        <f>DSUM($B$84:$Y$86,P$93,$C$93:$D106)</f>
        <v>0.9186236466547042</v>
      </c>
      <c r="Q106" s="93">
        <f>DSUM($B$84:$Y$86,Q$93,$C$93:$D106)</f>
        <v>0.93105619530962058</v>
      </c>
      <c r="R106" s="93">
        <f>DSUM($B$84:$Y$86,R$93,$C$93:$D106)</f>
        <v>0.93976813041311869</v>
      </c>
      <c r="S106" s="93">
        <f>DSUM($B$84:$Y$86,S$93,$C$93:$D106)</f>
        <v>0.94559955510324556</v>
      </c>
      <c r="T106" s="93">
        <f>DSUM($B$84:$Y$86,T$93,$C$93:$D106)</f>
        <v>0.96403036426617028</v>
      </c>
      <c r="U106" s="93">
        <f>DSUM($B$84:$Y$86,U$93,$C$93:$D106)</f>
        <v>0.97748144127134418</v>
      </c>
      <c r="V106" s="93">
        <f>DSUM($B$84:$Y$86,V$93,$C$93:$D106)</f>
        <v>0.98732244502542921</v>
      </c>
      <c r="W106" s="93">
        <f>DSUM($B$84:$Y$86,W$93,$C$93:$D106)</f>
        <v>0.99548412200944258</v>
      </c>
      <c r="X106" s="93">
        <f>DSUM($B$84:$Y$86,X$93,$C$93:$D106)</f>
        <v>1.0011324242896438</v>
      </c>
      <c r="Y106" s="70">
        <f>DSUM($B$84:$Y$86,Y$84,$C$93:$D106)</f>
        <v>20.190034793130454</v>
      </c>
    </row>
    <row r="107" spans="1:25">
      <c r="A107" s="24"/>
      <c r="B107" s="24" t="s">
        <v>107</v>
      </c>
      <c r="C107" s="92" t="s">
        <v>108</v>
      </c>
      <c r="D107" s="92" t="s">
        <v>109</v>
      </c>
      <c r="E107" s="93">
        <f>DSUM($B$84:$Y$86,E$93,$C$93:$D107)</f>
        <v>0.23049981353058263</v>
      </c>
      <c r="F107" s="93">
        <f>DSUM($B$84:$Y$86,F$93,$C$93:$D107)</f>
        <v>0.39037509212281807</v>
      </c>
      <c r="G107" s="93">
        <f>DSUM($B$84:$Y$86,G$93,$C$93:$D107)</f>
        <v>0.499581144242429</v>
      </c>
      <c r="H107" s="93">
        <f>DSUM($B$84:$Y$86,H$93,$C$93:$D107)</f>
        <v>0.58342105741664052</v>
      </c>
      <c r="I107" s="93">
        <f>DSUM($B$84:$Y$86,I$93,$C$93:$D107)</f>
        <v>0.65593030278863396</v>
      </c>
      <c r="J107" s="93">
        <f>DSUM($B$84:$Y$86,J$93,$C$93:$D107)</f>
        <v>0.71775057518205176</v>
      </c>
      <c r="K107" s="93">
        <f>DSUM($B$84:$Y$86,K$93,$C$93:$D107)</f>
        <v>0.76980783452391699</v>
      </c>
      <c r="L107" s="93">
        <f>DSUM($B$84:$Y$86,L$93,$C$93:$D107)</f>
        <v>0.81315226382543315</v>
      </c>
      <c r="M107" s="93">
        <f>DSUM($B$84:$Y$86,M$93,$C$93:$D107)</f>
        <v>0.84885577501847065</v>
      </c>
      <c r="N107" s="93">
        <f>DSUM($B$84:$Y$86,N$93,$C$93:$D107)</f>
        <v>0.87794928559176177</v>
      </c>
      <c r="O107" s="93">
        <f>DSUM($B$84:$Y$86,O$93,$C$93:$D107)</f>
        <v>0.90138707153737663</v>
      </c>
      <c r="P107" s="93">
        <f>DSUM($B$84:$Y$86,P$93,$C$93:$D107)</f>
        <v>0.9186236466547042</v>
      </c>
      <c r="Q107" s="93">
        <f>DSUM($B$84:$Y$86,Q$93,$C$93:$D107)</f>
        <v>0.93105619530962058</v>
      </c>
      <c r="R107" s="93">
        <f>DSUM($B$84:$Y$86,R$93,$C$93:$D107)</f>
        <v>0.93976813041311869</v>
      </c>
      <c r="S107" s="93">
        <f>DSUM($B$84:$Y$86,S$93,$C$93:$D107)</f>
        <v>0.94559955510324556</v>
      </c>
      <c r="T107" s="93">
        <f>DSUM($B$84:$Y$86,T$93,$C$93:$D107)</f>
        <v>0.96403036426617028</v>
      </c>
      <c r="U107" s="93">
        <f>DSUM($B$84:$Y$86,U$93,$C$93:$D107)</f>
        <v>0.97748144127134418</v>
      </c>
      <c r="V107" s="93">
        <f>DSUM($B$84:$Y$86,V$93,$C$93:$D107)</f>
        <v>0.98732244502542921</v>
      </c>
      <c r="W107" s="93">
        <f>DSUM($B$84:$Y$86,W$93,$C$93:$D107)</f>
        <v>0.99548412200944258</v>
      </c>
      <c r="X107" s="93">
        <f>DSUM($B$84:$Y$86,X$93,$C$93:$D107)</f>
        <v>1.0011324242896438</v>
      </c>
      <c r="Y107" s="70">
        <f>DSUM($B$84:$Y$86,Y$84,$C$93:$D107)</f>
        <v>20.190034793130454</v>
      </c>
    </row>
    <row r="108" spans="1:25">
      <c r="A108" s="24"/>
      <c r="B108" s="24" t="s">
        <v>110</v>
      </c>
      <c r="C108" s="92" t="s">
        <v>111</v>
      </c>
      <c r="D108" s="92" t="s">
        <v>112</v>
      </c>
      <c r="E108" s="93">
        <f>DSUM($B$84:$Y$86,E$93,$C$93:$D108)</f>
        <v>0.23049981353058263</v>
      </c>
      <c r="F108" s="93">
        <f>DSUM($B$84:$Y$86,F$93,$C$93:$D108)</f>
        <v>0.39037509212281807</v>
      </c>
      <c r="G108" s="93">
        <f>DSUM($B$84:$Y$86,G$93,$C$93:$D108)</f>
        <v>0.499581144242429</v>
      </c>
      <c r="H108" s="93">
        <f>DSUM($B$84:$Y$86,H$93,$C$93:$D108)</f>
        <v>0.58342105741664052</v>
      </c>
      <c r="I108" s="93">
        <f>DSUM($B$84:$Y$86,I$93,$C$93:$D108)</f>
        <v>0.65593030278863396</v>
      </c>
      <c r="J108" s="93">
        <f>DSUM($B$84:$Y$86,J$93,$C$93:$D108)</f>
        <v>0.71775057518205176</v>
      </c>
      <c r="K108" s="93">
        <f>DSUM($B$84:$Y$86,K$93,$C$93:$D108)</f>
        <v>0.76980783452391699</v>
      </c>
      <c r="L108" s="93">
        <f>DSUM($B$84:$Y$86,L$93,$C$93:$D108)</f>
        <v>0.81315226382543315</v>
      </c>
      <c r="M108" s="93">
        <f>DSUM($B$84:$Y$86,M$93,$C$93:$D108)</f>
        <v>0.84885577501847065</v>
      </c>
      <c r="N108" s="93">
        <f>DSUM($B$84:$Y$86,N$93,$C$93:$D108)</f>
        <v>0.87794928559176177</v>
      </c>
      <c r="O108" s="93">
        <f>DSUM($B$84:$Y$86,O$93,$C$93:$D108)</f>
        <v>0.90138707153737663</v>
      </c>
      <c r="P108" s="93">
        <f>DSUM($B$84:$Y$86,P$93,$C$93:$D108)</f>
        <v>0.9186236466547042</v>
      </c>
      <c r="Q108" s="93">
        <f>DSUM($B$84:$Y$86,Q$93,$C$93:$D108)</f>
        <v>0.93105619530962058</v>
      </c>
      <c r="R108" s="93">
        <f>DSUM($B$84:$Y$86,R$93,$C$93:$D108)</f>
        <v>0.93976813041311869</v>
      </c>
      <c r="S108" s="93">
        <f>DSUM($B$84:$Y$86,S$93,$C$93:$D108)</f>
        <v>0.94559955510324556</v>
      </c>
      <c r="T108" s="93">
        <f>DSUM($B$84:$Y$86,T$93,$C$93:$D108)</f>
        <v>0.96403036426617028</v>
      </c>
      <c r="U108" s="93">
        <f>DSUM($B$84:$Y$86,U$93,$C$93:$D108)</f>
        <v>0.97748144127134418</v>
      </c>
      <c r="V108" s="93">
        <f>DSUM($B$84:$Y$86,V$93,$C$93:$D108)</f>
        <v>0.98732244502542921</v>
      </c>
      <c r="W108" s="93">
        <f>DSUM($B$84:$Y$86,W$93,$C$93:$D108)</f>
        <v>0.99548412200944258</v>
      </c>
      <c r="X108" s="93">
        <f>DSUM($B$84:$Y$86,X$93,$C$93:$D108)</f>
        <v>1.0011324242896438</v>
      </c>
      <c r="Y108" s="70">
        <f>DSUM($B$84:$Y$86,Y$84,$C$93:$D108)</f>
        <v>20.190034793130454</v>
      </c>
    </row>
    <row r="109" spans="1:25">
      <c r="A109" s="24"/>
      <c r="B109" s="24" t="s">
        <v>113</v>
      </c>
      <c r="C109" s="92" t="s">
        <v>114</v>
      </c>
      <c r="D109" s="92" t="s">
        <v>115</v>
      </c>
      <c r="E109" s="93">
        <f>DSUM($B$84:$Y$86,E$93,$C$93:$D109)</f>
        <v>0.23049981353058263</v>
      </c>
      <c r="F109" s="93">
        <f>DSUM($B$84:$Y$86,F$93,$C$93:$D109)</f>
        <v>0.39037509212281807</v>
      </c>
      <c r="G109" s="93">
        <f>DSUM($B$84:$Y$86,G$93,$C$93:$D109)</f>
        <v>0.499581144242429</v>
      </c>
      <c r="H109" s="93">
        <f>DSUM($B$84:$Y$86,H$93,$C$93:$D109)</f>
        <v>0.58342105741664052</v>
      </c>
      <c r="I109" s="93">
        <f>DSUM($B$84:$Y$86,I$93,$C$93:$D109)</f>
        <v>0.65593030278863396</v>
      </c>
      <c r="J109" s="93">
        <f>DSUM($B$84:$Y$86,J$93,$C$93:$D109)</f>
        <v>0.71775057518205176</v>
      </c>
      <c r="K109" s="93">
        <f>DSUM($B$84:$Y$86,K$93,$C$93:$D109)</f>
        <v>0.76980783452391699</v>
      </c>
      <c r="L109" s="93">
        <f>DSUM($B$84:$Y$86,L$93,$C$93:$D109)</f>
        <v>0.81315226382543315</v>
      </c>
      <c r="M109" s="93">
        <f>DSUM($B$84:$Y$86,M$93,$C$93:$D109)</f>
        <v>0.84885577501847065</v>
      </c>
      <c r="N109" s="93">
        <f>DSUM($B$84:$Y$86,N$93,$C$93:$D109)</f>
        <v>0.87794928559176177</v>
      </c>
      <c r="O109" s="93">
        <f>DSUM($B$84:$Y$86,O$93,$C$93:$D109)</f>
        <v>0.90138707153737663</v>
      </c>
      <c r="P109" s="93">
        <f>DSUM($B$84:$Y$86,P$93,$C$93:$D109)</f>
        <v>0.9186236466547042</v>
      </c>
      <c r="Q109" s="93">
        <f>DSUM($B$84:$Y$86,Q$93,$C$93:$D109)</f>
        <v>0.93105619530962058</v>
      </c>
      <c r="R109" s="93">
        <f>DSUM($B$84:$Y$86,R$93,$C$93:$D109)</f>
        <v>0.93976813041311869</v>
      </c>
      <c r="S109" s="93">
        <f>DSUM($B$84:$Y$86,S$93,$C$93:$D109)</f>
        <v>0.94559955510324556</v>
      </c>
      <c r="T109" s="93">
        <f>DSUM($B$84:$Y$86,T$93,$C$93:$D109)</f>
        <v>0.96403036426617028</v>
      </c>
      <c r="U109" s="93">
        <f>DSUM($B$84:$Y$86,U$93,$C$93:$D109)</f>
        <v>0.97748144127134418</v>
      </c>
      <c r="V109" s="93">
        <f>DSUM($B$84:$Y$86,V$93,$C$93:$D109)</f>
        <v>0.98732244502542921</v>
      </c>
      <c r="W109" s="93">
        <f>DSUM($B$84:$Y$86,W$93,$C$93:$D109)</f>
        <v>0.99548412200944258</v>
      </c>
      <c r="X109" s="93">
        <f>DSUM($B$84:$Y$86,X$93,$C$93:$D109)</f>
        <v>1.0011324242896438</v>
      </c>
      <c r="Y109" s="70">
        <f>DSUM($B$84:$Y$86,Y$84,$C$93:$D109)</f>
        <v>20.190034793130454</v>
      </c>
    </row>
    <row r="110" spans="1:25">
      <c r="A110" s="24"/>
      <c r="B110" s="24" t="s">
        <v>116</v>
      </c>
      <c r="C110" s="92" t="s">
        <v>117</v>
      </c>
      <c r="D110" s="92" t="s">
        <v>118</v>
      </c>
      <c r="E110" s="93">
        <f>DSUM($B$84:$Y$86,E$93,$C$93:$D110)</f>
        <v>0.23049981353058263</v>
      </c>
      <c r="F110" s="93">
        <f>DSUM($B$84:$Y$86,F$93,$C$93:$D110)</f>
        <v>0.39037509212281807</v>
      </c>
      <c r="G110" s="93">
        <f>DSUM($B$84:$Y$86,G$93,$C$93:$D110)</f>
        <v>0.499581144242429</v>
      </c>
      <c r="H110" s="93">
        <f>DSUM($B$84:$Y$86,H$93,$C$93:$D110)</f>
        <v>0.58342105741664052</v>
      </c>
      <c r="I110" s="93">
        <f>DSUM($B$84:$Y$86,I$93,$C$93:$D110)</f>
        <v>0.65593030278863396</v>
      </c>
      <c r="J110" s="93">
        <f>DSUM($B$84:$Y$86,J$93,$C$93:$D110)</f>
        <v>0.71775057518205176</v>
      </c>
      <c r="K110" s="93">
        <f>DSUM($B$84:$Y$86,K$93,$C$93:$D110)</f>
        <v>0.76980783452391699</v>
      </c>
      <c r="L110" s="93">
        <f>DSUM($B$84:$Y$86,L$93,$C$93:$D110)</f>
        <v>0.81315226382543315</v>
      </c>
      <c r="M110" s="93">
        <f>DSUM($B$84:$Y$86,M$93,$C$93:$D110)</f>
        <v>0.84885577501847065</v>
      </c>
      <c r="N110" s="93">
        <f>DSUM($B$84:$Y$86,N$93,$C$93:$D110)</f>
        <v>0.87794928559176177</v>
      </c>
      <c r="O110" s="93">
        <f>DSUM($B$84:$Y$86,O$93,$C$93:$D110)</f>
        <v>0.90138707153737663</v>
      </c>
      <c r="P110" s="93">
        <f>DSUM($B$84:$Y$86,P$93,$C$93:$D110)</f>
        <v>0.9186236466547042</v>
      </c>
      <c r="Q110" s="93">
        <f>DSUM($B$84:$Y$86,Q$93,$C$93:$D110)</f>
        <v>0.93105619530962058</v>
      </c>
      <c r="R110" s="93">
        <f>DSUM($B$84:$Y$86,R$93,$C$93:$D110)</f>
        <v>0.93976813041311869</v>
      </c>
      <c r="S110" s="93">
        <f>DSUM($B$84:$Y$86,S$93,$C$93:$D110)</f>
        <v>0.94559955510324556</v>
      </c>
      <c r="T110" s="93">
        <f>DSUM($B$84:$Y$86,T$93,$C$93:$D110)</f>
        <v>0.96403036426617028</v>
      </c>
      <c r="U110" s="93">
        <f>DSUM($B$84:$Y$86,U$93,$C$93:$D110)</f>
        <v>0.97748144127134418</v>
      </c>
      <c r="V110" s="93">
        <f>DSUM($B$84:$Y$86,V$93,$C$93:$D110)</f>
        <v>0.98732244502542921</v>
      </c>
      <c r="W110" s="93">
        <f>DSUM($B$84:$Y$86,W$93,$C$93:$D110)</f>
        <v>0.99548412200944258</v>
      </c>
      <c r="X110" s="93">
        <f>DSUM($B$84:$Y$86,X$93,$C$93:$D110)</f>
        <v>1.0011324242896438</v>
      </c>
      <c r="Y110" s="70">
        <f>DSUM($B$84:$Y$86,Y$84,$C$93:$D110)</f>
        <v>20.190034793130454</v>
      </c>
    </row>
    <row r="111" spans="1:25">
      <c r="A111" s="24"/>
      <c r="B111" s="24" t="s">
        <v>119</v>
      </c>
      <c r="C111" s="92" t="s">
        <v>120</v>
      </c>
      <c r="D111" s="92" t="s">
        <v>121</v>
      </c>
      <c r="E111" s="93">
        <f>DSUM($B$84:$Y$86,E$93,$C$93:$D111)</f>
        <v>0.23049981353058263</v>
      </c>
      <c r="F111" s="93">
        <f>DSUM($B$84:$Y$86,F$93,$C$93:$D111)</f>
        <v>0.39037509212281807</v>
      </c>
      <c r="G111" s="93">
        <f>DSUM($B$84:$Y$86,G$93,$C$93:$D111)</f>
        <v>0.499581144242429</v>
      </c>
      <c r="H111" s="93">
        <f>DSUM($B$84:$Y$86,H$93,$C$93:$D111)</f>
        <v>0.58342105741664052</v>
      </c>
      <c r="I111" s="93">
        <f>DSUM($B$84:$Y$86,I$93,$C$93:$D111)</f>
        <v>0.65593030278863396</v>
      </c>
      <c r="J111" s="93">
        <f>DSUM($B$84:$Y$86,J$93,$C$93:$D111)</f>
        <v>0.71775057518205176</v>
      </c>
      <c r="K111" s="93">
        <f>DSUM($B$84:$Y$86,K$93,$C$93:$D111)</f>
        <v>0.76980783452391699</v>
      </c>
      <c r="L111" s="93">
        <f>DSUM($B$84:$Y$86,L$93,$C$93:$D111)</f>
        <v>0.81315226382543315</v>
      </c>
      <c r="M111" s="93">
        <f>DSUM($B$84:$Y$86,M$93,$C$93:$D111)</f>
        <v>0.84885577501847065</v>
      </c>
      <c r="N111" s="93">
        <f>DSUM($B$84:$Y$86,N$93,$C$93:$D111)</f>
        <v>0.87794928559176177</v>
      </c>
      <c r="O111" s="93">
        <f>DSUM($B$84:$Y$86,O$93,$C$93:$D111)</f>
        <v>0.90138707153737663</v>
      </c>
      <c r="P111" s="93">
        <f>DSUM($B$84:$Y$86,P$93,$C$93:$D111)</f>
        <v>0.9186236466547042</v>
      </c>
      <c r="Q111" s="93">
        <f>DSUM($B$84:$Y$86,Q$93,$C$93:$D111)</f>
        <v>0.93105619530962058</v>
      </c>
      <c r="R111" s="93">
        <f>DSUM($B$84:$Y$86,R$93,$C$93:$D111)</f>
        <v>0.93976813041311869</v>
      </c>
      <c r="S111" s="93">
        <f>DSUM($B$84:$Y$86,S$93,$C$93:$D111)</f>
        <v>0.94559955510324556</v>
      </c>
      <c r="T111" s="93">
        <f>DSUM($B$84:$Y$86,T$93,$C$93:$D111)</f>
        <v>0.96403036426617028</v>
      </c>
      <c r="U111" s="93">
        <f>DSUM($B$84:$Y$86,U$93,$C$93:$D111)</f>
        <v>0.97748144127134418</v>
      </c>
      <c r="V111" s="93">
        <f>DSUM($B$84:$Y$86,V$93,$C$93:$D111)</f>
        <v>0.98732244502542921</v>
      </c>
      <c r="W111" s="93">
        <f>DSUM($B$84:$Y$86,W$93,$C$93:$D111)</f>
        <v>0.99548412200944258</v>
      </c>
      <c r="X111" s="93">
        <f>DSUM($B$84:$Y$86,X$93,$C$93:$D111)</f>
        <v>1.0011324242896438</v>
      </c>
      <c r="Y111" s="70">
        <f>DSUM($B$84:$Y$86,Y$84,$C$93:$D111)</f>
        <v>20.190034793130454</v>
      </c>
    </row>
    <row r="112" spans="1:25">
      <c r="A112" s="24"/>
      <c r="B112" s="24" t="s">
        <v>122</v>
      </c>
      <c r="C112" s="92" t="s">
        <v>123</v>
      </c>
      <c r="D112" s="92" t="s">
        <v>124</v>
      </c>
      <c r="E112" s="93">
        <f>DSUM($B$84:$Y$86,E$93,$C$93:$D112)</f>
        <v>0.23049981353058263</v>
      </c>
      <c r="F112" s="93">
        <f>DSUM($B$84:$Y$86,F$93,$C$93:$D112)</f>
        <v>0.39037509212281807</v>
      </c>
      <c r="G112" s="93">
        <f>DSUM($B$84:$Y$86,G$93,$C$93:$D112)</f>
        <v>0.499581144242429</v>
      </c>
      <c r="H112" s="93">
        <f>DSUM($B$84:$Y$86,H$93,$C$93:$D112)</f>
        <v>0.58342105741664052</v>
      </c>
      <c r="I112" s="93">
        <f>DSUM($B$84:$Y$86,I$93,$C$93:$D112)</f>
        <v>0.65593030278863396</v>
      </c>
      <c r="J112" s="93">
        <f>DSUM($B$84:$Y$86,J$93,$C$93:$D112)</f>
        <v>0.71775057518205176</v>
      </c>
      <c r="K112" s="93">
        <f>DSUM($B$84:$Y$86,K$93,$C$93:$D112)</f>
        <v>0.76980783452391699</v>
      </c>
      <c r="L112" s="93">
        <f>DSUM($B$84:$Y$86,L$93,$C$93:$D112)</f>
        <v>0.81315226382543315</v>
      </c>
      <c r="M112" s="93">
        <f>DSUM($B$84:$Y$86,M$93,$C$93:$D112)</f>
        <v>0.84885577501847065</v>
      </c>
      <c r="N112" s="93">
        <f>DSUM($B$84:$Y$86,N$93,$C$93:$D112)</f>
        <v>0.87794928559176177</v>
      </c>
      <c r="O112" s="93">
        <f>DSUM($B$84:$Y$86,O$93,$C$93:$D112)</f>
        <v>0.90138707153737663</v>
      </c>
      <c r="P112" s="93">
        <f>DSUM($B$84:$Y$86,P$93,$C$93:$D112)</f>
        <v>0.9186236466547042</v>
      </c>
      <c r="Q112" s="93">
        <f>DSUM($B$84:$Y$86,Q$93,$C$93:$D112)</f>
        <v>0.93105619530962058</v>
      </c>
      <c r="R112" s="93">
        <f>DSUM($B$84:$Y$86,R$93,$C$93:$D112)</f>
        <v>0.93976813041311869</v>
      </c>
      <c r="S112" s="93">
        <f>DSUM($B$84:$Y$86,S$93,$C$93:$D112)</f>
        <v>0.94559955510324556</v>
      </c>
      <c r="T112" s="93">
        <f>DSUM($B$84:$Y$86,T$93,$C$93:$D112)</f>
        <v>0.96403036426617028</v>
      </c>
      <c r="U112" s="93">
        <f>DSUM($B$84:$Y$86,U$93,$C$93:$D112)</f>
        <v>0.97748144127134418</v>
      </c>
      <c r="V112" s="93">
        <f>DSUM($B$84:$Y$86,V$93,$C$93:$D112)</f>
        <v>0.98732244502542921</v>
      </c>
      <c r="W112" s="93">
        <f>DSUM($B$84:$Y$86,W$93,$C$93:$D112)</f>
        <v>0.99548412200944258</v>
      </c>
      <c r="X112" s="93">
        <f>DSUM($B$84:$Y$86,X$93,$C$93:$D112)</f>
        <v>1.0011324242896438</v>
      </c>
      <c r="Y112" s="70">
        <f>DSUM($B$84:$Y$86,Y$84,$C$93:$D112)</f>
        <v>20.190034793130454</v>
      </c>
    </row>
    <row r="113" spans="1:26">
      <c r="A113" s="24"/>
      <c r="B113" s="24" t="s">
        <v>125</v>
      </c>
      <c r="C113" s="92" t="s">
        <v>126</v>
      </c>
      <c r="D113" s="92" t="s">
        <v>127</v>
      </c>
      <c r="E113" s="93">
        <f>DSUM($B$84:$Y$86,E$93,$C$93:$D113)</f>
        <v>0.23049981353058263</v>
      </c>
      <c r="F113" s="93">
        <f>DSUM($B$84:$Y$86,F$93,$C$93:$D113)</f>
        <v>0.39037509212281807</v>
      </c>
      <c r="G113" s="93">
        <f>DSUM($B$84:$Y$86,G$93,$C$93:$D113)</f>
        <v>0.499581144242429</v>
      </c>
      <c r="H113" s="93">
        <f>DSUM($B$84:$Y$86,H$93,$C$93:$D113)</f>
        <v>0.58342105741664052</v>
      </c>
      <c r="I113" s="93">
        <f>DSUM($B$84:$Y$86,I$93,$C$93:$D113)</f>
        <v>0.65593030278863396</v>
      </c>
      <c r="J113" s="93">
        <f>DSUM($B$84:$Y$86,J$93,$C$93:$D113)</f>
        <v>0.71775057518205176</v>
      </c>
      <c r="K113" s="93">
        <f>DSUM($B$84:$Y$86,K$93,$C$93:$D113)</f>
        <v>0.76980783452391699</v>
      </c>
      <c r="L113" s="93">
        <f>DSUM($B$84:$Y$86,L$93,$C$93:$D113)</f>
        <v>0.81315226382543315</v>
      </c>
      <c r="M113" s="93">
        <f>DSUM($B$84:$Y$86,M$93,$C$93:$D113)</f>
        <v>0.84885577501847065</v>
      </c>
      <c r="N113" s="93">
        <f>DSUM($B$84:$Y$86,N$93,$C$93:$D113)</f>
        <v>0.87794928559176177</v>
      </c>
      <c r="O113" s="93">
        <f>DSUM($B$84:$Y$86,O$93,$C$93:$D113)</f>
        <v>0.90138707153737663</v>
      </c>
      <c r="P113" s="93">
        <f>DSUM($B$84:$Y$86,P$93,$C$93:$D113)</f>
        <v>0.9186236466547042</v>
      </c>
      <c r="Q113" s="93">
        <f>DSUM($B$84:$Y$86,Q$93,$C$93:$D113)</f>
        <v>0.93105619530962058</v>
      </c>
      <c r="R113" s="93">
        <f>DSUM($B$84:$Y$86,R$93,$C$93:$D113)</f>
        <v>0.93976813041311869</v>
      </c>
      <c r="S113" s="93">
        <f>DSUM($B$84:$Y$86,S$93,$C$93:$D113)</f>
        <v>0.94559955510324556</v>
      </c>
      <c r="T113" s="93">
        <f>DSUM($B$84:$Y$86,T$93,$C$93:$D113)</f>
        <v>0.96403036426617028</v>
      </c>
      <c r="U113" s="93">
        <f>DSUM($B$84:$Y$86,U$93,$C$93:$D113)</f>
        <v>0.97748144127134418</v>
      </c>
      <c r="V113" s="93">
        <f>DSUM($B$84:$Y$86,V$93,$C$93:$D113)</f>
        <v>0.98732244502542921</v>
      </c>
      <c r="W113" s="93">
        <f>DSUM($B$84:$Y$86,W$93,$C$93:$D113)</f>
        <v>0.99548412200944258</v>
      </c>
      <c r="X113" s="93">
        <f>DSUM($B$84:$Y$86,X$93,$C$93:$D113)</f>
        <v>1.0011324242896438</v>
      </c>
      <c r="Y113" s="70">
        <f>DSUM($B$84:$Y$86,Y$84,$C$93:$D113)</f>
        <v>20.190034793130454</v>
      </c>
    </row>
    <row r="114" spans="1:26">
      <c r="A114" s="24"/>
      <c r="B114" s="24" t="s">
        <v>128</v>
      </c>
      <c r="C114" s="92" t="s">
        <v>129</v>
      </c>
      <c r="D114" s="92" t="s">
        <v>130</v>
      </c>
      <c r="E114" s="93">
        <f>DSUM($B$84:$Y$86,E$93,$C$93:$D114)</f>
        <v>0.23049981353058263</v>
      </c>
      <c r="F114" s="93">
        <f>DSUM($B$84:$Y$86,F$93,$C$93:$D114)</f>
        <v>0.39037509212281807</v>
      </c>
      <c r="G114" s="93">
        <f>DSUM($B$84:$Y$86,G$93,$C$93:$D114)</f>
        <v>0.499581144242429</v>
      </c>
      <c r="H114" s="93">
        <f>DSUM($B$84:$Y$86,H$93,$C$93:$D114)</f>
        <v>0.58342105741664052</v>
      </c>
      <c r="I114" s="93">
        <f>DSUM($B$84:$Y$86,I$93,$C$93:$D114)</f>
        <v>0.65593030278863396</v>
      </c>
      <c r="J114" s="93">
        <f>DSUM($B$84:$Y$86,J$93,$C$93:$D114)</f>
        <v>0.71775057518205176</v>
      </c>
      <c r="K114" s="93">
        <f>DSUM($B$84:$Y$86,K$93,$C$93:$D114)</f>
        <v>0.76980783452391699</v>
      </c>
      <c r="L114" s="93">
        <f>DSUM($B$84:$Y$86,L$93,$C$93:$D114)</f>
        <v>0.81315226382543315</v>
      </c>
      <c r="M114" s="93">
        <f>DSUM($B$84:$Y$86,M$93,$C$93:$D114)</f>
        <v>0.84885577501847065</v>
      </c>
      <c r="N114" s="93">
        <f>DSUM($B$84:$Y$86,N$93,$C$93:$D114)</f>
        <v>0.87794928559176177</v>
      </c>
      <c r="O114" s="93">
        <f>DSUM($B$84:$Y$86,O$93,$C$93:$D114)</f>
        <v>0.90138707153737663</v>
      </c>
      <c r="P114" s="93">
        <f>DSUM($B$84:$Y$86,P$93,$C$93:$D114)</f>
        <v>0.9186236466547042</v>
      </c>
      <c r="Q114" s="93">
        <f>DSUM($B$84:$Y$86,Q$93,$C$93:$D114)</f>
        <v>0.93105619530962058</v>
      </c>
      <c r="R114" s="93">
        <f>DSUM($B$84:$Y$86,R$93,$C$93:$D114)</f>
        <v>0.93976813041311869</v>
      </c>
      <c r="S114" s="93">
        <f>DSUM($B$84:$Y$86,S$93,$C$93:$D114)</f>
        <v>0.94559955510324556</v>
      </c>
      <c r="T114" s="93">
        <f>DSUM($B$84:$Y$86,T$93,$C$93:$D114)</f>
        <v>0.96403036426617028</v>
      </c>
      <c r="U114" s="93">
        <f>DSUM($B$84:$Y$86,U$93,$C$93:$D114)</f>
        <v>0.97748144127134418</v>
      </c>
      <c r="V114" s="93">
        <f>DSUM($B$84:$Y$86,V$93,$C$93:$D114)</f>
        <v>0.98732244502542921</v>
      </c>
      <c r="W114" s="93">
        <f>DSUM($B$84:$Y$86,W$93,$C$93:$D114)</f>
        <v>0.99548412200944258</v>
      </c>
      <c r="X114" s="93">
        <f>DSUM($B$84:$Y$86,X$93,$C$93:$D114)</f>
        <v>1.0011324242896438</v>
      </c>
      <c r="Y114" s="70">
        <f>DSUM($B$84:$Y$86,Y$84,$C$93:$D114)</f>
        <v>20.190034793130454</v>
      </c>
    </row>
    <row r="115" spans="1:26">
      <c r="A115" s="24"/>
      <c r="B115" s="24" t="s">
        <v>131</v>
      </c>
      <c r="C115" s="92" t="s">
        <v>132</v>
      </c>
      <c r="D115" s="92" t="s">
        <v>133</v>
      </c>
      <c r="E115" s="93">
        <f>DSUM($B$84:$Y$86,E$93,$C$93:$D115)</f>
        <v>0.23049981353058263</v>
      </c>
      <c r="F115" s="93">
        <f>DSUM($B$84:$Y$86,F$93,$C$93:$D115)</f>
        <v>0.39037509212281807</v>
      </c>
      <c r="G115" s="93">
        <f>DSUM($B$84:$Y$86,G$93,$C$93:$D115)</f>
        <v>0.499581144242429</v>
      </c>
      <c r="H115" s="93">
        <f>DSUM($B$84:$Y$86,H$93,$C$93:$D115)</f>
        <v>0.58342105741664052</v>
      </c>
      <c r="I115" s="93">
        <f>DSUM($B$84:$Y$86,I$93,$C$93:$D115)</f>
        <v>0.65593030278863396</v>
      </c>
      <c r="J115" s="93">
        <f>DSUM($B$84:$Y$86,J$93,$C$93:$D115)</f>
        <v>0.71775057518205176</v>
      </c>
      <c r="K115" s="93">
        <f>DSUM($B$84:$Y$86,K$93,$C$93:$D115)</f>
        <v>0.76980783452391699</v>
      </c>
      <c r="L115" s="93">
        <f>DSUM($B$84:$Y$86,L$93,$C$93:$D115)</f>
        <v>0.81315226382543315</v>
      </c>
      <c r="M115" s="93">
        <f>DSUM($B$84:$Y$86,M$93,$C$93:$D115)</f>
        <v>0.84885577501847065</v>
      </c>
      <c r="N115" s="93">
        <f>DSUM($B$84:$Y$86,N$93,$C$93:$D115)</f>
        <v>0.87794928559176177</v>
      </c>
      <c r="O115" s="93">
        <f>DSUM($B$84:$Y$86,O$93,$C$93:$D115)</f>
        <v>0.90138707153737663</v>
      </c>
      <c r="P115" s="93">
        <f>DSUM($B$84:$Y$86,P$93,$C$93:$D115)</f>
        <v>0.9186236466547042</v>
      </c>
      <c r="Q115" s="93">
        <f>DSUM($B$84:$Y$86,Q$93,$C$93:$D115)</f>
        <v>0.93105619530962058</v>
      </c>
      <c r="R115" s="93">
        <f>DSUM($B$84:$Y$86,R$93,$C$93:$D115)</f>
        <v>0.93976813041311869</v>
      </c>
      <c r="S115" s="93">
        <f>DSUM($B$84:$Y$86,S$93,$C$93:$D115)</f>
        <v>0.94559955510324556</v>
      </c>
      <c r="T115" s="93">
        <f>DSUM($B$84:$Y$86,T$93,$C$93:$D115)</f>
        <v>0.96403036426617028</v>
      </c>
      <c r="U115" s="93">
        <f>DSUM($B$84:$Y$86,U$93,$C$93:$D115)</f>
        <v>0.97748144127134418</v>
      </c>
      <c r="V115" s="93">
        <f>DSUM($B$84:$Y$86,V$93,$C$93:$D115)</f>
        <v>0.98732244502542921</v>
      </c>
      <c r="W115" s="93">
        <f>DSUM($B$84:$Y$86,W$93,$C$93:$D115)</f>
        <v>0.99548412200944258</v>
      </c>
      <c r="X115" s="93">
        <f>DSUM($B$84:$Y$86,X$93,$C$93:$D115)</f>
        <v>1.0011324242896438</v>
      </c>
      <c r="Y115" s="70">
        <f>DSUM($B$84:$Y$86,Y$84,$C$93:$D115)</f>
        <v>20.190034793130454</v>
      </c>
    </row>
    <row r="116" spans="1:26">
      <c r="A116" s="24"/>
      <c r="B116" s="24" t="s">
        <v>134</v>
      </c>
      <c r="C116" s="92" t="s">
        <v>135</v>
      </c>
      <c r="D116" s="92" t="s">
        <v>136</v>
      </c>
      <c r="E116" s="93">
        <f>DSUM($B$84:$Y$86,E$93,$C$93:$D116)</f>
        <v>0.23049981353058263</v>
      </c>
      <c r="F116" s="93">
        <f>DSUM($B$84:$Y$86,F$93,$C$93:$D116)</f>
        <v>0.39037509212281807</v>
      </c>
      <c r="G116" s="93">
        <f>DSUM($B$84:$Y$86,G$93,$C$93:$D116)</f>
        <v>0.499581144242429</v>
      </c>
      <c r="H116" s="93">
        <f>DSUM($B$84:$Y$86,H$93,$C$93:$D116)</f>
        <v>0.58342105741664052</v>
      </c>
      <c r="I116" s="93">
        <f>DSUM($B$84:$Y$86,I$93,$C$93:$D116)</f>
        <v>0.65593030278863396</v>
      </c>
      <c r="J116" s="93">
        <f>DSUM($B$84:$Y$86,J$93,$C$93:$D116)</f>
        <v>0.71775057518205176</v>
      </c>
      <c r="K116" s="93">
        <f>DSUM($B$84:$Y$86,K$93,$C$93:$D116)</f>
        <v>0.76980783452391699</v>
      </c>
      <c r="L116" s="93">
        <f>DSUM($B$84:$Y$86,L$93,$C$93:$D116)</f>
        <v>0.81315226382543315</v>
      </c>
      <c r="M116" s="93">
        <f>DSUM($B$84:$Y$86,M$93,$C$93:$D116)</f>
        <v>0.84885577501847065</v>
      </c>
      <c r="N116" s="93">
        <f>DSUM($B$84:$Y$86,N$93,$C$93:$D116)</f>
        <v>0.87794928559176177</v>
      </c>
      <c r="O116" s="93">
        <f>DSUM($B$84:$Y$86,O$93,$C$93:$D116)</f>
        <v>0.90138707153737663</v>
      </c>
      <c r="P116" s="93">
        <f>DSUM($B$84:$Y$86,P$93,$C$93:$D116)</f>
        <v>0.9186236466547042</v>
      </c>
      <c r="Q116" s="93">
        <f>DSUM($B$84:$Y$86,Q$93,$C$93:$D116)</f>
        <v>0.93105619530962058</v>
      </c>
      <c r="R116" s="93">
        <f>DSUM($B$84:$Y$86,R$93,$C$93:$D116)</f>
        <v>0.93976813041311869</v>
      </c>
      <c r="S116" s="93">
        <f>DSUM($B$84:$Y$86,S$93,$C$93:$D116)</f>
        <v>0.94559955510324556</v>
      </c>
      <c r="T116" s="93">
        <f>DSUM($B$84:$Y$86,T$93,$C$93:$D116)</f>
        <v>0.96403036426617028</v>
      </c>
      <c r="U116" s="93">
        <f>DSUM($B$84:$Y$86,U$93,$C$93:$D116)</f>
        <v>0.97748144127134418</v>
      </c>
      <c r="V116" s="93">
        <f>DSUM($B$84:$Y$86,V$93,$C$93:$D116)</f>
        <v>0.98732244502542921</v>
      </c>
      <c r="W116" s="93">
        <f>DSUM($B$84:$Y$86,W$93,$C$93:$D116)</f>
        <v>0.99548412200944258</v>
      </c>
      <c r="X116" s="93">
        <f>DSUM($B$84:$Y$86,X$93,$C$93:$D116)</f>
        <v>1.0011324242896438</v>
      </c>
      <c r="Y116" s="70">
        <f>DSUM($B$84:$Y$86,Y$84,$C$93:$D116)</f>
        <v>20.190034793130454</v>
      </c>
    </row>
    <row r="117" spans="1:26">
      <c r="A117" s="24"/>
      <c r="B117" s="24" t="s">
        <v>137</v>
      </c>
      <c r="C117" s="92" t="s">
        <v>138</v>
      </c>
      <c r="D117" s="92" t="s">
        <v>139</v>
      </c>
      <c r="E117" s="93">
        <f>DSUM($B$84:$Y$86,E$93,$C$93:$D117)</f>
        <v>0.23049981353058263</v>
      </c>
      <c r="F117" s="93">
        <f>DSUM($B$84:$Y$86,F$93,$C$93:$D117)</f>
        <v>0.39037509212281807</v>
      </c>
      <c r="G117" s="93">
        <f>DSUM($B$84:$Y$86,G$93,$C$93:$D117)</f>
        <v>0.499581144242429</v>
      </c>
      <c r="H117" s="93">
        <f>DSUM($B$84:$Y$86,H$93,$C$93:$D117)</f>
        <v>0.58342105741664052</v>
      </c>
      <c r="I117" s="93">
        <f>DSUM($B$84:$Y$86,I$93,$C$93:$D117)</f>
        <v>0.65593030278863396</v>
      </c>
      <c r="J117" s="93">
        <f>DSUM($B$84:$Y$86,J$93,$C$93:$D117)</f>
        <v>0.71775057518205176</v>
      </c>
      <c r="K117" s="93">
        <f>DSUM($B$84:$Y$86,K$93,$C$93:$D117)</f>
        <v>0.76980783452391699</v>
      </c>
      <c r="L117" s="93">
        <f>DSUM($B$84:$Y$86,L$93,$C$93:$D117)</f>
        <v>0.81315226382543315</v>
      </c>
      <c r="M117" s="93">
        <f>DSUM($B$84:$Y$86,M$93,$C$93:$D117)</f>
        <v>0.84885577501847065</v>
      </c>
      <c r="N117" s="93">
        <f>DSUM($B$84:$Y$86,N$93,$C$93:$D117)</f>
        <v>0.87794928559176177</v>
      </c>
      <c r="O117" s="93">
        <f>DSUM($B$84:$Y$86,O$93,$C$93:$D117)</f>
        <v>0.90138707153737663</v>
      </c>
      <c r="P117" s="93">
        <f>DSUM($B$84:$Y$86,P$93,$C$93:$D117)</f>
        <v>0.9186236466547042</v>
      </c>
      <c r="Q117" s="93">
        <f>DSUM($B$84:$Y$86,Q$93,$C$93:$D117)</f>
        <v>0.93105619530962058</v>
      </c>
      <c r="R117" s="93">
        <f>DSUM($B$84:$Y$86,R$93,$C$93:$D117)</f>
        <v>0.93976813041311869</v>
      </c>
      <c r="S117" s="93">
        <f>DSUM($B$84:$Y$86,S$93,$C$93:$D117)</f>
        <v>0.94559955510324556</v>
      </c>
      <c r="T117" s="93">
        <f>DSUM($B$84:$Y$86,T$93,$C$93:$D117)</f>
        <v>0.96403036426617028</v>
      </c>
      <c r="U117" s="93">
        <f>DSUM($B$84:$Y$86,U$93,$C$93:$D117)</f>
        <v>0.97748144127134418</v>
      </c>
      <c r="V117" s="93">
        <f>DSUM($B$84:$Y$86,V$93,$C$93:$D117)</f>
        <v>0.98732244502542921</v>
      </c>
      <c r="W117" s="93">
        <f>DSUM($B$84:$Y$86,W$93,$C$93:$D117)</f>
        <v>0.99548412200944258</v>
      </c>
      <c r="X117" s="93">
        <f>DSUM($B$84:$Y$86,X$93,$C$93:$D117)</f>
        <v>1.0011324242896438</v>
      </c>
      <c r="Y117" s="70">
        <f>DSUM($B$84:$Y$86,Y$84,$C$93:$D117)</f>
        <v>20.190034793130454</v>
      </c>
    </row>
    <row r="118" spans="1:26">
      <c r="A118" s="24"/>
      <c r="B118" s="24" t="s">
        <v>140</v>
      </c>
      <c r="C118" s="92" t="s">
        <v>141</v>
      </c>
      <c r="D118" s="92" t="s">
        <v>142</v>
      </c>
      <c r="E118" s="93">
        <f>DSUM($B$84:$Y$86,E$93,$C$93:$D118)</f>
        <v>0.23049981353058263</v>
      </c>
      <c r="F118" s="93">
        <f>DSUM($B$84:$Y$86,F$93,$C$93:$D118)</f>
        <v>0.39037509212281807</v>
      </c>
      <c r="G118" s="93">
        <f>DSUM($B$84:$Y$86,G$93,$C$93:$D118)</f>
        <v>0.499581144242429</v>
      </c>
      <c r="H118" s="93">
        <f>DSUM($B$84:$Y$86,H$93,$C$93:$D118)</f>
        <v>0.58342105741664052</v>
      </c>
      <c r="I118" s="93">
        <f>DSUM($B$84:$Y$86,I$93,$C$93:$D118)</f>
        <v>0.65593030278863396</v>
      </c>
      <c r="J118" s="93">
        <f>DSUM($B$84:$Y$86,J$93,$C$93:$D118)</f>
        <v>0.71775057518205176</v>
      </c>
      <c r="K118" s="93">
        <f>DSUM($B$84:$Y$86,K$93,$C$93:$D118)</f>
        <v>0.76980783452391699</v>
      </c>
      <c r="L118" s="93">
        <f>DSUM($B$84:$Y$86,L$93,$C$93:$D118)</f>
        <v>0.81315226382543315</v>
      </c>
      <c r="M118" s="93">
        <f>DSUM($B$84:$Y$86,M$93,$C$93:$D118)</f>
        <v>0.84885577501847065</v>
      </c>
      <c r="N118" s="93">
        <f>DSUM($B$84:$Y$86,N$93,$C$93:$D118)</f>
        <v>0.87794928559176177</v>
      </c>
      <c r="O118" s="93">
        <f>DSUM($B$84:$Y$86,O$93,$C$93:$D118)</f>
        <v>0.90138707153737663</v>
      </c>
      <c r="P118" s="93">
        <f>DSUM($B$84:$Y$86,P$93,$C$93:$D118)</f>
        <v>0.9186236466547042</v>
      </c>
      <c r="Q118" s="93">
        <f>DSUM($B$84:$Y$86,Q$93,$C$93:$D118)</f>
        <v>0.93105619530962058</v>
      </c>
      <c r="R118" s="93">
        <f>DSUM($B$84:$Y$86,R$93,$C$93:$D118)</f>
        <v>0.93976813041311869</v>
      </c>
      <c r="S118" s="93">
        <f>DSUM($B$84:$Y$86,S$93,$C$93:$D118)</f>
        <v>0.94559955510324556</v>
      </c>
      <c r="T118" s="93">
        <f>DSUM($B$84:$Y$86,T$93,$C$93:$D118)</f>
        <v>0.96403036426617028</v>
      </c>
      <c r="U118" s="93">
        <f>DSUM($B$84:$Y$86,U$93,$C$93:$D118)</f>
        <v>0.97748144127134418</v>
      </c>
      <c r="V118" s="93">
        <f>DSUM($B$84:$Y$86,V$93,$C$93:$D118)</f>
        <v>0.98732244502542921</v>
      </c>
      <c r="W118" s="93">
        <f>DSUM($B$84:$Y$86,W$93,$C$93:$D118)</f>
        <v>0.99548412200944258</v>
      </c>
      <c r="X118" s="93">
        <f>DSUM($B$84:$Y$86,X$93,$C$93:$D118)</f>
        <v>1.0011324242896438</v>
      </c>
      <c r="Y118" s="70">
        <f>DSUM($B$84:$Y$86,Y$84,$C$93:$D118)</f>
        <v>20.190034793130454</v>
      </c>
    </row>
    <row r="119" spans="1:26">
      <c r="A119" s="24"/>
      <c r="B119" s="24" t="s">
        <v>143</v>
      </c>
      <c r="C119" s="92" t="s">
        <v>144</v>
      </c>
      <c r="D119" s="92" t="s">
        <v>145</v>
      </c>
      <c r="E119" s="93">
        <f>DSUM($B$84:$Y$86,E$93,$C$93:$D119)</f>
        <v>0.23049981353058263</v>
      </c>
      <c r="F119" s="93">
        <f>DSUM($B$84:$Y$86,F$93,$C$93:$D119)</f>
        <v>0.39037509212281807</v>
      </c>
      <c r="G119" s="93">
        <f>DSUM($B$84:$Y$86,G$93,$C$93:$D119)</f>
        <v>0.499581144242429</v>
      </c>
      <c r="H119" s="93">
        <f>DSUM($B$84:$Y$86,H$93,$C$93:$D119)</f>
        <v>0.58342105741664052</v>
      </c>
      <c r="I119" s="93">
        <f>DSUM($B$84:$Y$86,I$93,$C$93:$D119)</f>
        <v>0.65593030278863396</v>
      </c>
      <c r="J119" s="93">
        <f>DSUM($B$84:$Y$86,J$93,$C$93:$D119)</f>
        <v>0.71775057518205176</v>
      </c>
      <c r="K119" s="93">
        <f>DSUM($B$84:$Y$86,K$93,$C$93:$D119)</f>
        <v>0.76980783452391699</v>
      </c>
      <c r="L119" s="93">
        <f>DSUM($B$84:$Y$86,L$93,$C$93:$D119)</f>
        <v>0.81315226382543315</v>
      </c>
      <c r="M119" s="93">
        <f>DSUM($B$84:$Y$86,M$93,$C$93:$D119)</f>
        <v>0.84885577501847065</v>
      </c>
      <c r="N119" s="93">
        <f>DSUM($B$84:$Y$86,N$93,$C$93:$D119)</f>
        <v>0.87794928559176177</v>
      </c>
      <c r="O119" s="93">
        <f>DSUM($B$84:$Y$86,O$93,$C$93:$D119)</f>
        <v>0.90138707153737663</v>
      </c>
      <c r="P119" s="93">
        <f>DSUM($B$84:$Y$86,P$93,$C$93:$D119)</f>
        <v>0.9186236466547042</v>
      </c>
      <c r="Q119" s="93">
        <f>DSUM($B$84:$Y$86,Q$93,$C$93:$D119)</f>
        <v>0.93105619530962058</v>
      </c>
      <c r="R119" s="93">
        <f>DSUM($B$84:$Y$86,R$93,$C$93:$D119)</f>
        <v>0.93976813041311869</v>
      </c>
      <c r="S119" s="93">
        <f>DSUM($B$84:$Y$86,S$93,$C$93:$D119)</f>
        <v>0.94559955510324556</v>
      </c>
      <c r="T119" s="93">
        <f>DSUM($B$84:$Y$86,T$93,$C$93:$D119)</f>
        <v>0.96403036426617028</v>
      </c>
      <c r="U119" s="93">
        <f>DSUM($B$84:$Y$86,U$93,$C$93:$D119)</f>
        <v>0.97748144127134418</v>
      </c>
      <c r="V119" s="93">
        <f>DSUM($B$84:$Y$86,V$93,$C$93:$D119)</f>
        <v>0.98732244502542921</v>
      </c>
      <c r="W119" s="93">
        <f>DSUM($B$84:$Y$86,W$93,$C$93:$D119)</f>
        <v>0.99548412200944258</v>
      </c>
      <c r="X119" s="93">
        <f>DSUM($B$84:$Y$86,X$93,$C$93:$D119)</f>
        <v>1.0011324242896438</v>
      </c>
      <c r="Y119" s="70">
        <f>DSUM($B$84:$Y$86,Y$84,$C$93:$D119)</f>
        <v>20.190034793130454</v>
      </c>
    </row>
    <row r="120" spans="1:26">
      <c r="A120" s="24"/>
      <c r="B120" s="24" t="s">
        <v>146</v>
      </c>
      <c r="C120" s="92" t="s">
        <v>147</v>
      </c>
      <c r="D120" s="92" t="s">
        <v>148</v>
      </c>
      <c r="E120" s="93">
        <f>DSUM($B$84:$Y$86,E$93,$C$93:$D120)</f>
        <v>0.23049981353058263</v>
      </c>
      <c r="F120" s="93">
        <f>DSUM($B$84:$Y$86,F$93,$C$93:$D120)</f>
        <v>0.39037509212281807</v>
      </c>
      <c r="G120" s="93">
        <f>DSUM($B$84:$Y$86,G$93,$C$93:$D120)</f>
        <v>0.499581144242429</v>
      </c>
      <c r="H120" s="93">
        <f>DSUM($B$84:$Y$86,H$93,$C$93:$D120)</f>
        <v>0.58342105741664052</v>
      </c>
      <c r="I120" s="93">
        <f>DSUM($B$84:$Y$86,I$93,$C$93:$D120)</f>
        <v>0.65593030278863396</v>
      </c>
      <c r="J120" s="93">
        <f>DSUM($B$84:$Y$86,J$93,$C$93:$D120)</f>
        <v>0.71775057518205176</v>
      </c>
      <c r="K120" s="93">
        <f>DSUM($B$84:$Y$86,K$93,$C$93:$D120)</f>
        <v>0.76980783452391699</v>
      </c>
      <c r="L120" s="93">
        <f>DSUM($B$84:$Y$86,L$93,$C$93:$D120)</f>
        <v>0.81315226382543315</v>
      </c>
      <c r="M120" s="93">
        <f>DSUM($B$84:$Y$86,M$93,$C$93:$D120)</f>
        <v>0.84885577501847065</v>
      </c>
      <c r="N120" s="93">
        <f>DSUM($B$84:$Y$86,N$93,$C$93:$D120)</f>
        <v>0.87794928559176177</v>
      </c>
      <c r="O120" s="93">
        <f>DSUM($B$84:$Y$86,O$93,$C$93:$D120)</f>
        <v>0.90138707153737663</v>
      </c>
      <c r="P120" s="93">
        <f>DSUM($B$84:$Y$86,P$93,$C$93:$D120)</f>
        <v>0.9186236466547042</v>
      </c>
      <c r="Q120" s="93">
        <f>DSUM($B$84:$Y$86,Q$93,$C$93:$D120)</f>
        <v>0.93105619530962058</v>
      </c>
      <c r="R120" s="93">
        <f>DSUM($B$84:$Y$86,R$93,$C$93:$D120)</f>
        <v>0.93976813041311869</v>
      </c>
      <c r="S120" s="93">
        <f>DSUM($B$84:$Y$86,S$93,$C$93:$D120)</f>
        <v>0.94559955510324556</v>
      </c>
      <c r="T120" s="93">
        <f>DSUM($B$84:$Y$86,T$93,$C$93:$D120)</f>
        <v>0.96403036426617028</v>
      </c>
      <c r="U120" s="93">
        <f>DSUM($B$84:$Y$86,U$93,$C$93:$D120)</f>
        <v>0.97748144127134418</v>
      </c>
      <c r="V120" s="93">
        <f>DSUM($B$84:$Y$86,V$93,$C$93:$D120)</f>
        <v>0.98732244502542921</v>
      </c>
      <c r="W120" s="93">
        <f>DSUM($B$84:$Y$86,W$93,$C$93:$D120)</f>
        <v>0.99548412200944258</v>
      </c>
      <c r="X120" s="93">
        <f>DSUM($B$84:$Y$86,X$93,$C$93:$D120)</f>
        <v>1.0011324242896438</v>
      </c>
      <c r="Y120" s="70">
        <f>DSUM($B$84:$Y$86,Y$84,$C$93:$D120)</f>
        <v>20.190034793130454</v>
      </c>
    </row>
    <row r="121" spans="1:26">
      <c r="A121" s="24"/>
      <c r="B121" s="24" t="s">
        <v>149</v>
      </c>
      <c r="C121" s="92" t="s">
        <v>150</v>
      </c>
      <c r="D121" s="92" t="s">
        <v>151</v>
      </c>
      <c r="E121" s="93">
        <f>DSUM($B$84:$Y$86,E$93,$C$93:$D121)</f>
        <v>0.23049981353058263</v>
      </c>
      <c r="F121" s="93">
        <f>DSUM($B$84:$Y$86,F$93,$C$93:$D121)</f>
        <v>0.39037509212281807</v>
      </c>
      <c r="G121" s="93">
        <f>DSUM($B$84:$Y$86,G$93,$C$93:$D121)</f>
        <v>0.499581144242429</v>
      </c>
      <c r="H121" s="93">
        <f>DSUM($B$84:$Y$86,H$93,$C$93:$D121)</f>
        <v>0.58342105741664052</v>
      </c>
      <c r="I121" s="93">
        <f>DSUM($B$84:$Y$86,I$93,$C$93:$D121)</f>
        <v>0.65593030278863396</v>
      </c>
      <c r="J121" s="93">
        <f>DSUM($B$84:$Y$86,J$93,$C$93:$D121)</f>
        <v>0.71775057518205176</v>
      </c>
      <c r="K121" s="93">
        <f>DSUM($B$84:$Y$86,K$93,$C$93:$D121)</f>
        <v>0.76980783452391699</v>
      </c>
      <c r="L121" s="93">
        <f>DSUM($B$84:$Y$86,L$93,$C$93:$D121)</f>
        <v>0.81315226382543315</v>
      </c>
      <c r="M121" s="93">
        <f>DSUM($B$84:$Y$86,M$93,$C$93:$D121)</f>
        <v>0.84885577501847065</v>
      </c>
      <c r="N121" s="93">
        <f>DSUM($B$84:$Y$86,N$93,$C$93:$D121)</f>
        <v>0.87794928559176177</v>
      </c>
      <c r="O121" s="93">
        <f>DSUM($B$84:$Y$86,O$93,$C$93:$D121)</f>
        <v>0.90138707153737663</v>
      </c>
      <c r="P121" s="93">
        <f>DSUM($B$84:$Y$86,P$93,$C$93:$D121)</f>
        <v>0.9186236466547042</v>
      </c>
      <c r="Q121" s="93">
        <f>DSUM($B$84:$Y$86,Q$93,$C$93:$D121)</f>
        <v>0.93105619530962058</v>
      </c>
      <c r="R121" s="93">
        <f>DSUM($B$84:$Y$86,R$93,$C$93:$D121)</f>
        <v>0.93976813041311869</v>
      </c>
      <c r="S121" s="93">
        <f>DSUM($B$84:$Y$86,S$93,$C$93:$D121)</f>
        <v>0.94559955510324556</v>
      </c>
      <c r="T121" s="93">
        <f>DSUM($B$84:$Y$86,T$93,$C$93:$D121)</f>
        <v>0.96403036426617028</v>
      </c>
      <c r="U121" s="93">
        <f>DSUM($B$84:$Y$86,U$93,$C$93:$D121)</f>
        <v>0.97748144127134418</v>
      </c>
      <c r="V121" s="93">
        <f>DSUM($B$84:$Y$86,V$93,$C$93:$D121)</f>
        <v>0.98732244502542921</v>
      </c>
      <c r="W121" s="93">
        <f>DSUM($B$84:$Y$86,W$93,$C$93:$D121)</f>
        <v>0.99548412200944258</v>
      </c>
      <c r="X121" s="93">
        <f>DSUM($B$84:$Y$86,X$93,$C$93:$D121)</f>
        <v>1.0011324242896438</v>
      </c>
      <c r="Y121" s="70">
        <f>DSUM($B$84:$Y$86,Y$84,$C$93:$D121)</f>
        <v>20.190034793130454</v>
      </c>
    </row>
    <row r="122" spans="1:26">
      <c r="A122" s="24"/>
      <c r="B122" s="24" t="s">
        <v>152</v>
      </c>
      <c r="C122" s="92" t="s">
        <v>153</v>
      </c>
      <c r="D122" s="92" t="s">
        <v>154</v>
      </c>
      <c r="E122" s="93">
        <f>DSUM($B$84:$Y$86,E$93,$C$93:$D122)</f>
        <v>0.23049981353058263</v>
      </c>
      <c r="F122" s="93">
        <f>DSUM($B$84:$Y$86,F$93,$C$93:$D122)</f>
        <v>0.39037509212281807</v>
      </c>
      <c r="G122" s="93">
        <f>DSUM($B$84:$Y$86,G$93,$C$93:$D122)</f>
        <v>0.499581144242429</v>
      </c>
      <c r="H122" s="93">
        <f>DSUM($B$84:$Y$86,H$93,$C$93:$D122)</f>
        <v>0.58342105741664052</v>
      </c>
      <c r="I122" s="93">
        <f>DSUM($B$84:$Y$86,I$93,$C$93:$D122)</f>
        <v>0.65593030278863396</v>
      </c>
      <c r="J122" s="93">
        <f>DSUM($B$84:$Y$86,J$93,$C$93:$D122)</f>
        <v>0.71775057518205176</v>
      </c>
      <c r="K122" s="93">
        <f>DSUM($B$84:$Y$86,K$93,$C$93:$D122)</f>
        <v>0.76980783452391699</v>
      </c>
      <c r="L122" s="93">
        <f>DSUM($B$84:$Y$86,L$93,$C$93:$D122)</f>
        <v>0.81315226382543315</v>
      </c>
      <c r="M122" s="93">
        <f>DSUM($B$84:$Y$86,M$93,$C$93:$D122)</f>
        <v>0.84885577501847065</v>
      </c>
      <c r="N122" s="93">
        <f>DSUM($B$84:$Y$86,N$93,$C$93:$D122)</f>
        <v>0.87794928559176177</v>
      </c>
      <c r="O122" s="93">
        <f>DSUM($B$84:$Y$86,O$93,$C$93:$D122)</f>
        <v>0.90138707153737663</v>
      </c>
      <c r="P122" s="93">
        <f>DSUM($B$84:$Y$86,P$93,$C$93:$D122)</f>
        <v>0.9186236466547042</v>
      </c>
      <c r="Q122" s="93">
        <f>DSUM($B$84:$Y$86,Q$93,$C$93:$D122)</f>
        <v>0.93105619530962058</v>
      </c>
      <c r="R122" s="93">
        <f>DSUM($B$84:$Y$86,R$93,$C$93:$D122)</f>
        <v>0.93976813041311869</v>
      </c>
      <c r="S122" s="93">
        <f>DSUM($B$84:$Y$86,S$93,$C$93:$D122)</f>
        <v>0.94559955510324556</v>
      </c>
      <c r="T122" s="93">
        <f>DSUM($B$84:$Y$86,T$93,$C$93:$D122)</f>
        <v>0.96403036426617028</v>
      </c>
      <c r="U122" s="93">
        <f>DSUM($B$84:$Y$86,U$93,$C$93:$D122)</f>
        <v>0.97748144127134418</v>
      </c>
      <c r="V122" s="93">
        <f>DSUM($B$84:$Y$86,V$93,$C$93:$D122)</f>
        <v>0.98732244502542921</v>
      </c>
      <c r="W122" s="93">
        <f>DSUM($B$84:$Y$86,W$93,$C$93:$D122)</f>
        <v>0.99548412200944258</v>
      </c>
      <c r="X122" s="93">
        <f>DSUM($B$84:$Y$86,X$93,$C$93:$D122)</f>
        <v>1.0011324242896438</v>
      </c>
      <c r="Y122" s="70">
        <f>DSUM($B$84:$Y$86,Y$84,$C$93:$D122)</f>
        <v>20.190034793130454</v>
      </c>
    </row>
    <row r="123" spans="1:26">
      <c r="A123" s="24"/>
      <c r="B123" s="24" t="s">
        <v>155</v>
      </c>
      <c r="C123" s="92" t="s">
        <v>156</v>
      </c>
      <c r="D123" s="92" t="s">
        <v>157</v>
      </c>
      <c r="E123" s="93">
        <f>DSUM($B$84:$Y$86,E$93,$C$93:$D123)</f>
        <v>0.23049981353058263</v>
      </c>
      <c r="F123" s="93">
        <f>DSUM($B$84:$Y$86,F$93,$C$93:$D123)</f>
        <v>0.39037509212281807</v>
      </c>
      <c r="G123" s="93">
        <f>DSUM($B$84:$Y$86,G$93,$C$93:$D123)</f>
        <v>0.499581144242429</v>
      </c>
      <c r="H123" s="93">
        <f>DSUM($B$84:$Y$86,H$93,$C$93:$D123)</f>
        <v>0.58342105741664052</v>
      </c>
      <c r="I123" s="93">
        <f>DSUM($B$84:$Y$86,I$93,$C$93:$D123)</f>
        <v>0.65593030278863396</v>
      </c>
      <c r="J123" s="93">
        <f>DSUM($B$84:$Y$86,J$93,$C$93:$D123)</f>
        <v>0.71775057518205176</v>
      </c>
      <c r="K123" s="93">
        <f>DSUM($B$84:$Y$86,K$93,$C$93:$D123)</f>
        <v>0.76980783452391699</v>
      </c>
      <c r="L123" s="93">
        <f>DSUM($B$84:$Y$86,L$93,$C$93:$D123)</f>
        <v>0.81315226382543315</v>
      </c>
      <c r="M123" s="93">
        <f>DSUM($B$84:$Y$86,M$93,$C$93:$D123)</f>
        <v>0.84885577501847065</v>
      </c>
      <c r="N123" s="93">
        <f>DSUM($B$84:$Y$86,N$93,$C$93:$D123)</f>
        <v>0.87794928559176177</v>
      </c>
      <c r="O123" s="93">
        <f>DSUM($B$84:$Y$86,O$93,$C$93:$D123)</f>
        <v>0.90138707153737663</v>
      </c>
      <c r="P123" s="93">
        <f>DSUM($B$84:$Y$86,P$93,$C$93:$D123)</f>
        <v>0.9186236466547042</v>
      </c>
      <c r="Q123" s="93">
        <f>DSUM($B$84:$Y$86,Q$93,$C$93:$D123)</f>
        <v>0.93105619530962058</v>
      </c>
      <c r="R123" s="93">
        <f>DSUM($B$84:$Y$86,R$93,$C$93:$D123)</f>
        <v>0.93976813041311869</v>
      </c>
      <c r="S123" s="93">
        <f>DSUM($B$84:$Y$86,S$93,$C$93:$D123)</f>
        <v>0.94559955510324556</v>
      </c>
      <c r="T123" s="93">
        <f>DSUM($B$84:$Y$86,T$93,$C$93:$D123)</f>
        <v>0.96403036426617028</v>
      </c>
      <c r="U123" s="93">
        <f>DSUM($B$84:$Y$86,U$93,$C$93:$D123)</f>
        <v>0.97748144127134418</v>
      </c>
      <c r="V123" s="93">
        <f>DSUM($B$84:$Y$86,V$93,$C$93:$D123)</f>
        <v>0.98732244502542921</v>
      </c>
      <c r="W123" s="93">
        <f>DSUM($B$84:$Y$86,W$93,$C$93:$D123)</f>
        <v>0.99548412200944258</v>
      </c>
      <c r="X123" s="93">
        <f>DSUM($B$84:$Y$86,X$93,$C$93:$D123)</f>
        <v>1.0011324242896438</v>
      </c>
      <c r="Y123" s="70">
        <f>DSUM($B$84:$Y$86,Y$84,$C$93:$D123)</f>
        <v>20.190034793130454</v>
      </c>
    </row>
    <row r="124" spans="1:26">
      <c r="A124" s="24"/>
      <c r="B124" s="24" t="s">
        <v>158</v>
      </c>
      <c r="C124" s="92" t="s">
        <v>159</v>
      </c>
      <c r="D124" s="92" t="s">
        <v>160</v>
      </c>
      <c r="E124" s="93">
        <f>DSUM($B$84:$Y$86,E$93,$C$93:$D124)</f>
        <v>0.23049981353058263</v>
      </c>
      <c r="F124" s="93">
        <f>DSUM($B$84:$Y$86,F$93,$C$93:$D124)</f>
        <v>0.39037509212281807</v>
      </c>
      <c r="G124" s="93">
        <f>DSUM($B$84:$Y$86,G$93,$C$93:$D124)</f>
        <v>0.499581144242429</v>
      </c>
      <c r="H124" s="93">
        <f>DSUM($B$84:$Y$86,H$93,$C$93:$D124)</f>
        <v>0.58342105741664052</v>
      </c>
      <c r="I124" s="93">
        <f>DSUM($B$84:$Y$86,I$93,$C$93:$D124)</f>
        <v>0.65593030278863396</v>
      </c>
      <c r="J124" s="93">
        <f>DSUM($B$84:$Y$86,J$93,$C$93:$D124)</f>
        <v>0.71775057518205176</v>
      </c>
      <c r="K124" s="93">
        <f>DSUM($B$84:$Y$86,K$93,$C$93:$D124)</f>
        <v>0.76980783452391699</v>
      </c>
      <c r="L124" s="93">
        <f>DSUM($B$84:$Y$86,L$93,$C$93:$D124)</f>
        <v>0.81315226382543315</v>
      </c>
      <c r="M124" s="93">
        <f>DSUM($B$84:$Y$86,M$93,$C$93:$D124)</f>
        <v>0.84885577501847065</v>
      </c>
      <c r="N124" s="93">
        <f>DSUM($B$84:$Y$86,N$93,$C$93:$D124)</f>
        <v>0.87794928559176177</v>
      </c>
      <c r="O124" s="93">
        <f>DSUM($B$84:$Y$86,O$93,$C$93:$D124)</f>
        <v>0.90138707153737663</v>
      </c>
      <c r="P124" s="93">
        <f>DSUM($B$84:$Y$86,P$93,$C$93:$D124)</f>
        <v>0.9186236466547042</v>
      </c>
      <c r="Q124" s="93">
        <f>DSUM($B$84:$Y$86,Q$93,$C$93:$D124)</f>
        <v>0.93105619530962058</v>
      </c>
      <c r="R124" s="93">
        <f>DSUM($B$84:$Y$86,R$93,$C$93:$D124)</f>
        <v>0.93976813041311869</v>
      </c>
      <c r="S124" s="93">
        <f>DSUM($B$84:$Y$86,S$93,$C$93:$D124)</f>
        <v>0.94559955510324556</v>
      </c>
      <c r="T124" s="93">
        <f>DSUM($B$84:$Y$86,T$93,$C$93:$D124)</f>
        <v>0.96403036426617028</v>
      </c>
      <c r="U124" s="93">
        <f>DSUM($B$84:$Y$86,U$93,$C$93:$D124)</f>
        <v>0.97748144127134418</v>
      </c>
      <c r="V124" s="93">
        <f>DSUM($B$84:$Y$86,V$93,$C$93:$D124)</f>
        <v>0.98732244502542921</v>
      </c>
      <c r="W124" s="93">
        <f>DSUM($B$84:$Y$86,W$93,$C$93:$D124)</f>
        <v>0.99548412200944258</v>
      </c>
      <c r="X124" s="93">
        <f>DSUM($B$84:$Y$86,X$93,$C$93:$D124)</f>
        <v>1.0011324242896438</v>
      </c>
      <c r="Y124" s="70">
        <f>DSUM($B$84:$Y$86,Y$84,$C$93:$D124)</f>
        <v>20.190034793130454</v>
      </c>
    </row>
    <row r="125" spans="1:26">
      <c r="A125" s="24"/>
      <c r="B125" s="24" t="s">
        <v>161</v>
      </c>
      <c r="C125" s="92" t="s">
        <v>162</v>
      </c>
      <c r="D125" s="92" t="s">
        <v>163</v>
      </c>
      <c r="E125" s="93">
        <f>DSUM($B$84:$Y$86,E$93,$C$93:$D125)</f>
        <v>0.23049981353058263</v>
      </c>
      <c r="F125" s="93">
        <f>DSUM($B$84:$Y$86,F$93,$C$93:$D125)</f>
        <v>0.39037509212281807</v>
      </c>
      <c r="G125" s="93">
        <f>DSUM($B$84:$Y$86,G$93,$C$93:$D125)</f>
        <v>0.499581144242429</v>
      </c>
      <c r="H125" s="93">
        <f>DSUM($B$84:$Y$86,H$93,$C$93:$D125)</f>
        <v>0.58342105741664052</v>
      </c>
      <c r="I125" s="93">
        <f>DSUM($B$84:$Y$86,I$93,$C$93:$D125)</f>
        <v>0.65593030278863396</v>
      </c>
      <c r="J125" s="93">
        <f>DSUM($B$84:$Y$86,J$93,$C$93:$D125)</f>
        <v>0.71775057518205176</v>
      </c>
      <c r="K125" s="93">
        <f>DSUM($B$84:$Y$86,K$93,$C$93:$D125)</f>
        <v>0.76980783452391699</v>
      </c>
      <c r="L125" s="93">
        <f>DSUM($B$84:$Y$86,L$93,$C$93:$D125)</f>
        <v>0.81315226382543315</v>
      </c>
      <c r="M125" s="93">
        <f>DSUM($B$84:$Y$86,M$93,$C$93:$D125)</f>
        <v>0.84885577501847065</v>
      </c>
      <c r="N125" s="93">
        <f>DSUM($B$84:$Y$86,N$93,$C$93:$D125)</f>
        <v>0.87794928559176177</v>
      </c>
      <c r="O125" s="93">
        <f>DSUM($B$84:$Y$86,O$93,$C$93:$D125)</f>
        <v>0.90138707153737663</v>
      </c>
      <c r="P125" s="93">
        <f>DSUM($B$84:$Y$86,P$93,$C$93:$D125)</f>
        <v>0.9186236466547042</v>
      </c>
      <c r="Q125" s="93">
        <f>DSUM($B$84:$Y$86,Q$93,$C$93:$D125)</f>
        <v>0.93105619530962058</v>
      </c>
      <c r="R125" s="93">
        <f>DSUM($B$84:$Y$86,R$93,$C$93:$D125)</f>
        <v>0.93976813041311869</v>
      </c>
      <c r="S125" s="93">
        <f>DSUM($B$84:$Y$86,S$93,$C$93:$D125)</f>
        <v>0.94559955510324556</v>
      </c>
      <c r="T125" s="93">
        <f>DSUM($B$84:$Y$86,T$93,$C$93:$D125)</f>
        <v>0.96403036426617028</v>
      </c>
      <c r="U125" s="93">
        <f>DSUM($B$84:$Y$86,U$93,$C$93:$D125)</f>
        <v>0.97748144127134418</v>
      </c>
      <c r="V125" s="93">
        <f>DSUM($B$84:$Y$86,V$93,$C$93:$D125)</f>
        <v>0.98732244502542921</v>
      </c>
      <c r="W125" s="93">
        <f>DSUM($B$84:$Y$86,W$93,$C$93:$D125)</f>
        <v>0.99548412200944258</v>
      </c>
      <c r="X125" s="93">
        <f>DSUM($B$84:$Y$86,X$93,$C$93:$D125)</f>
        <v>1.0011324242896438</v>
      </c>
      <c r="Y125" s="70">
        <f>DSUM($B$84:$Y$86,Y$84,$C$93:$D125)</f>
        <v>20.190034793130454</v>
      </c>
    </row>
    <row r="126" spans="1:26">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
      <c r="A128" s="284" t="s">
        <v>164</v>
      </c>
      <c r="B128" s="28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
      <c r="A129" s="24"/>
      <c r="B129" s="24"/>
      <c r="C129" s="64" t="s">
        <v>199</v>
      </c>
      <c r="D129" s="64" t="str">
        <f>$C$11</f>
        <v>LEC Exit Sign-NR</v>
      </c>
      <c r="E129" s="274">
        <f t="shared" ref="E129:X129" si="22">E11</f>
        <v>2016</v>
      </c>
      <c r="F129" s="274">
        <f t="shared" si="22"/>
        <v>2017</v>
      </c>
      <c r="G129" s="274">
        <f t="shared" si="22"/>
        <v>2018</v>
      </c>
      <c r="H129" s="274">
        <f t="shared" si="22"/>
        <v>2019</v>
      </c>
      <c r="I129" s="274">
        <f t="shared" si="22"/>
        <v>2020</v>
      </c>
      <c r="J129" s="274">
        <f t="shared" si="22"/>
        <v>2021</v>
      </c>
      <c r="K129" s="274">
        <f t="shared" si="22"/>
        <v>2022</v>
      </c>
      <c r="L129" s="274">
        <f t="shared" si="22"/>
        <v>2023</v>
      </c>
      <c r="M129" s="274">
        <f t="shared" si="22"/>
        <v>2024</v>
      </c>
      <c r="N129" s="274">
        <f t="shared" si="22"/>
        <v>2025</v>
      </c>
      <c r="O129" s="274">
        <f t="shared" si="22"/>
        <v>2026</v>
      </c>
      <c r="P129" s="274">
        <f t="shared" si="22"/>
        <v>2027</v>
      </c>
      <c r="Q129" s="274">
        <f t="shared" si="22"/>
        <v>2028</v>
      </c>
      <c r="R129" s="274">
        <f t="shared" si="22"/>
        <v>2029</v>
      </c>
      <c r="S129" s="274">
        <f t="shared" si="22"/>
        <v>2030</v>
      </c>
      <c r="T129" s="274">
        <f t="shared" si="22"/>
        <v>2031</v>
      </c>
      <c r="U129" s="274">
        <f t="shared" si="22"/>
        <v>2032</v>
      </c>
      <c r="V129" s="274">
        <f t="shared" si="22"/>
        <v>2033</v>
      </c>
      <c r="W129" s="274">
        <f t="shared" si="22"/>
        <v>2034</v>
      </c>
      <c r="X129" s="274">
        <f t="shared" si="22"/>
        <v>2035</v>
      </c>
      <c r="Y129" s="64"/>
      <c r="Z129" s="24"/>
    </row>
    <row r="130" spans="1:26" ht="15">
      <c r="A130" s="24"/>
      <c r="B130" s="24"/>
      <c r="C130" s="64"/>
      <c r="D130" s="64"/>
      <c r="E130" s="86" t="str">
        <f>CONCATENATE("aMW_",E$11)</f>
        <v>aMW_2016</v>
      </c>
      <c r="F130" s="86" t="str">
        <f t="shared" ref="F130:X130" si="23">CONCATENATE("aMW_",F$11)</f>
        <v>aMW_2017</v>
      </c>
      <c r="G130" s="86" t="str">
        <f t="shared" si="23"/>
        <v>aMW_2018</v>
      </c>
      <c r="H130" s="86" t="str">
        <f t="shared" si="23"/>
        <v>aMW_2019</v>
      </c>
      <c r="I130" s="86" t="str">
        <f t="shared" si="23"/>
        <v>aMW_2020</v>
      </c>
      <c r="J130" s="86" t="str">
        <f t="shared" si="23"/>
        <v>aMW_2021</v>
      </c>
      <c r="K130" s="86" t="str">
        <f t="shared" si="23"/>
        <v>aMW_2022</v>
      </c>
      <c r="L130" s="86" t="str">
        <f t="shared" si="23"/>
        <v>aMW_2023</v>
      </c>
      <c r="M130" s="86" t="str">
        <f t="shared" si="23"/>
        <v>aMW_2024</v>
      </c>
      <c r="N130" s="86" t="str">
        <f t="shared" si="23"/>
        <v>aMW_2025</v>
      </c>
      <c r="O130" s="86" t="str">
        <f t="shared" si="23"/>
        <v>aMW_2026</v>
      </c>
      <c r="P130" s="86" t="str">
        <f t="shared" si="23"/>
        <v>aMW_2027</v>
      </c>
      <c r="Q130" s="86" t="str">
        <f t="shared" si="23"/>
        <v>aMW_2028</v>
      </c>
      <c r="R130" s="86" t="str">
        <f t="shared" si="23"/>
        <v>aMW_2029</v>
      </c>
      <c r="S130" s="86" t="str">
        <f t="shared" si="23"/>
        <v>aMW_2030</v>
      </c>
      <c r="T130" s="86" t="str">
        <f t="shared" si="23"/>
        <v>aMW_2031</v>
      </c>
      <c r="U130" s="86" t="str">
        <f t="shared" si="23"/>
        <v>aMW_2032</v>
      </c>
      <c r="V130" s="86" t="str">
        <f t="shared" si="23"/>
        <v>aMW_2033</v>
      </c>
      <c r="W130" s="86" t="str">
        <f t="shared" si="23"/>
        <v>aMW_2034</v>
      </c>
      <c r="X130" s="86" t="str">
        <f t="shared" si="23"/>
        <v>aMW_2035</v>
      </c>
      <c r="Y130" s="67" t="s">
        <v>53</v>
      </c>
    </row>
    <row r="131" spans="1:26">
      <c r="A131" s="24"/>
      <c r="B131" s="24"/>
      <c r="C131" s="24" t="s">
        <v>68</v>
      </c>
      <c r="D131" s="24"/>
      <c r="E131" s="95">
        <f t="shared" ref="E131:X131" si="24">E94</f>
        <v>0</v>
      </c>
      <c r="F131" s="95">
        <f t="shared" si="24"/>
        <v>0</v>
      </c>
      <c r="G131" s="95">
        <f t="shared" si="24"/>
        <v>0</v>
      </c>
      <c r="H131" s="95">
        <f t="shared" si="24"/>
        <v>0</v>
      </c>
      <c r="I131" s="95">
        <f t="shared" si="24"/>
        <v>0</v>
      </c>
      <c r="J131" s="95">
        <f t="shared" si="24"/>
        <v>0</v>
      </c>
      <c r="K131" s="95">
        <f t="shared" si="24"/>
        <v>0</v>
      </c>
      <c r="L131" s="95">
        <f t="shared" si="24"/>
        <v>0</v>
      </c>
      <c r="M131" s="95">
        <f t="shared" si="24"/>
        <v>0</v>
      </c>
      <c r="N131" s="95">
        <f t="shared" si="24"/>
        <v>0</v>
      </c>
      <c r="O131" s="95">
        <f t="shared" si="24"/>
        <v>0</v>
      </c>
      <c r="P131" s="95">
        <f t="shared" si="24"/>
        <v>0</v>
      </c>
      <c r="Q131" s="95">
        <f t="shared" si="24"/>
        <v>0</v>
      </c>
      <c r="R131" s="95">
        <f t="shared" si="24"/>
        <v>0</v>
      </c>
      <c r="S131" s="95">
        <f t="shared" si="24"/>
        <v>0</v>
      </c>
      <c r="T131" s="95">
        <f t="shared" si="24"/>
        <v>0</v>
      </c>
      <c r="U131" s="95">
        <f t="shared" si="24"/>
        <v>0</v>
      </c>
      <c r="V131" s="95">
        <f t="shared" si="24"/>
        <v>0</v>
      </c>
      <c r="W131" s="95">
        <f t="shared" si="24"/>
        <v>0</v>
      </c>
      <c r="X131" s="95">
        <f t="shared" si="24"/>
        <v>0</v>
      </c>
      <c r="Y131" s="95">
        <f>Y94</f>
        <v>0</v>
      </c>
    </row>
    <row r="132" spans="1:26">
      <c r="A132" s="24"/>
      <c r="B132" s="24"/>
      <c r="C132" s="24" t="s">
        <v>71</v>
      </c>
      <c r="D132" s="24"/>
      <c r="E132" s="95">
        <f t="shared" ref="E132:Y144" si="25">E95-E94</f>
        <v>0.19123874883241684</v>
      </c>
      <c r="F132" s="95">
        <f t="shared" si="25"/>
        <v>0.32388244940164351</v>
      </c>
      <c r="G132" s="95">
        <f t="shared" si="25"/>
        <v>0.41448741975885883</v>
      </c>
      <c r="H132" s="95">
        <f t="shared" si="25"/>
        <v>0.48404686907931288</v>
      </c>
      <c r="I132" s="95">
        <f t="shared" si="25"/>
        <v>0.54420560479075386</v>
      </c>
      <c r="J132" s="95">
        <f t="shared" si="25"/>
        <v>0.5954960217499321</v>
      </c>
      <c r="K132" s="95">
        <f t="shared" si="25"/>
        <v>0.63868636100312226</v>
      </c>
      <c r="L132" s="95">
        <f t="shared" si="25"/>
        <v>0.67464792774589666</v>
      </c>
      <c r="M132" s="95">
        <f t="shared" si="25"/>
        <v>0.7042700550044716</v>
      </c>
      <c r="N132" s="95">
        <f t="shared" si="25"/>
        <v>0.72840806395101965</v>
      </c>
      <c r="O132" s="95">
        <f t="shared" si="25"/>
        <v>0.74785368861763868</v>
      </c>
      <c r="P132" s="95">
        <f t="shared" si="25"/>
        <v>0.76215435554271771</v>
      </c>
      <c r="Q132" s="95">
        <f t="shared" si="25"/>
        <v>0.7724692664884002</v>
      </c>
      <c r="R132" s="95">
        <f t="shared" si="25"/>
        <v>0.77969729649668107</v>
      </c>
      <c r="S132" s="95">
        <f t="shared" si="25"/>
        <v>0.78453545382344325</v>
      </c>
      <c r="T132" s="95">
        <f t="shared" si="25"/>
        <v>0.79982694074613925</v>
      </c>
      <c r="U132" s="95">
        <f t="shared" si="25"/>
        <v>0.81098689396916712</v>
      </c>
      <c r="V132" s="95">
        <f t="shared" si="25"/>
        <v>0.8191516782106808</v>
      </c>
      <c r="W132" s="95">
        <f t="shared" si="25"/>
        <v>0.82592317564007012</v>
      </c>
      <c r="X132" s="95">
        <f t="shared" si="25"/>
        <v>0.83060940182198262</v>
      </c>
      <c r="Y132" s="95">
        <f t="shared" si="25"/>
        <v>16.751063411202892</v>
      </c>
    </row>
    <row r="133" spans="1:26">
      <c r="A133" s="24"/>
      <c r="B133" s="24"/>
      <c r="C133" s="24" t="s">
        <v>74</v>
      </c>
      <c r="D133" s="24"/>
      <c r="E133" s="95">
        <f t="shared" si="25"/>
        <v>0</v>
      </c>
      <c r="F133" s="95">
        <f t="shared" si="25"/>
        <v>0</v>
      </c>
      <c r="G133" s="95">
        <f t="shared" si="25"/>
        <v>0</v>
      </c>
      <c r="H133" s="95">
        <f t="shared" si="25"/>
        <v>0</v>
      </c>
      <c r="I133" s="95">
        <f t="shared" si="25"/>
        <v>0</v>
      </c>
      <c r="J133" s="95">
        <f t="shared" si="25"/>
        <v>0</v>
      </c>
      <c r="K133" s="95">
        <f t="shared" si="25"/>
        <v>0</v>
      </c>
      <c r="L133" s="95">
        <f t="shared" si="25"/>
        <v>0</v>
      </c>
      <c r="M133" s="95">
        <f t="shared" si="25"/>
        <v>0</v>
      </c>
      <c r="N133" s="95">
        <f t="shared" si="25"/>
        <v>0</v>
      </c>
      <c r="O133" s="95">
        <f t="shared" si="25"/>
        <v>0</v>
      </c>
      <c r="P133" s="95">
        <f t="shared" si="25"/>
        <v>0</v>
      </c>
      <c r="Q133" s="95">
        <f t="shared" si="25"/>
        <v>0</v>
      </c>
      <c r="R133" s="95">
        <f t="shared" si="25"/>
        <v>0</v>
      </c>
      <c r="S133" s="95">
        <f t="shared" si="25"/>
        <v>0</v>
      </c>
      <c r="T133" s="95">
        <f t="shared" si="25"/>
        <v>0</v>
      </c>
      <c r="U133" s="95">
        <f t="shared" si="25"/>
        <v>0</v>
      </c>
      <c r="V133" s="95">
        <f t="shared" si="25"/>
        <v>0</v>
      </c>
      <c r="W133" s="95">
        <f t="shared" si="25"/>
        <v>0</v>
      </c>
      <c r="X133" s="95">
        <f t="shared" si="25"/>
        <v>0</v>
      </c>
      <c r="Y133" s="95">
        <f t="shared" si="25"/>
        <v>0</v>
      </c>
    </row>
    <row r="134" spans="1:26">
      <c r="A134" s="24"/>
      <c r="B134" s="24"/>
      <c r="C134" s="24" t="s">
        <v>77</v>
      </c>
      <c r="D134" s="24"/>
      <c r="E134" s="95">
        <f t="shared" si="25"/>
        <v>3.9261064698165787E-2</v>
      </c>
      <c r="F134" s="95">
        <f t="shared" si="25"/>
        <v>6.6492642721174555E-2</v>
      </c>
      <c r="G134" s="95">
        <f t="shared" si="25"/>
        <v>8.5093724483570166E-2</v>
      </c>
      <c r="H134" s="95">
        <f t="shared" si="25"/>
        <v>9.937418833732764E-2</v>
      </c>
      <c r="I134" s="95">
        <f t="shared" si="25"/>
        <v>0.1117246979978801</v>
      </c>
      <c r="J134" s="95">
        <f t="shared" si="25"/>
        <v>0.12225455343211966</v>
      </c>
      <c r="K134" s="95">
        <f t="shared" si="25"/>
        <v>0.13112147352079473</v>
      </c>
      <c r="L134" s="95">
        <f t="shared" si="25"/>
        <v>0.13850433607953649</v>
      </c>
      <c r="M134" s="95">
        <f t="shared" si="25"/>
        <v>0.14458572001399905</v>
      </c>
      <c r="N134" s="95">
        <f t="shared" si="25"/>
        <v>0.14954122164074213</v>
      </c>
      <c r="O134" s="95">
        <f t="shared" si="25"/>
        <v>0.15353338291973795</v>
      </c>
      <c r="P134" s="95">
        <f t="shared" si="25"/>
        <v>0.15646929111198649</v>
      </c>
      <c r="Q134" s="95">
        <f t="shared" si="25"/>
        <v>0.15858692882122039</v>
      </c>
      <c r="R134" s="95">
        <f t="shared" si="25"/>
        <v>0.16007083391643762</v>
      </c>
      <c r="S134" s="95">
        <f t="shared" si="25"/>
        <v>0.16106410127980231</v>
      </c>
      <c r="T134" s="95">
        <f t="shared" si="25"/>
        <v>0.16420342352003103</v>
      </c>
      <c r="U134" s="95">
        <f t="shared" si="25"/>
        <v>0.16649454730217705</v>
      </c>
      <c r="V134" s="95">
        <f t="shared" si="25"/>
        <v>0.16817076681474841</v>
      </c>
      <c r="W134" s="95">
        <f t="shared" si="25"/>
        <v>0.16956094636937247</v>
      </c>
      <c r="X134" s="95">
        <f t="shared" si="25"/>
        <v>0.17052302246766116</v>
      </c>
      <c r="Y134" s="95">
        <f t="shared" si="25"/>
        <v>3.438971381927562</v>
      </c>
    </row>
    <row r="135" spans="1:26">
      <c r="A135" s="24"/>
      <c r="B135" s="24"/>
      <c r="C135" s="24" t="s">
        <v>80</v>
      </c>
      <c r="D135" s="24"/>
      <c r="E135" s="95">
        <f t="shared" si="25"/>
        <v>0</v>
      </c>
      <c r="F135" s="95">
        <f t="shared" si="25"/>
        <v>0</v>
      </c>
      <c r="G135" s="95">
        <f t="shared" si="25"/>
        <v>0</v>
      </c>
      <c r="H135" s="95">
        <f t="shared" si="25"/>
        <v>0</v>
      </c>
      <c r="I135" s="95">
        <f t="shared" si="25"/>
        <v>0</v>
      </c>
      <c r="J135" s="95">
        <f t="shared" si="25"/>
        <v>0</v>
      </c>
      <c r="K135" s="95">
        <f t="shared" si="25"/>
        <v>0</v>
      </c>
      <c r="L135" s="95">
        <f t="shared" si="25"/>
        <v>0</v>
      </c>
      <c r="M135" s="95">
        <f t="shared" si="25"/>
        <v>0</v>
      </c>
      <c r="N135" s="95">
        <f t="shared" si="25"/>
        <v>0</v>
      </c>
      <c r="O135" s="95">
        <f t="shared" si="25"/>
        <v>0</v>
      </c>
      <c r="P135" s="95">
        <f t="shared" si="25"/>
        <v>0</v>
      </c>
      <c r="Q135" s="95">
        <f t="shared" si="25"/>
        <v>0</v>
      </c>
      <c r="R135" s="95">
        <f t="shared" si="25"/>
        <v>0</v>
      </c>
      <c r="S135" s="95">
        <f t="shared" si="25"/>
        <v>0</v>
      </c>
      <c r="T135" s="95">
        <f t="shared" si="25"/>
        <v>0</v>
      </c>
      <c r="U135" s="95">
        <f t="shared" si="25"/>
        <v>0</v>
      </c>
      <c r="V135" s="95">
        <f t="shared" si="25"/>
        <v>0</v>
      </c>
      <c r="W135" s="95">
        <f t="shared" si="25"/>
        <v>0</v>
      </c>
      <c r="X135" s="95">
        <f t="shared" si="25"/>
        <v>0</v>
      </c>
      <c r="Y135" s="95">
        <f t="shared" si="25"/>
        <v>0</v>
      </c>
    </row>
    <row r="136" spans="1:26">
      <c r="A136" s="24"/>
      <c r="B136" s="24"/>
      <c r="C136" s="24" t="s">
        <v>83</v>
      </c>
      <c r="D136" s="24"/>
      <c r="E136" s="95">
        <f t="shared" si="25"/>
        <v>0</v>
      </c>
      <c r="F136" s="95">
        <f t="shared" si="25"/>
        <v>0</v>
      </c>
      <c r="G136" s="95">
        <f t="shared" si="25"/>
        <v>0</v>
      </c>
      <c r="H136" s="95">
        <f t="shared" si="25"/>
        <v>0</v>
      </c>
      <c r="I136" s="95">
        <f t="shared" si="25"/>
        <v>0</v>
      </c>
      <c r="J136" s="95">
        <f t="shared" si="25"/>
        <v>0</v>
      </c>
      <c r="K136" s="95">
        <f t="shared" si="25"/>
        <v>0</v>
      </c>
      <c r="L136" s="95">
        <f t="shared" si="25"/>
        <v>0</v>
      </c>
      <c r="M136" s="95">
        <f t="shared" si="25"/>
        <v>0</v>
      </c>
      <c r="N136" s="95">
        <f t="shared" si="25"/>
        <v>0</v>
      </c>
      <c r="O136" s="95">
        <f t="shared" si="25"/>
        <v>0</v>
      </c>
      <c r="P136" s="95">
        <f t="shared" si="25"/>
        <v>0</v>
      </c>
      <c r="Q136" s="95">
        <f t="shared" si="25"/>
        <v>0</v>
      </c>
      <c r="R136" s="95">
        <f t="shared" si="25"/>
        <v>0</v>
      </c>
      <c r="S136" s="95">
        <f t="shared" si="25"/>
        <v>0</v>
      </c>
      <c r="T136" s="95">
        <f t="shared" si="25"/>
        <v>0</v>
      </c>
      <c r="U136" s="95">
        <f t="shared" si="25"/>
        <v>0</v>
      </c>
      <c r="V136" s="95">
        <f t="shared" si="25"/>
        <v>0</v>
      </c>
      <c r="W136" s="95">
        <f t="shared" si="25"/>
        <v>0</v>
      </c>
      <c r="X136" s="95">
        <f t="shared" si="25"/>
        <v>0</v>
      </c>
      <c r="Y136" s="95">
        <f t="shared" si="25"/>
        <v>0</v>
      </c>
    </row>
    <row r="137" spans="1:26">
      <c r="A137" s="24"/>
      <c r="B137" s="24"/>
      <c r="C137" s="24" t="s">
        <v>86</v>
      </c>
      <c r="D137" s="24"/>
      <c r="E137" s="95">
        <f t="shared" si="25"/>
        <v>0</v>
      </c>
      <c r="F137" s="95">
        <f t="shared" si="25"/>
        <v>0</v>
      </c>
      <c r="G137" s="95">
        <f t="shared" si="25"/>
        <v>0</v>
      </c>
      <c r="H137" s="95">
        <f t="shared" si="25"/>
        <v>0</v>
      </c>
      <c r="I137" s="95">
        <f t="shared" si="25"/>
        <v>0</v>
      </c>
      <c r="J137" s="95">
        <f t="shared" si="25"/>
        <v>0</v>
      </c>
      <c r="K137" s="95">
        <f t="shared" si="25"/>
        <v>0</v>
      </c>
      <c r="L137" s="95">
        <f t="shared" si="25"/>
        <v>0</v>
      </c>
      <c r="M137" s="95">
        <f t="shared" si="25"/>
        <v>0</v>
      </c>
      <c r="N137" s="95">
        <f t="shared" si="25"/>
        <v>0</v>
      </c>
      <c r="O137" s="95">
        <f t="shared" si="25"/>
        <v>0</v>
      </c>
      <c r="P137" s="95">
        <f t="shared" si="25"/>
        <v>0</v>
      </c>
      <c r="Q137" s="95">
        <f t="shared" si="25"/>
        <v>0</v>
      </c>
      <c r="R137" s="95">
        <f t="shared" si="25"/>
        <v>0</v>
      </c>
      <c r="S137" s="95">
        <f t="shared" si="25"/>
        <v>0</v>
      </c>
      <c r="T137" s="95">
        <f t="shared" si="25"/>
        <v>0</v>
      </c>
      <c r="U137" s="95">
        <f t="shared" si="25"/>
        <v>0</v>
      </c>
      <c r="V137" s="95">
        <f t="shared" si="25"/>
        <v>0</v>
      </c>
      <c r="W137" s="95">
        <f t="shared" si="25"/>
        <v>0</v>
      </c>
      <c r="X137" s="95">
        <f t="shared" si="25"/>
        <v>0</v>
      </c>
      <c r="Y137" s="95">
        <f t="shared" si="25"/>
        <v>0</v>
      </c>
    </row>
    <row r="138" spans="1:26">
      <c r="A138" s="24"/>
      <c r="B138" s="24"/>
      <c r="C138" s="24" t="s">
        <v>89</v>
      </c>
      <c r="D138" s="24"/>
      <c r="E138" s="95">
        <f t="shared" si="25"/>
        <v>0</v>
      </c>
      <c r="F138" s="95">
        <f t="shared" si="25"/>
        <v>0</v>
      </c>
      <c r="G138" s="95">
        <f t="shared" si="25"/>
        <v>0</v>
      </c>
      <c r="H138" s="95">
        <f t="shared" si="25"/>
        <v>0</v>
      </c>
      <c r="I138" s="95">
        <f t="shared" si="25"/>
        <v>0</v>
      </c>
      <c r="J138" s="95">
        <f t="shared" si="25"/>
        <v>0</v>
      </c>
      <c r="K138" s="95">
        <f t="shared" si="25"/>
        <v>0</v>
      </c>
      <c r="L138" s="95">
        <f t="shared" si="25"/>
        <v>0</v>
      </c>
      <c r="M138" s="95">
        <f t="shared" si="25"/>
        <v>0</v>
      </c>
      <c r="N138" s="95">
        <f t="shared" si="25"/>
        <v>0</v>
      </c>
      <c r="O138" s="95">
        <f t="shared" si="25"/>
        <v>0</v>
      </c>
      <c r="P138" s="95">
        <f t="shared" si="25"/>
        <v>0</v>
      </c>
      <c r="Q138" s="95">
        <f t="shared" si="25"/>
        <v>0</v>
      </c>
      <c r="R138" s="95">
        <f t="shared" si="25"/>
        <v>0</v>
      </c>
      <c r="S138" s="95">
        <f t="shared" si="25"/>
        <v>0</v>
      </c>
      <c r="T138" s="95">
        <f t="shared" si="25"/>
        <v>0</v>
      </c>
      <c r="U138" s="95">
        <f t="shared" si="25"/>
        <v>0</v>
      </c>
      <c r="V138" s="95">
        <f t="shared" si="25"/>
        <v>0</v>
      </c>
      <c r="W138" s="95">
        <f t="shared" si="25"/>
        <v>0</v>
      </c>
      <c r="X138" s="95">
        <f t="shared" si="25"/>
        <v>0</v>
      </c>
      <c r="Y138" s="95">
        <f t="shared" si="25"/>
        <v>0</v>
      </c>
    </row>
    <row r="139" spans="1:26">
      <c r="A139" s="24"/>
      <c r="B139" s="24"/>
      <c r="C139" s="24" t="s">
        <v>92</v>
      </c>
      <c r="D139" s="24"/>
      <c r="E139" s="95">
        <f t="shared" si="25"/>
        <v>0</v>
      </c>
      <c r="F139" s="95">
        <f t="shared" si="25"/>
        <v>0</v>
      </c>
      <c r="G139" s="95">
        <f t="shared" si="25"/>
        <v>0</v>
      </c>
      <c r="H139" s="95">
        <f t="shared" si="25"/>
        <v>0</v>
      </c>
      <c r="I139" s="95">
        <f t="shared" si="25"/>
        <v>0</v>
      </c>
      <c r="J139" s="95">
        <f t="shared" si="25"/>
        <v>0</v>
      </c>
      <c r="K139" s="95">
        <f t="shared" si="25"/>
        <v>0</v>
      </c>
      <c r="L139" s="95">
        <f t="shared" si="25"/>
        <v>0</v>
      </c>
      <c r="M139" s="95">
        <f t="shared" si="25"/>
        <v>0</v>
      </c>
      <c r="N139" s="95">
        <f t="shared" si="25"/>
        <v>0</v>
      </c>
      <c r="O139" s="95">
        <f t="shared" si="25"/>
        <v>0</v>
      </c>
      <c r="P139" s="95">
        <f t="shared" si="25"/>
        <v>0</v>
      </c>
      <c r="Q139" s="95">
        <f t="shared" si="25"/>
        <v>0</v>
      </c>
      <c r="R139" s="95">
        <f t="shared" si="25"/>
        <v>0</v>
      </c>
      <c r="S139" s="95">
        <f t="shared" si="25"/>
        <v>0</v>
      </c>
      <c r="T139" s="95">
        <f t="shared" si="25"/>
        <v>0</v>
      </c>
      <c r="U139" s="95">
        <f t="shared" si="25"/>
        <v>0</v>
      </c>
      <c r="V139" s="95">
        <f t="shared" si="25"/>
        <v>0</v>
      </c>
      <c r="W139" s="95">
        <f t="shared" si="25"/>
        <v>0</v>
      </c>
      <c r="X139" s="95">
        <f t="shared" si="25"/>
        <v>0</v>
      </c>
      <c r="Y139" s="95">
        <f t="shared" si="25"/>
        <v>0</v>
      </c>
    </row>
    <row r="140" spans="1:26">
      <c r="A140" s="24"/>
      <c r="B140" s="24"/>
      <c r="C140" s="24" t="s">
        <v>95</v>
      </c>
      <c r="D140" s="24"/>
      <c r="E140" s="95">
        <f t="shared" si="25"/>
        <v>0</v>
      </c>
      <c r="F140" s="95">
        <f t="shared" si="25"/>
        <v>0</v>
      </c>
      <c r="G140" s="95">
        <f t="shared" si="25"/>
        <v>0</v>
      </c>
      <c r="H140" s="95">
        <f t="shared" si="25"/>
        <v>0</v>
      </c>
      <c r="I140" s="95">
        <f t="shared" si="25"/>
        <v>0</v>
      </c>
      <c r="J140" s="95">
        <f t="shared" si="25"/>
        <v>0</v>
      </c>
      <c r="K140" s="95">
        <f t="shared" si="25"/>
        <v>0</v>
      </c>
      <c r="L140" s="95">
        <f t="shared" si="25"/>
        <v>0</v>
      </c>
      <c r="M140" s="95">
        <f t="shared" si="25"/>
        <v>0</v>
      </c>
      <c r="N140" s="95">
        <f t="shared" si="25"/>
        <v>0</v>
      </c>
      <c r="O140" s="95">
        <f t="shared" si="25"/>
        <v>0</v>
      </c>
      <c r="P140" s="95">
        <f t="shared" si="25"/>
        <v>0</v>
      </c>
      <c r="Q140" s="95">
        <f t="shared" si="25"/>
        <v>0</v>
      </c>
      <c r="R140" s="95">
        <f t="shared" si="25"/>
        <v>0</v>
      </c>
      <c r="S140" s="95">
        <f t="shared" si="25"/>
        <v>0</v>
      </c>
      <c r="T140" s="95">
        <f t="shared" si="25"/>
        <v>0</v>
      </c>
      <c r="U140" s="95">
        <f t="shared" si="25"/>
        <v>0</v>
      </c>
      <c r="V140" s="95">
        <f t="shared" si="25"/>
        <v>0</v>
      </c>
      <c r="W140" s="95">
        <f t="shared" si="25"/>
        <v>0</v>
      </c>
      <c r="X140" s="95">
        <f t="shared" si="25"/>
        <v>0</v>
      </c>
      <c r="Y140" s="95">
        <f t="shared" si="25"/>
        <v>0</v>
      </c>
    </row>
    <row r="141" spans="1:26">
      <c r="A141" s="24"/>
      <c r="B141" s="24"/>
      <c r="C141" s="24" t="s">
        <v>98</v>
      </c>
      <c r="D141" s="24"/>
      <c r="E141" s="95">
        <f t="shared" si="25"/>
        <v>0</v>
      </c>
      <c r="F141" s="95">
        <f t="shared" si="25"/>
        <v>0</v>
      </c>
      <c r="G141" s="95">
        <f t="shared" si="25"/>
        <v>0</v>
      </c>
      <c r="H141" s="95">
        <f t="shared" si="25"/>
        <v>0</v>
      </c>
      <c r="I141" s="95">
        <f t="shared" si="25"/>
        <v>0</v>
      </c>
      <c r="J141" s="95">
        <f t="shared" si="25"/>
        <v>0</v>
      </c>
      <c r="K141" s="95">
        <f t="shared" si="25"/>
        <v>0</v>
      </c>
      <c r="L141" s="95">
        <f t="shared" si="25"/>
        <v>0</v>
      </c>
      <c r="M141" s="95">
        <f t="shared" si="25"/>
        <v>0</v>
      </c>
      <c r="N141" s="95">
        <f t="shared" si="25"/>
        <v>0</v>
      </c>
      <c r="O141" s="95">
        <f t="shared" si="25"/>
        <v>0</v>
      </c>
      <c r="P141" s="95">
        <f t="shared" si="25"/>
        <v>0</v>
      </c>
      <c r="Q141" s="95">
        <f t="shared" si="25"/>
        <v>0</v>
      </c>
      <c r="R141" s="95">
        <f t="shared" si="25"/>
        <v>0</v>
      </c>
      <c r="S141" s="95">
        <f t="shared" si="25"/>
        <v>0</v>
      </c>
      <c r="T141" s="95">
        <f t="shared" si="25"/>
        <v>0</v>
      </c>
      <c r="U141" s="95">
        <f t="shared" si="25"/>
        <v>0</v>
      </c>
      <c r="V141" s="95">
        <f t="shared" si="25"/>
        <v>0</v>
      </c>
      <c r="W141" s="95">
        <f t="shared" si="25"/>
        <v>0</v>
      </c>
      <c r="X141" s="95">
        <f t="shared" si="25"/>
        <v>0</v>
      </c>
      <c r="Y141" s="95">
        <f t="shared" si="25"/>
        <v>0</v>
      </c>
    </row>
    <row r="142" spans="1:26">
      <c r="A142" s="24"/>
      <c r="B142" s="24"/>
      <c r="C142" s="24" t="s">
        <v>101</v>
      </c>
      <c r="D142" s="24"/>
      <c r="E142" s="95">
        <f t="shared" si="25"/>
        <v>0</v>
      </c>
      <c r="F142" s="95">
        <f t="shared" si="25"/>
        <v>0</v>
      </c>
      <c r="G142" s="95">
        <f t="shared" si="25"/>
        <v>0</v>
      </c>
      <c r="H142" s="95">
        <f t="shared" si="25"/>
        <v>0</v>
      </c>
      <c r="I142" s="95">
        <f t="shared" si="25"/>
        <v>0</v>
      </c>
      <c r="J142" s="95">
        <f t="shared" si="25"/>
        <v>0</v>
      </c>
      <c r="K142" s="95">
        <f t="shared" si="25"/>
        <v>0</v>
      </c>
      <c r="L142" s="95">
        <f t="shared" si="25"/>
        <v>0</v>
      </c>
      <c r="M142" s="95">
        <f t="shared" si="25"/>
        <v>0</v>
      </c>
      <c r="N142" s="95">
        <f t="shared" si="25"/>
        <v>0</v>
      </c>
      <c r="O142" s="95">
        <f t="shared" si="25"/>
        <v>0</v>
      </c>
      <c r="P142" s="95">
        <f t="shared" si="25"/>
        <v>0</v>
      </c>
      <c r="Q142" s="95">
        <f t="shared" si="25"/>
        <v>0</v>
      </c>
      <c r="R142" s="95">
        <f t="shared" si="25"/>
        <v>0</v>
      </c>
      <c r="S142" s="95">
        <f t="shared" si="25"/>
        <v>0</v>
      </c>
      <c r="T142" s="95">
        <f t="shared" si="25"/>
        <v>0</v>
      </c>
      <c r="U142" s="95">
        <f t="shared" si="25"/>
        <v>0</v>
      </c>
      <c r="V142" s="95">
        <f t="shared" si="25"/>
        <v>0</v>
      </c>
      <c r="W142" s="95">
        <f t="shared" si="25"/>
        <v>0</v>
      </c>
      <c r="X142" s="95">
        <f t="shared" si="25"/>
        <v>0</v>
      </c>
      <c r="Y142" s="95">
        <f t="shared" si="25"/>
        <v>0</v>
      </c>
    </row>
    <row r="143" spans="1:26">
      <c r="A143" s="24"/>
      <c r="B143" s="24"/>
      <c r="C143" s="24" t="s">
        <v>104</v>
      </c>
      <c r="D143" s="24"/>
      <c r="E143" s="95">
        <f t="shared" si="25"/>
        <v>0</v>
      </c>
      <c r="F143" s="95">
        <f t="shared" si="25"/>
        <v>0</v>
      </c>
      <c r="G143" s="95">
        <f t="shared" si="25"/>
        <v>0</v>
      </c>
      <c r="H143" s="95">
        <f t="shared" si="25"/>
        <v>0</v>
      </c>
      <c r="I143" s="95">
        <f t="shared" si="25"/>
        <v>0</v>
      </c>
      <c r="J143" s="95">
        <f t="shared" si="25"/>
        <v>0</v>
      </c>
      <c r="K143" s="95">
        <f t="shared" si="25"/>
        <v>0</v>
      </c>
      <c r="L143" s="95">
        <f t="shared" si="25"/>
        <v>0</v>
      </c>
      <c r="M143" s="95">
        <f t="shared" si="25"/>
        <v>0</v>
      </c>
      <c r="N143" s="95">
        <f t="shared" si="25"/>
        <v>0</v>
      </c>
      <c r="O143" s="95">
        <f t="shared" si="25"/>
        <v>0</v>
      </c>
      <c r="P143" s="95">
        <f t="shared" si="25"/>
        <v>0</v>
      </c>
      <c r="Q143" s="95">
        <f t="shared" si="25"/>
        <v>0</v>
      </c>
      <c r="R143" s="95">
        <f t="shared" si="25"/>
        <v>0</v>
      </c>
      <c r="S143" s="95">
        <f t="shared" si="25"/>
        <v>0</v>
      </c>
      <c r="T143" s="95">
        <f t="shared" si="25"/>
        <v>0</v>
      </c>
      <c r="U143" s="95">
        <f t="shared" si="25"/>
        <v>0</v>
      </c>
      <c r="V143" s="95">
        <f t="shared" si="25"/>
        <v>0</v>
      </c>
      <c r="W143" s="95">
        <f t="shared" si="25"/>
        <v>0</v>
      </c>
      <c r="X143" s="95">
        <f t="shared" si="25"/>
        <v>0</v>
      </c>
      <c r="Y143" s="95">
        <f t="shared" si="25"/>
        <v>0</v>
      </c>
    </row>
    <row r="144" spans="1:26">
      <c r="A144" s="24"/>
      <c r="B144" s="24"/>
      <c r="C144" s="24" t="s">
        <v>107</v>
      </c>
      <c r="D144" s="24"/>
      <c r="E144" s="95">
        <f t="shared" si="25"/>
        <v>0</v>
      </c>
      <c r="F144" s="95">
        <f t="shared" si="25"/>
        <v>0</v>
      </c>
      <c r="G144" s="95">
        <f t="shared" si="25"/>
        <v>0</v>
      </c>
      <c r="H144" s="95">
        <f t="shared" ref="H144:AA159" si="26">H107-H106</f>
        <v>0</v>
      </c>
      <c r="I144" s="95">
        <f t="shared" si="26"/>
        <v>0</v>
      </c>
      <c r="J144" s="95">
        <f t="shared" si="26"/>
        <v>0</v>
      </c>
      <c r="K144" s="95">
        <f t="shared" si="26"/>
        <v>0</v>
      </c>
      <c r="L144" s="95">
        <f t="shared" si="26"/>
        <v>0</v>
      </c>
      <c r="M144" s="95">
        <f t="shared" si="26"/>
        <v>0</v>
      </c>
      <c r="N144" s="95">
        <f t="shared" si="26"/>
        <v>0</v>
      </c>
      <c r="O144" s="95">
        <f t="shared" si="26"/>
        <v>0</v>
      </c>
      <c r="P144" s="95">
        <f t="shared" si="26"/>
        <v>0</v>
      </c>
      <c r="Q144" s="95">
        <f t="shared" si="26"/>
        <v>0</v>
      </c>
      <c r="R144" s="95">
        <f t="shared" si="26"/>
        <v>0</v>
      </c>
      <c r="S144" s="95">
        <f t="shared" si="26"/>
        <v>0</v>
      </c>
      <c r="T144" s="95">
        <f t="shared" si="26"/>
        <v>0</v>
      </c>
      <c r="U144" s="95">
        <f t="shared" si="26"/>
        <v>0</v>
      </c>
      <c r="V144" s="95">
        <f t="shared" si="26"/>
        <v>0</v>
      </c>
      <c r="W144" s="95">
        <f t="shared" si="26"/>
        <v>0</v>
      </c>
      <c r="X144" s="95">
        <f t="shared" si="26"/>
        <v>0</v>
      </c>
      <c r="Y144" s="95">
        <f t="shared" si="26"/>
        <v>0</v>
      </c>
    </row>
    <row r="145" spans="1:25">
      <c r="A145" s="24"/>
      <c r="B145" s="24"/>
      <c r="C145" s="24" t="s">
        <v>110</v>
      </c>
      <c r="D145" s="24"/>
      <c r="E145" s="95">
        <f t="shared" ref="E145:X157" si="27">E108-E107</f>
        <v>0</v>
      </c>
      <c r="F145" s="95">
        <f t="shared" si="27"/>
        <v>0</v>
      </c>
      <c r="G145" s="95">
        <f t="shared" si="27"/>
        <v>0</v>
      </c>
      <c r="H145" s="95">
        <f t="shared" si="27"/>
        <v>0</v>
      </c>
      <c r="I145" s="95">
        <f t="shared" si="27"/>
        <v>0</v>
      </c>
      <c r="J145" s="95">
        <f t="shared" si="27"/>
        <v>0</v>
      </c>
      <c r="K145" s="95">
        <f t="shared" si="27"/>
        <v>0</v>
      </c>
      <c r="L145" s="95">
        <f t="shared" si="27"/>
        <v>0</v>
      </c>
      <c r="M145" s="95">
        <f t="shared" si="27"/>
        <v>0</v>
      </c>
      <c r="N145" s="95">
        <f t="shared" si="27"/>
        <v>0</v>
      </c>
      <c r="O145" s="95">
        <f t="shared" si="27"/>
        <v>0</v>
      </c>
      <c r="P145" s="95">
        <f t="shared" si="27"/>
        <v>0</v>
      </c>
      <c r="Q145" s="95">
        <f t="shared" si="27"/>
        <v>0</v>
      </c>
      <c r="R145" s="95">
        <f t="shared" si="27"/>
        <v>0</v>
      </c>
      <c r="S145" s="95">
        <f t="shared" si="27"/>
        <v>0</v>
      </c>
      <c r="T145" s="95">
        <f t="shared" si="27"/>
        <v>0</v>
      </c>
      <c r="U145" s="95">
        <f t="shared" si="27"/>
        <v>0</v>
      </c>
      <c r="V145" s="95">
        <f t="shared" si="27"/>
        <v>0</v>
      </c>
      <c r="W145" s="95">
        <f t="shared" si="27"/>
        <v>0</v>
      </c>
      <c r="X145" s="95">
        <f t="shared" si="27"/>
        <v>0</v>
      </c>
      <c r="Y145" s="95">
        <f t="shared" si="26"/>
        <v>0</v>
      </c>
    </row>
    <row r="146" spans="1:25">
      <c r="A146" s="24"/>
      <c r="B146" s="24"/>
      <c r="C146" s="24" t="s">
        <v>113</v>
      </c>
      <c r="D146" s="24"/>
      <c r="E146" s="95">
        <f t="shared" si="27"/>
        <v>0</v>
      </c>
      <c r="F146" s="95">
        <f t="shared" si="27"/>
        <v>0</v>
      </c>
      <c r="G146" s="95">
        <f t="shared" si="27"/>
        <v>0</v>
      </c>
      <c r="H146" s="95">
        <f t="shared" si="27"/>
        <v>0</v>
      </c>
      <c r="I146" s="95">
        <f t="shared" si="27"/>
        <v>0</v>
      </c>
      <c r="J146" s="95">
        <f t="shared" si="27"/>
        <v>0</v>
      </c>
      <c r="K146" s="95">
        <f t="shared" si="27"/>
        <v>0</v>
      </c>
      <c r="L146" s="95">
        <f t="shared" si="27"/>
        <v>0</v>
      </c>
      <c r="M146" s="95">
        <f t="shared" si="27"/>
        <v>0</v>
      </c>
      <c r="N146" s="95">
        <f t="shared" si="27"/>
        <v>0</v>
      </c>
      <c r="O146" s="95">
        <f t="shared" si="27"/>
        <v>0</v>
      </c>
      <c r="P146" s="95">
        <f t="shared" si="27"/>
        <v>0</v>
      </c>
      <c r="Q146" s="95">
        <f t="shared" si="27"/>
        <v>0</v>
      </c>
      <c r="R146" s="95">
        <f t="shared" si="27"/>
        <v>0</v>
      </c>
      <c r="S146" s="95">
        <f t="shared" si="27"/>
        <v>0</v>
      </c>
      <c r="T146" s="95">
        <f t="shared" si="27"/>
        <v>0</v>
      </c>
      <c r="U146" s="95">
        <f t="shared" si="27"/>
        <v>0</v>
      </c>
      <c r="V146" s="95">
        <f t="shared" si="27"/>
        <v>0</v>
      </c>
      <c r="W146" s="95">
        <f t="shared" si="27"/>
        <v>0</v>
      </c>
      <c r="X146" s="95">
        <f t="shared" si="27"/>
        <v>0</v>
      </c>
      <c r="Y146" s="95">
        <f t="shared" si="26"/>
        <v>0</v>
      </c>
    </row>
    <row r="147" spans="1:25">
      <c r="A147" s="24"/>
      <c r="B147" s="24"/>
      <c r="C147" s="24" t="s">
        <v>116</v>
      </c>
      <c r="D147" s="24"/>
      <c r="E147" s="95">
        <f t="shared" si="27"/>
        <v>0</v>
      </c>
      <c r="F147" s="95">
        <f t="shared" si="27"/>
        <v>0</v>
      </c>
      <c r="G147" s="95">
        <f t="shared" si="27"/>
        <v>0</v>
      </c>
      <c r="H147" s="95">
        <f t="shared" si="27"/>
        <v>0</v>
      </c>
      <c r="I147" s="95">
        <f t="shared" si="27"/>
        <v>0</v>
      </c>
      <c r="J147" s="95">
        <f t="shared" si="27"/>
        <v>0</v>
      </c>
      <c r="K147" s="95">
        <f t="shared" si="27"/>
        <v>0</v>
      </c>
      <c r="L147" s="95">
        <f t="shared" si="27"/>
        <v>0</v>
      </c>
      <c r="M147" s="95">
        <f t="shared" si="27"/>
        <v>0</v>
      </c>
      <c r="N147" s="95">
        <f t="shared" si="27"/>
        <v>0</v>
      </c>
      <c r="O147" s="95">
        <f t="shared" si="27"/>
        <v>0</v>
      </c>
      <c r="P147" s="95">
        <f t="shared" si="27"/>
        <v>0</v>
      </c>
      <c r="Q147" s="95">
        <f t="shared" si="27"/>
        <v>0</v>
      </c>
      <c r="R147" s="95">
        <f t="shared" si="27"/>
        <v>0</v>
      </c>
      <c r="S147" s="95">
        <f t="shared" si="27"/>
        <v>0</v>
      </c>
      <c r="T147" s="95">
        <f t="shared" si="27"/>
        <v>0</v>
      </c>
      <c r="U147" s="95">
        <f t="shared" si="27"/>
        <v>0</v>
      </c>
      <c r="V147" s="95">
        <f t="shared" si="27"/>
        <v>0</v>
      </c>
      <c r="W147" s="95">
        <f t="shared" si="27"/>
        <v>0</v>
      </c>
      <c r="X147" s="95">
        <f t="shared" si="27"/>
        <v>0</v>
      </c>
      <c r="Y147" s="95">
        <f t="shared" si="26"/>
        <v>0</v>
      </c>
    </row>
    <row r="148" spans="1:25">
      <c r="A148" s="24"/>
      <c r="B148" s="24"/>
      <c r="C148" s="24" t="s">
        <v>119</v>
      </c>
      <c r="D148" s="24"/>
      <c r="E148" s="95">
        <f t="shared" si="27"/>
        <v>0</v>
      </c>
      <c r="F148" s="95">
        <f t="shared" si="27"/>
        <v>0</v>
      </c>
      <c r="G148" s="95">
        <f t="shared" si="27"/>
        <v>0</v>
      </c>
      <c r="H148" s="95">
        <f t="shared" si="27"/>
        <v>0</v>
      </c>
      <c r="I148" s="95">
        <f t="shared" si="27"/>
        <v>0</v>
      </c>
      <c r="J148" s="95">
        <f t="shared" si="27"/>
        <v>0</v>
      </c>
      <c r="K148" s="95">
        <f t="shared" si="27"/>
        <v>0</v>
      </c>
      <c r="L148" s="95">
        <f t="shared" si="27"/>
        <v>0</v>
      </c>
      <c r="M148" s="95">
        <f t="shared" si="27"/>
        <v>0</v>
      </c>
      <c r="N148" s="95">
        <f t="shared" si="27"/>
        <v>0</v>
      </c>
      <c r="O148" s="95">
        <f t="shared" si="27"/>
        <v>0</v>
      </c>
      <c r="P148" s="95">
        <f t="shared" si="27"/>
        <v>0</v>
      </c>
      <c r="Q148" s="95">
        <f t="shared" si="27"/>
        <v>0</v>
      </c>
      <c r="R148" s="95">
        <f t="shared" si="27"/>
        <v>0</v>
      </c>
      <c r="S148" s="95">
        <f t="shared" si="27"/>
        <v>0</v>
      </c>
      <c r="T148" s="95">
        <f t="shared" si="27"/>
        <v>0</v>
      </c>
      <c r="U148" s="95">
        <f t="shared" si="27"/>
        <v>0</v>
      </c>
      <c r="V148" s="95">
        <f t="shared" si="27"/>
        <v>0</v>
      </c>
      <c r="W148" s="95">
        <f t="shared" si="27"/>
        <v>0</v>
      </c>
      <c r="X148" s="95">
        <f t="shared" si="27"/>
        <v>0</v>
      </c>
      <c r="Y148" s="95">
        <f t="shared" si="26"/>
        <v>0</v>
      </c>
    </row>
    <row r="149" spans="1:25">
      <c r="A149" s="24"/>
      <c r="B149" s="24"/>
      <c r="C149" s="24" t="s">
        <v>122</v>
      </c>
      <c r="D149" s="24"/>
      <c r="E149" s="95">
        <f t="shared" si="27"/>
        <v>0</v>
      </c>
      <c r="F149" s="95">
        <f t="shared" si="27"/>
        <v>0</v>
      </c>
      <c r="G149" s="95">
        <f t="shared" si="27"/>
        <v>0</v>
      </c>
      <c r="H149" s="95">
        <f t="shared" si="27"/>
        <v>0</v>
      </c>
      <c r="I149" s="95">
        <f t="shared" si="27"/>
        <v>0</v>
      </c>
      <c r="J149" s="95">
        <f t="shared" si="27"/>
        <v>0</v>
      </c>
      <c r="K149" s="95">
        <f t="shared" si="27"/>
        <v>0</v>
      </c>
      <c r="L149" s="95">
        <f t="shared" si="27"/>
        <v>0</v>
      </c>
      <c r="M149" s="95">
        <f t="shared" si="27"/>
        <v>0</v>
      </c>
      <c r="N149" s="95">
        <f t="shared" si="27"/>
        <v>0</v>
      </c>
      <c r="O149" s="95">
        <f t="shared" si="27"/>
        <v>0</v>
      </c>
      <c r="P149" s="95">
        <f t="shared" si="27"/>
        <v>0</v>
      </c>
      <c r="Q149" s="95">
        <f t="shared" si="27"/>
        <v>0</v>
      </c>
      <c r="R149" s="95">
        <f t="shared" si="27"/>
        <v>0</v>
      </c>
      <c r="S149" s="95">
        <f t="shared" si="27"/>
        <v>0</v>
      </c>
      <c r="T149" s="95">
        <f t="shared" si="27"/>
        <v>0</v>
      </c>
      <c r="U149" s="95">
        <f t="shared" si="27"/>
        <v>0</v>
      </c>
      <c r="V149" s="95">
        <f t="shared" si="27"/>
        <v>0</v>
      </c>
      <c r="W149" s="95">
        <f t="shared" si="27"/>
        <v>0</v>
      </c>
      <c r="X149" s="95">
        <f t="shared" si="27"/>
        <v>0</v>
      </c>
      <c r="Y149" s="95">
        <f t="shared" si="26"/>
        <v>0</v>
      </c>
    </row>
    <row r="150" spans="1:25">
      <c r="A150" s="24"/>
      <c r="B150" s="24"/>
      <c r="C150" s="24" t="s">
        <v>125</v>
      </c>
      <c r="D150" s="24"/>
      <c r="E150" s="95">
        <f t="shared" si="27"/>
        <v>0</v>
      </c>
      <c r="F150" s="95">
        <f t="shared" si="27"/>
        <v>0</v>
      </c>
      <c r="G150" s="95">
        <f t="shared" si="27"/>
        <v>0</v>
      </c>
      <c r="H150" s="95">
        <f t="shared" si="27"/>
        <v>0</v>
      </c>
      <c r="I150" s="95">
        <f t="shared" si="27"/>
        <v>0</v>
      </c>
      <c r="J150" s="95">
        <f t="shared" si="27"/>
        <v>0</v>
      </c>
      <c r="K150" s="95">
        <f t="shared" si="27"/>
        <v>0</v>
      </c>
      <c r="L150" s="95">
        <f t="shared" si="27"/>
        <v>0</v>
      </c>
      <c r="M150" s="95">
        <f t="shared" si="27"/>
        <v>0</v>
      </c>
      <c r="N150" s="95">
        <f t="shared" si="27"/>
        <v>0</v>
      </c>
      <c r="O150" s="95">
        <f t="shared" si="27"/>
        <v>0</v>
      </c>
      <c r="P150" s="95">
        <f t="shared" si="27"/>
        <v>0</v>
      </c>
      <c r="Q150" s="95">
        <f t="shared" si="27"/>
        <v>0</v>
      </c>
      <c r="R150" s="95">
        <f t="shared" si="27"/>
        <v>0</v>
      </c>
      <c r="S150" s="95">
        <f t="shared" si="27"/>
        <v>0</v>
      </c>
      <c r="T150" s="95">
        <f t="shared" si="27"/>
        <v>0</v>
      </c>
      <c r="U150" s="95">
        <f t="shared" si="27"/>
        <v>0</v>
      </c>
      <c r="V150" s="95">
        <f t="shared" si="27"/>
        <v>0</v>
      </c>
      <c r="W150" s="95">
        <f t="shared" si="27"/>
        <v>0</v>
      </c>
      <c r="X150" s="95">
        <f t="shared" si="27"/>
        <v>0</v>
      </c>
      <c r="Y150" s="95">
        <f t="shared" si="26"/>
        <v>0</v>
      </c>
    </row>
    <row r="151" spans="1:25">
      <c r="A151" s="24"/>
      <c r="B151" s="24"/>
      <c r="C151" s="24" t="s">
        <v>128</v>
      </c>
      <c r="D151" s="24"/>
      <c r="E151" s="95">
        <f t="shared" si="27"/>
        <v>0</v>
      </c>
      <c r="F151" s="95">
        <f t="shared" si="27"/>
        <v>0</v>
      </c>
      <c r="G151" s="95">
        <f t="shared" si="27"/>
        <v>0</v>
      </c>
      <c r="H151" s="95">
        <f t="shared" si="27"/>
        <v>0</v>
      </c>
      <c r="I151" s="95">
        <f t="shared" si="27"/>
        <v>0</v>
      </c>
      <c r="J151" s="95">
        <f t="shared" si="27"/>
        <v>0</v>
      </c>
      <c r="K151" s="95">
        <f t="shared" si="27"/>
        <v>0</v>
      </c>
      <c r="L151" s="95">
        <f t="shared" si="27"/>
        <v>0</v>
      </c>
      <c r="M151" s="95">
        <f t="shared" si="27"/>
        <v>0</v>
      </c>
      <c r="N151" s="95">
        <f t="shared" si="27"/>
        <v>0</v>
      </c>
      <c r="O151" s="95">
        <f t="shared" si="27"/>
        <v>0</v>
      </c>
      <c r="P151" s="95">
        <f t="shared" si="27"/>
        <v>0</v>
      </c>
      <c r="Q151" s="95">
        <f t="shared" si="27"/>
        <v>0</v>
      </c>
      <c r="R151" s="95">
        <f t="shared" si="27"/>
        <v>0</v>
      </c>
      <c r="S151" s="95">
        <f t="shared" si="27"/>
        <v>0</v>
      </c>
      <c r="T151" s="95">
        <f t="shared" si="27"/>
        <v>0</v>
      </c>
      <c r="U151" s="95">
        <f t="shared" si="27"/>
        <v>0</v>
      </c>
      <c r="V151" s="95">
        <f t="shared" si="27"/>
        <v>0</v>
      </c>
      <c r="W151" s="95">
        <f t="shared" si="27"/>
        <v>0</v>
      </c>
      <c r="X151" s="95">
        <f t="shared" si="27"/>
        <v>0</v>
      </c>
      <c r="Y151" s="95">
        <f t="shared" si="26"/>
        <v>0</v>
      </c>
    </row>
    <row r="152" spans="1:25">
      <c r="A152" s="24"/>
      <c r="B152" s="24"/>
      <c r="C152" s="24" t="s">
        <v>131</v>
      </c>
      <c r="D152" s="24"/>
      <c r="E152" s="95">
        <f t="shared" si="27"/>
        <v>0</v>
      </c>
      <c r="F152" s="95">
        <f t="shared" si="27"/>
        <v>0</v>
      </c>
      <c r="G152" s="95">
        <f t="shared" si="27"/>
        <v>0</v>
      </c>
      <c r="H152" s="95">
        <f t="shared" si="27"/>
        <v>0</v>
      </c>
      <c r="I152" s="95">
        <f t="shared" si="27"/>
        <v>0</v>
      </c>
      <c r="J152" s="95">
        <f t="shared" si="27"/>
        <v>0</v>
      </c>
      <c r="K152" s="95">
        <f t="shared" si="27"/>
        <v>0</v>
      </c>
      <c r="L152" s="95">
        <f t="shared" si="27"/>
        <v>0</v>
      </c>
      <c r="M152" s="95">
        <f t="shared" si="27"/>
        <v>0</v>
      </c>
      <c r="N152" s="95">
        <f t="shared" si="27"/>
        <v>0</v>
      </c>
      <c r="O152" s="95">
        <f t="shared" si="27"/>
        <v>0</v>
      </c>
      <c r="P152" s="95">
        <f t="shared" si="27"/>
        <v>0</v>
      </c>
      <c r="Q152" s="95">
        <f t="shared" si="27"/>
        <v>0</v>
      </c>
      <c r="R152" s="95">
        <f t="shared" si="27"/>
        <v>0</v>
      </c>
      <c r="S152" s="95">
        <f t="shared" si="27"/>
        <v>0</v>
      </c>
      <c r="T152" s="95">
        <f t="shared" si="27"/>
        <v>0</v>
      </c>
      <c r="U152" s="95">
        <f t="shared" si="27"/>
        <v>0</v>
      </c>
      <c r="V152" s="95">
        <f t="shared" si="27"/>
        <v>0</v>
      </c>
      <c r="W152" s="95">
        <f t="shared" si="27"/>
        <v>0</v>
      </c>
      <c r="X152" s="95">
        <f t="shared" si="27"/>
        <v>0</v>
      </c>
      <c r="Y152" s="95">
        <f t="shared" si="26"/>
        <v>0</v>
      </c>
    </row>
    <row r="153" spans="1:25">
      <c r="A153" s="24"/>
      <c r="B153" s="24"/>
      <c r="C153" s="24" t="s">
        <v>134</v>
      </c>
      <c r="D153" s="24"/>
      <c r="E153" s="95">
        <f t="shared" si="27"/>
        <v>0</v>
      </c>
      <c r="F153" s="95">
        <f t="shared" si="27"/>
        <v>0</v>
      </c>
      <c r="G153" s="95">
        <f t="shared" si="27"/>
        <v>0</v>
      </c>
      <c r="H153" s="95">
        <f t="shared" si="27"/>
        <v>0</v>
      </c>
      <c r="I153" s="95">
        <f t="shared" si="27"/>
        <v>0</v>
      </c>
      <c r="J153" s="95">
        <f t="shared" si="27"/>
        <v>0</v>
      </c>
      <c r="K153" s="95">
        <f t="shared" si="27"/>
        <v>0</v>
      </c>
      <c r="L153" s="95">
        <f t="shared" si="27"/>
        <v>0</v>
      </c>
      <c r="M153" s="95">
        <f t="shared" si="27"/>
        <v>0</v>
      </c>
      <c r="N153" s="95">
        <f t="shared" si="27"/>
        <v>0</v>
      </c>
      <c r="O153" s="95">
        <f t="shared" si="27"/>
        <v>0</v>
      </c>
      <c r="P153" s="95">
        <f t="shared" si="27"/>
        <v>0</v>
      </c>
      <c r="Q153" s="95">
        <f t="shared" si="27"/>
        <v>0</v>
      </c>
      <c r="R153" s="95">
        <f t="shared" si="27"/>
        <v>0</v>
      </c>
      <c r="S153" s="95">
        <f t="shared" si="27"/>
        <v>0</v>
      </c>
      <c r="T153" s="95">
        <f t="shared" si="27"/>
        <v>0</v>
      </c>
      <c r="U153" s="95">
        <f t="shared" si="27"/>
        <v>0</v>
      </c>
      <c r="V153" s="95">
        <f t="shared" si="27"/>
        <v>0</v>
      </c>
      <c r="W153" s="95">
        <f t="shared" si="27"/>
        <v>0</v>
      </c>
      <c r="X153" s="95">
        <f t="shared" si="27"/>
        <v>0</v>
      </c>
      <c r="Y153" s="95">
        <f t="shared" si="26"/>
        <v>0</v>
      </c>
    </row>
    <row r="154" spans="1:25">
      <c r="A154" s="24"/>
      <c r="B154" s="24"/>
      <c r="C154" s="24" t="s">
        <v>137</v>
      </c>
      <c r="D154" s="24"/>
      <c r="E154" s="95">
        <f t="shared" si="27"/>
        <v>0</v>
      </c>
      <c r="F154" s="95">
        <f t="shared" si="27"/>
        <v>0</v>
      </c>
      <c r="G154" s="95">
        <f t="shared" si="27"/>
        <v>0</v>
      </c>
      <c r="H154" s="95">
        <f t="shared" si="27"/>
        <v>0</v>
      </c>
      <c r="I154" s="95">
        <f t="shared" si="27"/>
        <v>0</v>
      </c>
      <c r="J154" s="95">
        <f t="shared" si="27"/>
        <v>0</v>
      </c>
      <c r="K154" s="95">
        <f t="shared" si="27"/>
        <v>0</v>
      </c>
      <c r="L154" s="95">
        <f t="shared" si="27"/>
        <v>0</v>
      </c>
      <c r="M154" s="95">
        <f t="shared" si="27"/>
        <v>0</v>
      </c>
      <c r="N154" s="95">
        <f t="shared" si="27"/>
        <v>0</v>
      </c>
      <c r="O154" s="95">
        <f t="shared" si="27"/>
        <v>0</v>
      </c>
      <c r="P154" s="95">
        <f t="shared" si="27"/>
        <v>0</v>
      </c>
      <c r="Q154" s="95">
        <f t="shared" si="27"/>
        <v>0</v>
      </c>
      <c r="R154" s="95">
        <f t="shared" si="27"/>
        <v>0</v>
      </c>
      <c r="S154" s="95">
        <f t="shared" si="27"/>
        <v>0</v>
      </c>
      <c r="T154" s="95">
        <f t="shared" si="27"/>
        <v>0</v>
      </c>
      <c r="U154" s="95">
        <f t="shared" si="27"/>
        <v>0</v>
      </c>
      <c r="V154" s="95">
        <f t="shared" si="27"/>
        <v>0</v>
      </c>
      <c r="W154" s="95">
        <f t="shared" si="27"/>
        <v>0</v>
      </c>
      <c r="X154" s="95">
        <f t="shared" si="27"/>
        <v>0</v>
      </c>
      <c r="Y154" s="95">
        <f t="shared" si="26"/>
        <v>0</v>
      </c>
    </row>
    <row r="155" spans="1:25">
      <c r="A155" s="24"/>
      <c r="B155" s="24"/>
      <c r="C155" s="24" t="s">
        <v>140</v>
      </c>
      <c r="D155" s="24"/>
      <c r="E155" s="95">
        <f t="shared" si="27"/>
        <v>0</v>
      </c>
      <c r="F155" s="95">
        <f t="shared" si="27"/>
        <v>0</v>
      </c>
      <c r="G155" s="95">
        <f t="shared" si="27"/>
        <v>0</v>
      </c>
      <c r="H155" s="95">
        <f t="shared" si="27"/>
        <v>0</v>
      </c>
      <c r="I155" s="95">
        <f t="shared" si="27"/>
        <v>0</v>
      </c>
      <c r="J155" s="95">
        <f t="shared" si="27"/>
        <v>0</v>
      </c>
      <c r="K155" s="95">
        <f t="shared" si="27"/>
        <v>0</v>
      </c>
      <c r="L155" s="95">
        <f t="shared" si="27"/>
        <v>0</v>
      </c>
      <c r="M155" s="95">
        <f t="shared" si="27"/>
        <v>0</v>
      </c>
      <c r="N155" s="95">
        <f t="shared" si="27"/>
        <v>0</v>
      </c>
      <c r="O155" s="95">
        <f t="shared" si="27"/>
        <v>0</v>
      </c>
      <c r="P155" s="95">
        <f t="shared" si="27"/>
        <v>0</v>
      </c>
      <c r="Q155" s="95">
        <f t="shared" si="27"/>
        <v>0</v>
      </c>
      <c r="R155" s="95">
        <f t="shared" si="27"/>
        <v>0</v>
      </c>
      <c r="S155" s="95">
        <f t="shared" si="27"/>
        <v>0</v>
      </c>
      <c r="T155" s="95">
        <f t="shared" si="27"/>
        <v>0</v>
      </c>
      <c r="U155" s="95">
        <f t="shared" si="27"/>
        <v>0</v>
      </c>
      <c r="V155" s="95">
        <f t="shared" si="27"/>
        <v>0</v>
      </c>
      <c r="W155" s="95">
        <f t="shared" si="27"/>
        <v>0</v>
      </c>
      <c r="X155" s="95">
        <f t="shared" si="27"/>
        <v>0</v>
      </c>
      <c r="Y155" s="95">
        <f t="shared" si="26"/>
        <v>0</v>
      </c>
    </row>
    <row r="156" spans="1:25">
      <c r="A156" s="24"/>
      <c r="B156" s="24"/>
      <c r="C156" s="24" t="s">
        <v>143</v>
      </c>
      <c r="D156" s="24"/>
      <c r="E156" s="95">
        <f t="shared" si="27"/>
        <v>0</v>
      </c>
      <c r="F156" s="95">
        <f t="shared" si="27"/>
        <v>0</v>
      </c>
      <c r="G156" s="95">
        <f t="shared" si="27"/>
        <v>0</v>
      </c>
      <c r="H156" s="95">
        <f t="shared" si="27"/>
        <v>0</v>
      </c>
      <c r="I156" s="95">
        <f t="shared" si="27"/>
        <v>0</v>
      </c>
      <c r="J156" s="95">
        <f t="shared" si="27"/>
        <v>0</v>
      </c>
      <c r="K156" s="95">
        <f t="shared" si="27"/>
        <v>0</v>
      </c>
      <c r="L156" s="95">
        <f t="shared" si="27"/>
        <v>0</v>
      </c>
      <c r="M156" s="95">
        <f t="shared" si="27"/>
        <v>0</v>
      </c>
      <c r="N156" s="95">
        <f t="shared" si="27"/>
        <v>0</v>
      </c>
      <c r="O156" s="95">
        <f t="shared" si="27"/>
        <v>0</v>
      </c>
      <c r="P156" s="95">
        <f t="shared" si="27"/>
        <v>0</v>
      </c>
      <c r="Q156" s="95">
        <f t="shared" si="27"/>
        <v>0</v>
      </c>
      <c r="R156" s="95">
        <f t="shared" si="27"/>
        <v>0</v>
      </c>
      <c r="S156" s="95">
        <f t="shared" si="27"/>
        <v>0</v>
      </c>
      <c r="T156" s="95">
        <f t="shared" si="27"/>
        <v>0</v>
      </c>
      <c r="U156" s="95">
        <f t="shared" si="27"/>
        <v>0</v>
      </c>
      <c r="V156" s="95">
        <f t="shared" si="27"/>
        <v>0</v>
      </c>
      <c r="W156" s="95">
        <f t="shared" si="27"/>
        <v>0</v>
      </c>
      <c r="X156" s="95">
        <f t="shared" si="27"/>
        <v>0</v>
      </c>
      <c r="Y156" s="95">
        <f t="shared" si="26"/>
        <v>0</v>
      </c>
    </row>
    <row r="157" spans="1:25">
      <c r="A157" s="24"/>
      <c r="B157" s="24"/>
      <c r="C157" s="24" t="s">
        <v>146</v>
      </c>
      <c r="D157" s="24"/>
      <c r="E157" s="95">
        <f t="shared" si="27"/>
        <v>0</v>
      </c>
      <c r="F157" s="95">
        <f t="shared" si="27"/>
        <v>0</v>
      </c>
      <c r="G157" s="95">
        <f t="shared" si="27"/>
        <v>0</v>
      </c>
      <c r="H157" s="95">
        <f t="shared" si="27"/>
        <v>0</v>
      </c>
      <c r="I157" s="95">
        <f t="shared" si="27"/>
        <v>0</v>
      </c>
      <c r="J157" s="95">
        <f t="shared" si="27"/>
        <v>0</v>
      </c>
      <c r="K157" s="95">
        <f t="shared" si="27"/>
        <v>0</v>
      </c>
      <c r="L157" s="95">
        <f t="shared" si="27"/>
        <v>0</v>
      </c>
      <c r="M157" s="95">
        <f t="shared" si="27"/>
        <v>0</v>
      </c>
      <c r="N157" s="95">
        <f t="shared" si="27"/>
        <v>0</v>
      </c>
      <c r="O157" s="95">
        <f t="shared" si="27"/>
        <v>0</v>
      </c>
      <c r="P157" s="95">
        <f t="shared" si="27"/>
        <v>0</v>
      </c>
      <c r="Q157" s="95">
        <f t="shared" si="27"/>
        <v>0</v>
      </c>
      <c r="R157" s="95">
        <f t="shared" si="27"/>
        <v>0</v>
      </c>
      <c r="S157" s="95">
        <f t="shared" si="27"/>
        <v>0</v>
      </c>
      <c r="T157" s="95">
        <f t="shared" ref="T157:X157" si="28">T120-T119</f>
        <v>0</v>
      </c>
      <c r="U157" s="95">
        <f t="shared" si="28"/>
        <v>0</v>
      </c>
      <c r="V157" s="95">
        <f t="shared" si="28"/>
        <v>0</v>
      </c>
      <c r="W157" s="95">
        <f t="shared" si="28"/>
        <v>0</v>
      </c>
      <c r="X157" s="95">
        <f t="shared" si="28"/>
        <v>0</v>
      </c>
      <c r="Y157" s="95">
        <f t="shared" si="26"/>
        <v>0</v>
      </c>
    </row>
    <row r="158" spans="1:25">
      <c r="A158" s="24"/>
      <c r="B158" s="24"/>
      <c r="C158" s="24" t="s">
        <v>149</v>
      </c>
      <c r="D158" s="24"/>
      <c r="E158" s="95">
        <f t="shared" ref="E158:X162" si="29">E121-E120</f>
        <v>0</v>
      </c>
      <c r="F158" s="95">
        <f t="shared" si="29"/>
        <v>0</v>
      </c>
      <c r="G158" s="95">
        <f t="shared" si="29"/>
        <v>0</v>
      </c>
      <c r="H158" s="95">
        <f t="shared" si="29"/>
        <v>0</v>
      </c>
      <c r="I158" s="95">
        <f t="shared" si="29"/>
        <v>0</v>
      </c>
      <c r="J158" s="95">
        <f t="shared" si="29"/>
        <v>0</v>
      </c>
      <c r="K158" s="95">
        <f t="shared" si="29"/>
        <v>0</v>
      </c>
      <c r="L158" s="95">
        <f t="shared" si="29"/>
        <v>0</v>
      </c>
      <c r="M158" s="95">
        <f t="shared" si="29"/>
        <v>0</v>
      </c>
      <c r="N158" s="95">
        <f t="shared" si="29"/>
        <v>0</v>
      </c>
      <c r="O158" s="95">
        <f t="shared" si="29"/>
        <v>0</v>
      </c>
      <c r="P158" s="95">
        <f t="shared" si="29"/>
        <v>0</v>
      </c>
      <c r="Q158" s="95">
        <f t="shared" si="29"/>
        <v>0</v>
      </c>
      <c r="R158" s="95">
        <f t="shared" si="29"/>
        <v>0</v>
      </c>
      <c r="S158" s="95">
        <f t="shared" si="29"/>
        <v>0</v>
      </c>
      <c r="T158" s="95">
        <f t="shared" si="29"/>
        <v>0</v>
      </c>
      <c r="U158" s="95">
        <f t="shared" si="29"/>
        <v>0</v>
      </c>
      <c r="V158" s="95">
        <f t="shared" si="29"/>
        <v>0</v>
      </c>
      <c r="W158" s="95">
        <f t="shared" si="29"/>
        <v>0</v>
      </c>
      <c r="X158" s="95">
        <f t="shared" si="29"/>
        <v>0</v>
      </c>
      <c r="Y158" s="95">
        <f t="shared" si="26"/>
        <v>0</v>
      </c>
    </row>
    <row r="159" spans="1:25">
      <c r="A159" s="24"/>
      <c r="B159" s="24"/>
      <c r="C159" s="24" t="s">
        <v>152</v>
      </c>
      <c r="D159" s="24"/>
      <c r="E159" s="95">
        <f t="shared" si="29"/>
        <v>0</v>
      </c>
      <c r="F159" s="95">
        <f t="shared" si="29"/>
        <v>0</v>
      </c>
      <c r="G159" s="95">
        <f t="shared" si="29"/>
        <v>0</v>
      </c>
      <c r="H159" s="95">
        <f t="shared" si="29"/>
        <v>0</v>
      </c>
      <c r="I159" s="95">
        <f t="shared" si="29"/>
        <v>0</v>
      </c>
      <c r="J159" s="95">
        <f t="shared" si="29"/>
        <v>0</v>
      </c>
      <c r="K159" s="95">
        <f t="shared" si="29"/>
        <v>0</v>
      </c>
      <c r="L159" s="95">
        <f t="shared" si="29"/>
        <v>0</v>
      </c>
      <c r="M159" s="95">
        <f t="shared" si="29"/>
        <v>0</v>
      </c>
      <c r="N159" s="95">
        <f t="shared" si="29"/>
        <v>0</v>
      </c>
      <c r="O159" s="95">
        <f t="shared" si="29"/>
        <v>0</v>
      </c>
      <c r="P159" s="95">
        <f t="shared" si="29"/>
        <v>0</v>
      </c>
      <c r="Q159" s="95">
        <f t="shared" si="29"/>
        <v>0</v>
      </c>
      <c r="R159" s="95">
        <f t="shared" si="29"/>
        <v>0</v>
      </c>
      <c r="S159" s="95">
        <f t="shared" si="29"/>
        <v>0</v>
      </c>
      <c r="T159" s="95">
        <f t="shared" si="29"/>
        <v>0</v>
      </c>
      <c r="U159" s="95">
        <f t="shared" si="29"/>
        <v>0</v>
      </c>
      <c r="V159" s="95">
        <f t="shared" si="29"/>
        <v>0</v>
      </c>
      <c r="W159" s="95">
        <f t="shared" si="29"/>
        <v>0</v>
      </c>
      <c r="X159" s="95">
        <f t="shared" si="29"/>
        <v>0</v>
      </c>
      <c r="Y159" s="95">
        <f t="shared" si="26"/>
        <v>0</v>
      </c>
    </row>
    <row r="160" spans="1:25">
      <c r="A160" s="24"/>
      <c r="B160" s="24"/>
      <c r="C160" s="24" t="s">
        <v>155</v>
      </c>
      <c r="D160" s="24"/>
      <c r="E160" s="95">
        <f t="shared" si="29"/>
        <v>0</v>
      </c>
      <c r="F160" s="95">
        <f t="shared" si="29"/>
        <v>0</v>
      </c>
      <c r="G160" s="95">
        <f t="shared" si="29"/>
        <v>0</v>
      </c>
      <c r="H160" s="95">
        <f t="shared" si="29"/>
        <v>0</v>
      </c>
      <c r="I160" s="95">
        <f t="shared" si="29"/>
        <v>0</v>
      </c>
      <c r="J160" s="95">
        <f t="shared" si="29"/>
        <v>0</v>
      </c>
      <c r="K160" s="95">
        <f t="shared" si="29"/>
        <v>0</v>
      </c>
      <c r="L160" s="95">
        <f t="shared" si="29"/>
        <v>0</v>
      </c>
      <c r="M160" s="95">
        <f t="shared" si="29"/>
        <v>0</v>
      </c>
      <c r="N160" s="95">
        <f t="shared" si="29"/>
        <v>0</v>
      </c>
      <c r="O160" s="95">
        <f t="shared" si="29"/>
        <v>0</v>
      </c>
      <c r="P160" s="95">
        <f t="shared" si="29"/>
        <v>0</v>
      </c>
      <c r="Q160" s="95">
        <f t="shared" si="29"/>
        <v>0</v>
      </c>
      <c r="R160" s="95">
        <f t="shared" si="29"/>
        <v>0</v>
      </c>
      <c r="S160" s="95">
        <f t="shared" si="29"/>
        <v>0</v>
      </c>
      <c r="T160" s="95">
        <f t="shared" si="29"/>
        <v>0</v>
      </c>
      <c r="U160" s="95">
        <f t="shared" si="29"/>
        <v>0</v>
      </c>
      <c r="V160" s="95">
        <f t="shared" si="29"/>
        <v>0</v>
      </c>
      <c r="W160" s="95">
        <f t="shared" si="29"/>
        <v>0</v>
      </c>
      <c r="X160" s="95">
        <f t="shared" si="29"/>
        <v>0</v>
      </c>
      <c r="Y160" s="95">
        <f t="shared" ref="Y160:Y162" si="30">Y123-Y122</f>
        <v>0</v>
      </c>
    </row>
    <row r="161" spans="1:26">
      <c r="A161" s="24"/>
      <c r="B161" s="24"/>
      <c r="C161" s="24" t="s">
        <v>158</v>
      </c>
      <c r="D161" s="24"/>
      <c r="E161" s="95">
        <f t="shared" si="29"/>
        <v>0</v>
      </c>
      <c r="F161" s="95">
        <f t="shared" si="29"/>
        <v>0</v>
      </c>
      <c r="G161" s="95">
        <f t="shared" si="29"/>
        <v>0</v>
      </c>
      <c r="H161" s="95">
        <f t="shared" si="29"/>
        <v>0</v>
      </c>
      <c r="I161" s="95">
        <f t="shared" si="29"/>
        <v>0</v>
      </c>
      <c r="J161" s="95">
        <f t="shared" si="29"/>
        <v>0</v>
      </c>
      <c r="K161" s="95">
        <f t="shared" si="29"/>
        <v>0</v>
      </c>
      <c r="L161" s="95">
        <f t="shared" si="29"/>
        <v>0</v>
      </c>
      <c r="M161" s="95">
        <f t="shared" si="29"/>
        <v>0</v>
      </c>
      <c r="N161" s="95">
        <f t="shared" si="29"/>
        <v>0</v>
      </c>
      <c r="O161" s="95">
        <f t="shared" si="29"/>
        <v>0</v>
      </c>
      <c r="P161" s="95">
        <f t="shared" si="29"/>
        <v>0</v>
      </c>
      <c r="Q161" s="95">
        <f t="shared" si="29"/>
        <v>0</v>
      </c>
      <c r="R161" s="95">
        <f t="shared" si="29"/>
        <v>0</v>
      </c>
      <c r="S161" s="95">
        <f t="shared" si="29"/>
        <v>0</v>
      </c>
      <c r="T161" s="95">
        <f t="shared" si="29"/>
        <v>0</v>
      </c>
      <c r="U161" s="95">
        <f t="shared" si="29"/>
        <v>0</v>
      </c>
      <c r="V161" s="95">
        <f t="shared" si="29"/>
        <v>0</v>
      </c>
      <c r="W161" s="95">
        <f t="shared" si="29"/>
        <v>0</v>
      </c>
      <c r="X161" s="95">
        <f t="shared" si="29"/>
        <v>0</v>
      </c>
      <c r="Y161" s="95">
        <f t="shared" si="30"/>
        <v>0</v>
      </c>
    </row>
    <row r="162" spans="1:26">
      <c r="A162" s="24"/>
      <c r="B162" s="24"/>
      <c r="C162" s="24" t="s">
        <v>161</v>
      </c>
      <c r="D162" s="24"/>
      <c r="E162" s="95">
        <f t="shared" si="29"/>
        <v>0</v>
      </c>
      <c r="F162" s="95">
        <f t="shared" si="29"/>
        <v>0</v>
      </c>
      <c r="G162" s="95">
        <f t="shared" si="29"/>
        <v>0</v>
      </c>
      <c r="H162" s="95">
        <f t="shared" si="29"/>
        <v>0</v>
      </c>
      <c r="I162" s="95">
        <f t="shared" si="29"/>
        <v>0</v>
      </c>
      <c r="J162" s="95">
        <f t="shared" si="29"/>
        <v>0</v>
      </c>
      <c r="K162" s="95">
        <f t="shared" si="29"/>
        <v>0</v>
      </c>
      <c r="L162" s="95">
        <f t="shared" si="29"/>
        <v>0</v>
      </c>
      <c r="M162" s="95">
        <f t="shared" si="29"/>
        <v>0</v>
      </c>
      <c r="N162" s="95">
        <f t="shared" si="29"/>
        <v>0</v>
      </c>
      <c r="O162" s="95">
        <f t="shared" si="29"/>
        <v>0</v>
      </c>
      <c r="P162" s="95">
        <f t="shared" si="29"/>
        <v>0</v>
      </c>
      <c r="Q162" s="95">
        <f t="shared" si="29"/>
        <v>0</v>
      </c>
      <c r="R162" s="95">
        <f t="shared" si="29"/>
        <v>0</v>
      </c>
      <c r="S162" s="95">
        <f t="shared" si="29"/>
        <v>0</v>
      </c>
      <c r="T162" s="95">
        <f t="shared" si="29"/>
        <v>0</v>
      </c>
      <c r="U162" s="95">
        <f t="shared" si="29"/>
        <v>0</v>
      </c>
      <c r="V162" s="95">
        <f t="shared" si="29"/>
        <v>0</v>
      </c>
      <c r="W162" s="95">
        <f t="shared" si="29"/>
        <v>0</v>
      </c>
      <c r="X162" s="95">
        <f t="shared" si="29"/>
        <v>0</v>
      </c>
      <c r="Y162" s="95">
        <f t="shared" si="30"/>
        <v>0</v>
      </c>
    </row>
    <row r="163" spans="1:26">
      <c r="A163" s="24"/>
      <c r="B163" s="24"/>
      <c r="C163" s="24"/>
      <c r="D163" s="24"/>
      <c r="E163" s="89"/>
      <c r="F163" s="24"/>
      <c r="G163" s="24"/>
      <c r="H163" s="24"/>
      <c r="I163" s="24"/>
      <c r="J163" s="24"/>
      <c r="K163" s="24"/>
      <c r="L163" s="24"/>
      <c r="M163" s="24"/>
      <c r="N163" s="24"/>
      <c r="O163" s="24"/>
      <c r="P163" s="24"/>
      <c r="Q163" s="24"/>
      <c r="R163" s="24"/>
      <c r="S163" s="24"/>
      <c r="T163" s="24"/>
      <c r="U163" s="24"/>
      <c r="V163" s="24"/>
      <c r="W163" s="24"/>
      <c r="X163" s="24"/>
      <c r="Y163" s="24"/>
      <c r="Z163" s="24"/>
    </row>
    <row r="164" spans="1:26" ht="15">
      <c r="A164" s="24"/>
      <c r="B164" s="24"/>
      <c r="C164" s="275" t="s">
        <v>166</v>
      </c>
      <c r="D164" s="276"/>
      <c r="E164" s="276">
        <f t="shared" ref="E164:X164" si="31">SUM(E131:E162)</f>
        <v>0.23049981353058263</v>
      </c>
      <c r="F164" s="276">
        <f t="shared" si="31"/>
        <v>0.39037509212281807</v>
      </c>
      <c r="G164" s="276">
        <f t="shared" si="31"/>
        <v>0.499581144242429</v>
      </c>
      <c r="H164" s="276">
        <f t="shared" si="31"/>
        <v>0.58342105741664052</v>
      </c>
      <c r="I164" s="276">
        <f t="shared" si="31"/>
        <v>0.65593030278863396</v>
      </c>
      <c r="J164" s="276">
        <f t="shared" si="31"/>
        <v>0.71775057518205176</v>
      </c>
      <c r="K164" s="276">
        <f t="shared" si="31"/>
        <v>0.76980783452391699</v>
      </c>
      <c r="L164" s="276">
        <f t="shared" si="31"/>
        <v>0.81315226382543315</v>
      </c>
      <c r="M164" s="276">
        <f t="shared" si="31"/>
        <v>0.84885577501847065</v>
      </c>
      <c r="N164" s="276">
        <f t="shared" si="31"/>
        <v>0.87794928559176177</v>
      </c>
      <c r="O164" s="276">
        <f t="shared" si="31"/>
        <v>0.90138707153737663</v>
      </c>
      <c r="P164" s="276">
        <f t="shared" si="31"/>
        <v>0.9186236466547042</v>
      </c>
      <c r="Q164" s="276">
        <f t="shared" si="31"/>
        <v>0.93105619530962058</v>
      </c>
      <c r="R164" s="276">
        <f t="shared" si="31"/>
        <v>0.93976813041311869</v>
      </c>
      <c r="S164" s="276">
        <f t="shared" si="31"/>
        <v>0.94559955510324556</v>
      </c>
      <c r="T164" s="276">
        <f t="shared" si="31"/>
        <v>0.96403036426617028</v>
      </c>
      <c r="U164" s="276">
        <f t="shared" si="31"/>
        <v>0.97748144127134418</v>
      </c>
      <c r="V164" s="276">
        <f t="shared" si="31"/>
        <v>0.98732244502542921</v>
      </c>
      <c r="W164" s="276">
        <f t="shared" si="31"/>
        <v>0.99548412200944258</v>
      </c>
      <c r="X164" s="276">
        <f t="shared" si="31"/>
        <v>1.0011324242896438</v>
      </c>
      <c r="Y164" s="67" t="s">
        <v>53</v>
      </c>
    </row>
    <row r="165" spans="1:26" ht="15">
      <c r="A165" s="24"/>
      <c r="B165" s="24"/>
      <c r="C165" s="275" t="s">
        <v>200</v>
      </c>
      <c r="D165" s="276"/>
      <c r="E165" s="276">
        <f>IF((D165+E164)&lt;$Y$165,(D165+E164),$Y$165)</f>
        <v>0.23049981353058263</v>
      </c>
      <c r="F165" s="276">
        <f>IF((E165+F164)&lt;$Y$165,(E165+F164),$Y$165)</f>
        <v>0.62087490565340064</v>
      </c>
      <c r="G165" s="276">
        <f t="shared" ref="G165:X165" si="32">IF((F165+G164)&lt;$Y$165,(F165+G164),$Y$165)</f>
        <v>1.1204560498958296</v>
      </c>
      <c r="H165" s="276">
        <f t="shared" si="32"/>
        <v>1.7038771073124701</v>
      </c>
      <c r="I165" s="276">
        <f t="shared" si="32"/>
        <v>2.3598074101011042</v>
      </c>
      <c r="J165" s="276">
        <f t="shared" si="32"/>
        <v>3.0775579852831561</v>
      </c>
      <c r="K165" s="276">
        <f t="shared" si="32"/>
        <v>3.8473658198070728</v>
      </c>
      <c r="L165" s="276">
        <f t="shared" si="32"/>
        <v>4.660518083632506</v>
      </c>
      <c r="M165" s="276">
        <f t="shared" si="32"/>
        <v>5.5093738586509762</v>
      </c>
      <c r="N165" s="276">
        <f t="shared" si="32"/>
        <v>6.3873231442427381</v>
      </c>
      <c r="O165" s="276">
        <f t="shared" si="32"/>
        <v>7.2887102157801147</v>
      </c>
      <c r="P165" s="276">
        <f t="shared" si="32"/>
        <v>8.2073338624348189</v>
      </c>
      <c r="Q165" s="276">
        <f t="shared" si="32"/>
        <v>9.1383900577444397</v>
      </c>
      <c r="R165" s="276">
        <f t="shared" si="32"/>
        <v>10.078158188157559</v>
      </c>
      <c r="S165" s="276">
        <f t="shared" si="32"/>
        <v>11.023757743260804</v>
      </c>
      <c r="T165" s="276">
        <f t="shared" si="32"/>
        <v>11.987788107526974</v>
      </c>
      <c r="U165" s="276">
        <f t="shared" si="32"/>
        <v>12.965269548798318</v>
      </c>
      <c r="V165" s="276">
        <f t="shared" si="32"/>
        <v>13.952591993823747</v>
      </c>
      <c r="W165" s="276">
        <f t="shared" si="32"/>
        <v>14.948076115833189</v>
      </c>
      <c r="X165" s="276">
        <f t="shared" si="32"/>
        <v>15.949208540122832</v>
      </c>
      <c r="Y165" s="276">
        <f>SUM(Y131:Y162)</f>
        <v>20.190034793130454</v>
      </c>
    </row>
  </sheetData>
  <mergeCells count="1">
    <mergeCell ref="B1:S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dimension ref="A1:EA8"/>
  <sheetViews>
    <sheetView workbookViewId="0">
      <selection sqref="A1:EA8"/>
    </sheetView>
  </sheetViews>
  <sheetFormatPr defaultRowHeight="12.75"/>
  <cols>
    <col min="1" max="1" width="27.5703125" customWidth="1"/>
  </cols>
  <sheetData>
    <row r="1" spans="1:131" ht="13.5" thickBot="1">
      <c r="A1" s="179" t="s">
        <v>327</v>
      </c>
      <c r="B1" s="180"/>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81"/>
      <c r="B2" s="182"/>
      <c r="C2" s="183"/>
      <c r="D2" s="183"/>
      <c r="E2" s="183"/>
      <c r="F2" s="183"/>
      <c r="G2" s="183"/>
      <c r="H2" s="183"/>
      <c r="I2" s="183"/>
      <c r="J2" s="183"/>
      <c r="K2" s="183"/>
      <c r="L2" s="183"/>
      <c r="M2" s="183"/>
      <c r="N2" s="183"/>
      <c r="O2" s="112" t="s">
        <v>213</v>
      </c>
      <c r="P2" s="113"/>
      <c r="Q2" s="113"/>
      <c r="R2" s="113"/>
      <c r="S2" s="113"/>
      <c r="T2" s="113"/>
      <c r="U2" s="113"/>
      <c r="V2" s="113"/>
      <c r="W2" s="113"/>
      <c r="X2" s="113"/>
      <c r="Y2" s="113"/>
      <c r="Z2" s="114"/>
      <c r="AA2" s="183"/>
      <c r="AB2" s="112" t="s">
        <v>214</v>
      </c>
      <c r="AC2" s="113"/>
      <c r="AD2" s="113"/>
      <c r="AE2" s="113"/>
      <c r="AF2" s="113"/>
      <c r="AG2" s="113"/>
      <c r="AH2" s="113"/>
      <c r="AI2" s="113"/>
      <c r="AJ2" s="113"/>
      <c r="AK2" s="113"/>
      <c r="AL2" s="113"/>
      <c r="AM2" s="114"/>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204">
      <c r="A3" s="184" t="s">
        <v>328</v>
      </c>
      <c r="B3" s="185" t="s">
        <v>329</v>
      </c>
      <c r="C3" s="186" t="s">
        <v>62</v>
      </c>
      <c r="D3" s="186" t="s">
        <v>330</v>
      </c>
      <c r="E3" s="186" t="s">
        <v>331</v>
      </c>
      <c r="F3" s="186" t="s">
        <v>332</v>
      </c>
      <c r="G3" s="186" t="s">
        <v>333</v>
      </c>
      <c r="H3" s="186" t="s">
        <v>334</v>
      </c>
      <c r="I3" s="186" t="s">
        <v>335</v>
      </c>
      <c r="J3" s="186" t="s">
        <v>336</v>
      </c>
      <c r="K3" s="186" t="s">
        <v>61</v>
      </c>
      <c r="L3" s="186" t="s">
        <v>337</v>
      </c>
      <c r="M3" s="186" t="s">
        <v>338</v>
      </c>
      <c r="N3" s="186" t="s">
        <v>215</v>
      </c>
      <c r="O3" s="186" t="s">
        <v>216</v>
      </c>
      <c r="P3" s="186" t="s">
        <v>217</v>
      </c>
      <c r="Q3" s="186" t="s">
        <v>218</v>
      </c>
      <c r="R3" s="186" t="s">
        <v>219</v>
      </c>
      <c r="S3" s="186" t="s">
        <v>220</v>
      </c>
      <c r="T3" s="186" t="s">
        <v>221</v>
      </c>
      <c r="U3" s="186" t="s">
        <v>222</v>
      </c>
      <c r="V3" s="186" t="s">
        <v>223</v>
      </c>
      <c r="W3" s="186" t="s">
        <v>224</v>
      </c>
      <c r="X3" s="186" t="s">
        <v>225</v>
      </c>
      <c r="Y3" s="186" t="s">
        <v>226</v>
      </c>
      <c r="Z3" s="186" t="s">
        <v>227</v>
      </c>
      <c r="AA3" s="186"/>
      <c r="AB3" s="186" t="s">
        <v>216</v>
      </c>
      <c r="AC3" s="186" t="s">
        <v>217</v>
      </c>
      <c r="AD3" s="186" t="s">
        <v>218</v>
      </c>
      <c r="AE3" s="186" t="s">
        <v>219</v>
      </c>
      <c r="AF3" s="186" t="s">
        <v>220</v>
      </c>
      <c r="AG3" s="186" t="s">
        <v>221</v>
      </c>
      <c r="AH3" s="186" t="s">
        <v>222</v>
      </c>
      <c r="AI3" s="186" t="s">
        <v>223</v>
      </c>
      <c r="AJ3" s="186" t="s">
        <v>224</v>
      </c>
      <c r="AK3" s="186" t="s">
        <v>225</v>
      </c>
      <c r="AL3" s="186" t="s">
        <v>226</v>
      </c>
      <c r="AM3" s="186" t="s">
        <v>227</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577</v>
      </c>
      <c r="B4" s="24"/>
      <c r="C4" s="70">
        <v>64.032340478741247</v>
      </c>
      <c r="D4" s="70">
        <v>52.5</v>
      </c>
      <c r="E4" s="70">
        <v>10.5</v>
      </c>
      <c r="F4" s="70">
        <v>63</v>
      </c>
      <c r="G4" s="70">
        <v>14.800977089279115</v>
      </c>
      <c r="H4" s="70">
        <v>38.441717700212394</v>
      </c>
      <c r="I4" s="70">
        <v>8618.769763432656</v>
      </c>
      <c r="J4" s="70">
        <v>44.76623735042827</v>
      </c>
      <c r="K4" s="70">
        <v>9.8774252761486263</v>
      </c>
      <c r="L4" s="207">
        <v>1.2944392932527953</v>
      </c>
      <c r="M4" s="70">
        <v>0.60831223392747835</v>
      </c>
      <c r="N4" s="70">
        <v>8.0422200304570753E-3</v>
      </c>
      <c r="O4" s="70">
        <v>3.09246927553813</v>
      </c>
      <c r="P4" s="70">
        <v>2.9056976437778266</v>
      </c>
      <c r="Q4" s="70">
        <v>3.2957332561309403</v>
      </c>
      <c r="R4" s="70">
        <v>3.0029033475869373</v>
      </c>
      <c r="S4" s="70">
        <v>3.0799742419898797</v>
      </c>
      <c r="T4" s="70">
        <v>3.0701582382623864</v>
      </c>
      <c r="U4" s="70">
        <v>2.9396680233656092</v>
      </c>
      <c r="V4" s="70">
        <v>3.3534181436277097</v>
      </c>
      <c r="W4" s="70">
        <v>2.8883418495953119</v>
      </c>
      <c r="X4" s="70">
        <v>3.2814493551353769</v>
      </c>
      <c r="Y4" s="70">
        <v>2.8358199617483346</v>
      </c>
      <c r="Z4" s="70">
        <v>2.887359643235345</v>
      </c>
      <c r="AA4" s="70"/>
      <c r="AB4" s="70">
        <v>2.4896664255251126</v>
      </c>
      <c r="AC4" s="70">
        <v>2.2394662630637949</v>
      </c>
      <c r="AD4" s="70">
        <v>2.2273977650955072</v>
      </c>
      <c r="AE4" s="70">
        <v>2.2382061830998783</v>
      </c>
      <c r="AF4" s="70">
        <v>2.2671197682381119</v>
      </c>
      <c r="AG4" s="70">
        <v>2.1016925809952558</v>
      </c>
      <c r="AH4" s="70">
        <v>2.3629687544481022</v>
      </c>
      <c r="AI4" s="70">
        <v>2.2519036163149622</v>
      </c>
      <c r="AJ4" s="70">
        <v>2.3551434299984124</v>
      </c>
      <c r="AK4" s="70">
        <v>2.2093623685352228</v>
      </c>
      <c r="AL4" s="70">
        <v>2.3236473942269944</v>
      </c>
      <c r="AM4" s="45">
        <v>2.3327729492060971</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621</v>
      </c>
      <c r="B5" s="24"/>
      <c r="C5" s="70">
        <v>64.032340478741247</v>
      </c>
      <c r="D5" s="70">
        <v>52.5</v>
      </c>
      <c r="E5" s="70">
        <v>10.5</v>
      </c>
      <c r="F5" s="70">
        <v>63</v>
      </c>
      <c r="G5" s="70">
        <v>14.800977089279115</v>
      </c>
      <c r="H5" s="70">
        <v>38.441717700212394</v>
      </c>
      <c r="I5" s="70">
        <v>8618.769763432656</v>
      </c>
      <c r="J5" s="70">
        <v>44.76623735042827</v>
      </c>
      <c r="K5" s="70">
        <v>9.8774252761486263</v>
      </c>
      <c r="L5" s="207">
        <v>1.2944392932527953</v>
      </c>
      <c r="M5" s="70">
        <v>0.60831223392747835</v>
      </c>
      <c r="N5" s="70">
        <v>8.0422200304570753E-3</v>
      </c>
      <c r="O5" s="70">
        <v>3.09246927553813</v>
      </c>
      <c r="P5" s="70">
        <v>2.9056976437778266</v>
      </c>
      <c r="Q5" s="70">
        <v>3.2957332561309403</v>
      </c>
      <c r="R5" s="70">
        <v>3.0029033475869373</v>
      </c>
      <c r="S5" s="70">
        <v>3.0799742419898797</v>
      </c>
      <c r="T5" s="70">
        <v>3.0701582382623864</v>
      </c>
      <c r="U5" s="70">
        <v>2.9396680233656092</v>
      </c>
      <c r="V5" s="70">
        <v>3.3534181436277097</v>
      </c>
      <c r="W5" s="70">
        <v>2.8883418495953119</v>
      </c>
      <c r="X5" s="70">
        <v>3.2814493551353769</v>
      </c>
      <c r="Y5" s="70">
        <v>2.8358199617483346</v>
      </c>
      <c r="Z5" s="70">
        <v>2.887359643235345</v>
      </c>
      <c r="AA5" s="70"/>
      <c r="AB5" s="70">
        <v>2.4896664255251126</v>
      </c>
      <c r="AC5" s="70">
        <v>2.2394662630637949</v>
      </c>
      <c r="AD5" s="70">
        <v>2.2273977650955072</v>
      </c>
      <c r="AE5" s="70">
        <v>2.2382061830998783</v>
      </c>
      <c r="AF5" s="70">
        <v>2.2671197682381119</v>
      </c>
      <c r="AG5" s="70">
        <v>2.1016925809952558</v>
      </c>
      <c r="AH5" s="70">
        <v>2.3629687544481022</v>
      </c>
      <c r="AI5" s="70">
        <v>2.2519036163149622</v>
      </c>
      <c r="AJ5" s="70">
        <v>2.3551434299984124</v>
      </c>
      <c r="AK5" s="70">
        <v>2.2093623685352228</v>
      </c>
      <c r="AL5" s="70">
        <v>2.3236473942269944</v>
      </c>
      <c r="AM5" s="45">
        <v>2.3327729492060971</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t="s">
        <v>578</v>
      </c>
      <c r="B6" s="24"/>
      <c r="C6" s="70">
        <v>31.912740614515091</v>
      </c>
      <c r="D6" s="70">
        <v>52.5</v>
      </c>
      <c r="E6" s="70">
        <v>10.5</v>
      </c>
      <c r="F6" s="70">
        <v>63</v>
      </c>
      <c r="G6" s="70">
        <v>14.800977089279115</v>
      </c>
      <c r="H6" s="70">
        <v>19.158765032969303</v>
      </c>
      <c r="I6" s="70">
        <v>17293.406626097938</v>
      </c>
      <c r="J6" s="70">
        <v>96.999756466456148</v>
      </c>
      <c r="K6" s="70">
        <v>26.995982092312257</v>
      </c>
      <c r="L6" s="207">
        <v>1.0542751186776393</v>
      </c>
      <c r="M6" s="70">
        <v>0.30317352745225556</v>
      </c>
      <c r="N6" s="70">
        <v>4.008119645135289E-3</v>
      </c>
      <c r="O6" s="70">
        <v>1.5412394597909562</v>
      </c>
      <c r="P6" s="70">
        <v>1.4481553308343529</v>
      </c>
      <c r="Q6" s="70">
        <v>1.6425431235401484</v>
      </c>
      <c r="R6" s="70">
        <v>1.4966011691204208</v>
      </c>
      <c r="S6" s="70">
        <v>1.5350121258904039</v>
      </c>
      <c r="T6" s="70">
        <v>1.5301199795392864</v>
      </c>
      <c r="U6" s="70">
        <v>1.4650856492368396</v>
      </c>
      <c r="V6" s="70">
        <v>1.6712923905245882</v>
      </c>
      <c r="W6" s="70">
        <v>1.4395054680655637</v>
      </c>
      <c r="X6" s="70">
        <v>1.6354242454228296</v>
      </c>
      <c r="Y6" s="70">
        <v>1.4133293612590083</v>
      </c>
      <c r="Z6" s="70">
        <v>1.4390159514156771</v>
      </c>
      <c r="AA6" s="70"/>
      <c r="AB6" s="70">
        <v>1.2408117251442339</v>
      </c>
      <c r="AC6" s="70">
        <v>1.1161157851451571</v>
      </c>
      <c r="AD6" s="70">
        <v>1.1101010300637519</v>
      </c>
      <c r="AE6" s="70">
        <v>1.115487780534653</v>
      </c>
      <c r="AF6" s="70">
        <v>1.1298978698091264</v>
      </c>
      <c r="AG6" s="70">
        <v>1.0474514860349335</v>
      </c>
      <c r="AH6" s="70">
        <v>1.1776675407631216</v>
      </c>
      <c r="AI6" s="70">
        <v>1.1223143720665172</v>
      </c>
      <c r="AJ6" s="70">
        <v>1.1737675185630854</v>
      </c>
      <c r="AK6" s="70">
        <v>1.1011124638485383</v>
      </c>
      <c r="AL6" s="70">
        <v>1.1580703753313391</v>
      </c>
      <c r="AM6" s="45">
        <v>1.162618412570557</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row r="7" spans="1:131">
      <c r="A7" s="24" t="s">
        <v>622</v>
      </c>
      <c r="B7" s="24"/>
      <c r="C7" s="70">
        <v>31.912740614515091</v>
      </c>
      <c r="D7" s="70">
        <v>52.5</v>
      </c>
      <c r="E7" s="70">
        <v>10.5</v>
      </c>
      <c r="F7" s="70">
        <v>63</v>
      </c>
      <c r="G7" s="70">
        <v>14.800977089279115</v>
      </c>
      <c r="H7" s="70">
        <v>19.158765032969303</v>
      </c>
      <c r="I7" s="70">
        <v>17293.406626097938</v>
      </c>
      <c r="J7" s="70">
        <v>96.999756466456148</v>
      </c>
      <c r="K7" s="70">
        <v>26.995982092312257</v>
      </c>
      <c r="L7" s="207">
        <v>1.0542751186776393</v>
      </c>
      <c r="M7" s="70">
        <v>0.30317352745225556</v>
      </c>
      <c r="N7" s="70">
        <v>4.008119645135289E-3</v>
      </c>
      <c r="O7" s="70">
        <v>1.5412394597909562</v>
      </c>
      <c r="P7" s="70">
        <v>1.4481553308343529</v>
      </c>
      <c r="Q7" s="70">
        <v>1.6425431235401484</v>
      </c>
      <c r="R7" s="70">
        <v>1.4966011691204208</v>
      </c>
      <c r="S7" s="70">
        <v>1.5350121258904039</v>
      </c>
      <c r="T7" s="70">
        <v>1.5301199795392864</v>
      </c>
      <c r="U7" s="70">
        <v>1.4650856492368396</v>
      </c>
      <c r="V7" s="70">
        <v>1.6712923905245882</v>
      </c>
      <c r="W7" s="70">
        <v>1.4395054680655637</v>
      </c>
      <c r="X7" s="70">
        <v>1.6354242454228296</v>
      </c>
      <c r="Y7" s="70">
        <v>1.4133293612590083</v>
      </c>
      <c r="Z7" s="70">
        <v>1.4390159514156771</v>
      </c>
      <c r="AA7" s="70"/>
      <c r="AB7" s="70">
        <v>1.2408117251442339</v>
      </c>
      <c r="AC7" s="70">
        <v>1.1161157851451571</v>
      </c>
      <c r="AD7" s="70">
        <v>1.1101010300637519</v>
      </c>
      <c r="AE7" s="70">
        <v>1.115487780534653</v>
      </c>
      <c r="AF7" s="70">
        <v>1.1298978698091264</v>
      </c>
      <c r="AG7" s="70">
        <v>1.0474514860349335</v>
      </c>
      <c r="AH7" s="70">
        <v>1.1776675407631216</v>
      </c>
      <c r="AI7" s="70">
        <v>1.1223143720665172</v>
      </c>
      <c r="AJ7" s="70">
        <v>1.1737675185630854</v>
      </c>
      <c r="AK7" s="70">
        <v>1.1011124638485383</v>
      </c>
      <c r="AL7" s="70">
        <v>1.1580703753313391</v>
      </c>
      <c r="AM7" s="45">
        <v>1.162618412570557</v>
      </c>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row>
    <row r="8" spans="1:131">
      <c r="A8" s="24"/>
      <c r="B8" s="24"/>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4"/>
  <dimension ref="A1:EA92"/>
  <sheetViews>
    <sheetView topLeftCell="A46" workbookViewId="0">
      <selection activeCell="A14" sqref="A14:EA92"/>
    </sheetView>
  </sheetViews>
  <sheetFormatPr defaultRowHeight="12.75"/>
  <cols>
    <col min="1" max="1" width="53.855468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15" t="s">
        <v>14</v>
      </c>
      <c r="B1" s="16"/>
      <c r="C1" s="16"/>
      <c r="D1" s="16"/>
      <c r="E1" s="16"/>
      <c r="F1" s="16"/>
      <c r="G1" s="16"/>
      <c r="H1" s="17"/>
      <c r="I1" s="18"/>
      <c r="J1" s="18"/>
      <c r="K1" s="18"/>
      <c r="L1" s="18"/>
      <c r="M1" s="18"/>
      <c r="N1" s="19"/>
      <c r="O1" s="20" t="e">
        <v>#REF!</v>
      </c>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31">
      <c r="A2" s="23" t="s">
        <v>15</v>
      </c>
      <c r="B2" s="17" t="str">
        <f>'7PSourceSummary'!D2</f>
        <v>LEC Exit Sign</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31">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31">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31">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31">
      <c r="A6" s="29" t="s">
        <v>17</v>
      </c>
      <c r="B6" s="30"/>
      <c r="C6" s="30"/>
      <c r="D6" s="30"/>
      <c r="E6" s="30"/>
      <c r="F6" s="30"/>
      <c r="G6" s="31"/>
      <c r="H6" s="32"/>
      <c r="I6" s="240" t="s">
        <v>18</v>
      </c>
      <c r="J6" s="241"/>
      <c r="K6" s="241"/>
      <c r="L6" s="241"/>
      <c r="M6" s="241"/>
      <c r="N6" s="242"/>
      <c r="O6" s="243" t="s">
        <v>19</v>
      </c>
      <c r="P6" s="244"/>
      <c r="Q6" s="33" t="s">
        <v>20</v>
      </c>
      <c r="R6" s="245" t="s">
        <v>21</v>
      </c>
      <c r="S6" s="245"/>
      <c r="T6" s="245"/>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31"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38"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31">
      <c r="A8" s="45" t="str">
        <f>MMap!B11</f>
        <v>LEC Exit Sign-Double-New</v>
      </c>
      <c r="B8" s="45" t="str">
        <f>MMap!C11</f>
        <v>LEC Exit Sign-Double-New</v>
      </c>
      <c r="C8" s="246">
        <f>MMap!H11</f>
        <v>59.655600000000007</v>
      </c>
      <c r="D8" s="46">
        <f>MMap!J11</f>
        <v>15</v>
      </c>
      <c r="E8" s="47">
        <f>MMap!I11</f>
        <v>52.5</v>
      </c>
      <c r="F8" s="47"/>
      <c r="G8" s="48" t="str">
        <f>MMap!K11</f>
        <v>Total Industrial-Total Industrial</v>
      </c>
      <c r="H8" s="46"/>
      <c r="I8" s="178">
        <f>MMap!L11</f>
        <v>40</v>
      </c>
      <c r="J8" s="246">
        <f>MMap!M11</f>
        <v>8</v>
      </c>
      <c r="K8" s="178">
        <f>MMap!N11</f>
        <v>-65</v>
      </c>
      <c r="L8" s="246">
        <f>MMap!O11</f>
        <v>5</v>
      </c>
      <c r="M8" s="46"/>
      <c r="N8" s="46"/>
      <c r="O8" s="24"/>
      <c r="P8" s="120"/>
      <c r="Q8" s="49"/>
      <c r="R8" s="46"/>
      <c r="S8" s="46"/>
      <c r="T8" s="46"/>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31">
      <c r="A9" s="45" t="str">
        <f>MMap!B12</f>
        <v>LEC Exit Sign-Single-New</v>
      </c>
      <c r="B9" s="45" t="str">
        <f>MMap!C12</f>
        <v>LEC Exit Sign-Single-New</v>
      </c>
      <c r="C9" s="246">
        <f>MMap!H12</f>
        <v>29.731440000000003</v>
      </c>
      <c r="D9" s="46">
        <f>MMap!J12</f>
        <v>15</v>
      </c>
      <c r="E9" s="47">
        <f>MMap!I12</f>
        <v>52.5</v>
      </c>
      <c r="F9" s="47"/>
      <c r="G9" s="48" t="str">
        <f>MMap!K12</f>
        <v>Total Industrial-Total Industrial</v>
      </c>
      <c r="H9" s="46"/>
      <c r="I9" s="178">
        <f>MMap!L12</f>
        <v>40</v>
      </c>
      <c r="J9" s="246">
        <f>MMap!M12</f>
        <v>8</v>
      </c>
      <c r="K9" s="178">
        <f>MMap!N12</f>
        <v>-65</v>
      </c>
      <c r="L9" s="246">
        <f>MMap!O12</f>
        <v>5</v>
      </c>
      <c r="M9" s="46"/>
      <c r="N9" s="46"/>
      <c r="O9" s="24"/>
      <c r="P9" s="120"/>
      <c r="Q9" s="49"/>
      <c r="R9" s="46"/>
      <c r="S9" s="46"/>
      <c r="T9" s="46"/>
      <c r="U9" s="44"/>
      <c r="V9" s="44"/>
      <c r="W9" s="44"/>
      <c r="X9" s="44"/>
      <c r="Y9" s="44"/>
      <c r="Z9" s="44"/>
      <c r="AA9" s="44"/>
      <c r="AB9" s="44"/>
      <c r="AC9" s="44"/>
      <c r="AD9" s="44"/>
      <c r="AE9" s="37"/>
      <c r="AF9" s="37"/>
      <c r="AG9" s="37"/>
      <c r="AH9" s="37"/>
      <c r="AI9" s="37"/>
      <c r="AJ9" s="37"/>
      <c r="AK9" s="37"/>
      <c r="AL9" s="37"/>
      <c r="AM9" s="37"/>
      <c r="AN9" s="37"/>
      <c r="AO9" s="37"/>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row>
    <row r="10" spans="1:131">
      <c r="A10" s="45" t="str">
        <f>MMap!B13</f>
        <v>LEC Exit Sign-Double-NR</v>
      </c>
      <c r="B10" s="45" t="str">
        <f>MMap!C13</f>
        <v>LEC Exit Sign-Double-NR</v>
      </c>
      <c r="C10" s="246">
        <f>MMap!H13</f>
        <v>59.655600000000007</v>
      </c>
      <c r="D10" s="46">
        <f>MMap!J13</f>
        <v>15</v>
      </c>
      <c r="E10" s="47">
        <f>MMap!I13</f>
        <v>52.5</v>
      </c>
      <c r="F10" s="47"/>
      <c r="G10" s="48" t="str">
        <f>MMap!K13</f>
        <v>Total Industrial-Total Industrial</v>
      </c>
      <c r="H10" s="46"/>
      <c r="I10" s="178">
        <f>MMap!L13</f>
        <v>40</v>
      </c>
      <c r="J10" s="246">
        <f>MMap!M13</f>
        <v>8</v>
      </c>
      <c r="K10" s="178">
        <f>MMap!N13</f>
        <v>-65</v>
      </c>
      <c r="L10" s="246">
        <f>MMap!O13</f>
        <v>5</v>
      </c>
      <c r="M10" s="46"/>
      <c r="N10" s="46"/>
      <c r="O10" s="24"/>
      <c r="P10" s="120"/>
      <c r="Q10" s="49"/>
      <c r="R10" s="46"/>
      <c r="S10" s="46"/>
      <c r="T10" s="46"/>
      <c r="U10" s="44"/>
      <c r="V10" s="44"/>
      <c r="W10" s="44"/>
      <c r="X10" s="44"/>
      <c r="Y10" s="44"/>
      <c r="Z10" s="44"/>
      <c r="AA10" s="44"/>
      <c r="AB10" s="44"/>
      <c r="AC10" s="44"/>
      <c r="AD10" s="44"/>
      <c r="AE10" s="37"/>
      <c r="AF10" s="37"/>
      <c r="AG10" s="37"/>
      <c r="AH10" s="37"/>
      <c r="AI10" s="37"/>
      <c r="AJ10" s="37"/>
      <c r="AK10" s="37"/>
      <c r="AL10" s="37"/>
      <c r="AM10" s="37"/>
      <c r="AN10" s="37"/>
      <c r="AO10" s="37"/>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row>
    <row r="11" spans="1:131">
      <c r="A11" s="45" t="str">
        <f>MMap!B14</f>
        <v>LEC Exit Sign-Single-NR</v>
      </c>
      <c r="B11" s="45" t="str">
        <f>MMap!C14</f>
        <v>LEC Exit Sign-Single-NR</v>
      </c>
      <c r="C11" s="246">
        <f>MMap!H14</f>
        <v>29.731440000000003</v>
      </c>
      <c r="D11" s="46">
        <f>MMap!J14</f>
        <v>15</v>
      </c>
      <c r="E11" s="47">
        <f>MMap!I14</f>
        <v>52.5</v>
      </c>
      <c r="F11" s="47"/>
      <c r="G11" s="48" t="str">
        <f>MMap!K14</f>
        <v>Total Industrial-Total Industrial</v>
      </c>
      <c r="H11" s="46"/>
      <c r="I11" s="178">
        <f>MMap!L14</f>
        <v>40</v>
      </c>
      <c r="J11" s="246">
        <f>MMap!M14</f>
        <v>8</v>
      </c>
      <c r="K11" s="178">
        <f>MMap!N14</f>
        <v>-65</v>
      </c>
      <c r="L11" s="246">
        <f>MMap!O14</f>
        <v>5</v>
      </c>
      <c r="M11" s="46"/>
      <c r="N11" s="46"/>
      <c r="O11" s="24"/>
      <c r="P11" s="120"/>
      <c r="Q11" s="49"/>
      <c r="R11" s="46"/>
      <c r="S11" s="46"/>
      <c r="T11" s="46"/>
      <c r="U11" s="44"/>
      <c r="V11" s="44"/>
      <c r="W11" s="44"/>
      <c r="X11" s="44"/>
      <c r="Y11" s="44"/>
      <c r="Z11" s="44"/>
      <c r="AA11" s="44"/>
      <c r="AB11" s="44"/>
      <c r="AC11" s="44"/>
      <c r="AD11" s="44"/>
      <c r="AE11" s="37"/>
      <c r="AF11" s="37"/>
      <c r="AG11" s="37"/>
      <c r="AH11" s="37"/>
      <c r="AI11" s="37"/>
      <c r="AJ11" s="37"/>
      <c r="AK11" s="37"/>
      <c r="AL11" s="37"/>
      <c r="AM11" s="37"/>
      <c r="AN11" s="37"/>
      <c r="AO11" s="37"/>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row>
    <row r="14" spans="1:131">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188" t="s">
        <v>339</v>
      </c>
      <c r="B15" s="189"/>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t="s">
        <v>340</v>
      </c>
      <c r="B16" s="24" t="s">
        <v>341</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c r="A17" s="24" t="s">
        <v>342</v>
      </c>
      <c r="B17" s="24" t="s">
        <v>630</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ht="13.5" thickBot="1">
      <c r="A19" s="179" t="s">
        <v>343</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80"/>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c r="B20" s="191" t="s">
        <v>344</v>
      </c>
      <c r="C20" s="192"/>
      <c r="D20" s="192" t="s">
        <v>344</v>
      </c>
      <c r="E20" s="193"/>
      <c r="F20" s="24"/>
      <c r="G20" s="191" t="s">
        <v>345</v>
      </c>
      <c r="H20" s="192"/>
      <c r="I20" s="192"/>
      <c r="J20" s="192"/>
      <c r="K20" s="192"/>
      <c r="L20" s="192"/>
      <c r="M20" s="192"/>
      <c r="N20" s="192"/>
      <c r="O20" s="193"/>
      <c r="P20" s="24"/>
      <c r="Q20" s="191" t="s">
        <v>346</v>
      </c>
      <c r="R20" s="192"/>
      <c r="S20" s="192"/>
      <c r="T20" s="192"/>
      <c r="U20" s="193"/>
      <c r="V20" s="24"/>
      <c r="W20" s="191" t="s">
        <v>347</v>
      </c>
      <c r="X20" s="193"/>
      <c r="Y20" s="24"/>
      <c r="Z20" s="191" t="s">
        <v>348</v>
      </c>
      <c r="AA20" s="192"/>
      <c r="AB20" s="193"/>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c r="B21" s="194" t="s">
        <v>349</v>
      </c>
      <c r="C21" s="195" t="s">
        <v>350</v>
      </c>
      <c r="D21" s="195" t="s">
        <v>349</v>
      </c>
      <c r="E21" s="196" t="s">
        <v>350</v>
      </c>
      <c r="F21" s="24"/>
      <c r="G21" s="194" t="s">
        <v>351</v>
      </c>
      <c r="H21" s="195" t="s">
        <v>352</v>
      </c>
      <c r="I21" s="195"/>
      <c r="J21" s="195"/>
      <c r="K21" s="195" t="s">
        <v>353</v>
      </c>
      <c r="L21" s="195"/>
      <c r="M21" s="195"/>
      <c r="N21" s="195"/>
      <c r="O21" s="196"/>
      <c r="P21" s="24"/>
      <c r="Q21" s="194"/>
      <c r="R21" s="195" t="s">
        <v>354</v>
      </c>
      <c r="S21" s="195" t="s">
        <v>355</v>
      </c>
      <c r="T21" s="195" t="s">
        <v>356</v>
      </c>
      <c r="U21" s="196" t="s">
        <v>357</v>
      </c>
      <c r="V21" s="24"/>
      <c r="W21" s="194" t="s">
        <v>358</v>
      </c>
      <c r="X21" s="196">
        <v>20</v>
      </c>
      <c r="Y21" s="24"/>
      <c r="Z21" s="194"/>
      <c r="AA21" s="195" t="s">
        <v>350</v>
      </c>
      <c r="AB21" s="196" t="s">
        <v>359</v>
      </c>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c r="A22" s="24"/>
      <c r="B22" s="194" t="s">
        <v>360</v>
      </c>
      <c r="C22" s="195" t="s">
        <v>361</v>
      </c>
      <c r="D22" s="195" t="s">
        <v>360</v>
      </c>
      <c r="E22" s="196" t="s">
        <v>361</v>
      </c>
      <c r="F22" s="24"/>
      <c r="G22" s="194" t="s">
        <v>362</v>
      </c>
      <c r="H22" s="195" t="s">
        <v>363</v>
      </c>
      <c r="I22" s="195"/>
      <c r="J22" s="195"/>
      <c r="K22" s="195" t="s">
        <v>364</v>
      </c>
      <c r="L22" s="195"/>
      <c r="M22" s="195"/>
      <c r="N22" s="195"/>
      <c r="O22" s="196"/>
      <c r="P22" s="24"/>
      <c r="Q22" s="194" t="s">
        <v>365</v>
      </c>
      <c r="R22" s="195">
        <v>6.8012888465852586E-2</v>
      </c>
      <c r="S22" s="195">
        <v>4.387844424080023E-2</v>
      </c>
      <c r="T22" s="195">
        <v>5.3289007766645871E-2</v>
      </c>
      <c r="U22" s="196">
        <v>5.447903102274565E-2</v>
      </c>
      <c r="V22" s="24"/>
      <c r="W22" s="194" t="s">
        <v>366</v>
      </c>
      <c r="X22" s="196">
        <v>2016</v>
      </c>
      <c r="Y22" s="24"/>
      <c r="Z22" s="194" t="s">
        <v>367</v>
      </c>
      <c r="AA22" s="195">
        <v>4.03890184699085E-3</v>
      </c>
      <c r="AB22" s="196">
        <v>0.01</v>
      </c>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c r="B23" s="194" t="s">
        <v>368</v>
      </c>
      <c r="C23" s="195" t="s">
        <v>369</v>
      </c>
      <c r="D23" s="195" t="s">
        <v>368</v>
      </c>
      <c r="E23" s="196" t="s">
        <v>369</v>
      </c>
      <c r="F23" s="24"/>
      <c r="G23" s="194" t="s">
        <v>370</v>
      </c>
      <c r="H23" s="195" t="s">
        <v>371</v>
      </c>
      <c r="I23" s="195"/>
      <c r="J23" s="195"/>
      <c r="K23" s="195" t="s">
        <v>372</v>
      </c>
      <c r="L23" s="195"/>
      <c r="M23" s="195"/>
      <c r="N23" s="195"/>
      <c r="O23" s="196"/>
      <c r="P23" s="24"/>
      <c r="Q23" s="194" t="s">
        <v>373</v>
      </c>
      <c r="R23" s="195">
        <v>12</v>
      </c>
      <c r="S23" s="195">
        <v>12</v>
      </c>
      <c r="T23" s="195">
        <v>1</v>
      </c>
      <c r="U23" s="196">
        <v>1</v>
      </c>
      <c r="V23" s="24"/>
      <c r="W23" s="194" t="s">
        <v>374</v>
      </c>
      <c r="X23" s="196">
        <v>2016</v>
      </c>
      <c r="Y23" s="24"/>
      <c r="Z23" s="194" t="s">
        <v>375</v>
      </c>
      <c r="AA23" s="195">
        <v>26</v>
      </c>
      <c r="AB23" s="196">
        <v>0</v>
      </c>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ht="13.5" thickBot="1">
      <c r="A24" s="24"/>
      <c r="B24" s="197" t="s">
        <v>376</v>
      </c>
      <c r="C24" s="198" t="s">
        <v>369</v>
      </c>
      <c r="D24" s="198" t="s">
        <v>376</v>
      </c>
      <c r="E24" s="199" t="s">
        <v>369</v>
      </c>
      <c r="F24" s="24"/>
      <c r="G24" s="194" t="s">
        <v>377</v>
      </c>
      <c r="H24" s="195" t="s">
        <v>378</v>
      </c>
      <c r="I24" s="195"/>
      <c r="J24" s="195"/>
      <c r="K24" s="195" t="s">
        <v>364</v>
      </c>
      <c r="L24" s="195"/>
      <c r="M24" s="195"/>
      <c r="N24" s="195"/>
      <c r="O24" s="196"/>
      <c r="P24" s="24"/>
      <c r="Q24" s="194"/>
      <c r="R24" s="195" t="s">
        <v>354</v>
      </c>
      <c r="S24" s="195" t="s">
        <v>355</v>
      </c>
      <c r="T24" s="195" t="s">
        <v>356</v>
      </c>
      <c r="U24" s="196" t="s">
        <v>357</v>
      </c>
      <c r="V24" s="24"/>
      <c r="W24" s="194" t="s">
        <v>379</v>
      </c>
      <c r="X24" s="196">
        <v>2012</v>
      </c>
      <c r="Y24" s="24"/>
      <c r="Z24" s="194" t="s">
        <v>380</v>
      </c>
      <c r="AA24" s="195">
        <v>0.9</v>
      </c>
      <c r="AB24" s="196" t="s">
        <v>381</v>
      </c>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c r="B25" s="24"/>
      <c r="C25" s="24"/>
      <c r="D25" s="24"/>
      <c r="E25" s="24"/>
      <c r="F25" s="24"/>
      <c r="G25" s="194" t="s">
        <v>382</v>
      </c>
      <c r="H25" s="195" t="s">
        <v>371</v>
      </c>
      <c r="I25" s="195"/>
      <c r="J25" s="195"/>
      <c r="K25" s="195"/>
      <c r="L25" s="195"/>
      <c r="M25" s="195"/>
      <c r="N25" s="195"/>
      <c r="O25" s="196"/>
      <c r="P25" s="24"/>
      <c r="Q25" s="194" t="s">
        <v>383</v>
      </c>
      <c r="R25" s="195">
        <v>0.35</v>
      </c>
      <c r="S25" s="195">
        <v>0.19500000000000001</v>
      </c>
      <c r="T25" s="195">
        <v>0.45499999999999996</v>
      </c>
      <c r="U25" s="196">
        <v>0</v>
      </c>
      <c r="V25" s="24"/>
      <c r="W25" s="194" t="s">
        <v>384</v>
      </c>
      <c r="X25" s="196">
        <v>0.04</v>
      </c>
      <c r="Y25" s="24"/>
      <c r="Z25" s="194" t="s">
        <v>385</v>
      </c>
      <c r="AA25" s="195">
        <v>4.7399348199455904E-2</v>
      </c>
      <c r="AB25" s="196">
        <v>0</v>
      </c>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c r="B26" s="24" t="s">
        <v>386</v>
      </c>
      <c r="C26" s="24" t="s">
        <v>350</v>
      </c>
      <c r="D26" s="24"/>
      <c r="E26" s="24"/>
      <c r="F26" s="24"/>
      <c r="G26" s="194" t="s">
        <v>387</v>
      </c>
      <c r="H26" s="195" t="s">
        <v>388</v>
      </c>
      <c r="I26" s="195"/>
      <c r="J26" s="195"/>
      <c r="K26" s="195" t="s">
        <v>389</v>
      </c>
      <c r="L26" s="195"/>
      <c r="M26" s="195"/>
      <c r="N26" s="195"/>
      <c r="O26" s="196"/>
      <c r="P26" s="24"/>
      <c r="Q26" s="194" t="s">
        <v>390</v>
      </c>
      <c r="R26" s="195">
        <v>1</v>
      </c>
      <c r="S26" s="195">
        <v>0</v>
      </c>
      <c r="T26" s="195">
        <v>0</v>
      </c>
      <c r="U26" s="196">
        <v>0</v>
      </c>
      <c r="V26" s="24"/>
      <c r="W26" s="194" t="s">
        <v>391</v>
      </c>
      <c r="X26" s="196">
        <v>0</v>
      </c>
      <c r="Y26" s="24"/>
      <c r="Z26" s="194" t="s">
        <v>392</v>
      </c>
      <c r="AA26" s="195">
        <v>31</v>
      </c>
      <c r="AB26" s="196">
        <v>0</v>
      </c>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c r="A27" s="24"/>
      <c r="B27" s="24" t="s">
        <v>393</v>
      </c>
      <c r="C27" s="24" t="s">
        <v>394</v>
      </c>
      <c r="D27" s="24"/>
      <c r="E27" s="24"/>
      <c r="F27" s="24"/>
      <c r="G27" s="194" t="s">
        <v>395</v>
      </c>
      <c r="H27" s="195" t="s">
        <v>389</v>
      </c>
      <c r="I27" s="195"/>
      <c r="J27" s="195"/>
      <c r="K27" s="195" t="s">
        <v>396</v>
      </c>
      <c r="L27" s="195"/>
      <c r="M27" s="195"/>
      <c r="N27" s="195"/>
      <c r="O27" s="196"/>
      <c r="P27" s="24"/>
      <c r="Q27" s="194" t="s">
        <v>397</v>
      </c>
      <c r="R27" s="195">
        <v>1</v>
      </c>
      <c r="S27" s="195">
        <v>0</v>
      </c>
      <c r="T27" s="195">
        <v>0</v>
      </c>
      <c r="U27" s="196">
        <v>0</v>
      </c>
      <c r="V27" s="24"/>
      <c r="W27" s="194" t="s">
        <v>398</v>
      </c>
      <c r="X27" s="196">
        <v>0.2</v>
      </c>
      <c r="Y27" s="24"/>
      <c r="Z27" s="194" t="s">
        <v>399</v>
      </c>
      <c r="AA27" s="195">
        <v>0.7</v>
      </c>
      <c r="AB27" s="196" t="s">
        <v>381</v>
      </c>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t="s">
        <v>400</v>
      </c>
      <c r="C28" s="24" t="s">
        <v>401</v>
      </c>
      <c r="D28" s="24"/>
      <c r="E28" s="24"/>
      <c r="F28" s="24"/>
      <c r="G28" s="194" t="s">
        <v>402</v>
      </c>
      <c r="H28" s="195" t="s">
        <v>396</v>
      </c>
      <c r="I28" s="195"/>
      <c r="J28" s="195"/>
      <c r="K28" s="195" t="s">
        <v>403</v>
      </c>
      <c r="L28" s="195"/>
      <c r="M28" s="195"/>
      <c r="N28" s="195"/>
      <c r="O28" s="196"/>
      <c r="P28" s="24"/>
      <c r="Q28" s="194" t="s">
        <v>404</v>
      </c>
      <c r="R28" s="195"/>
      <c r="S28" s="195">
        <v>0.3</v>
      </c>
      <c r="T28" s="195">
        <v>0.7</v>
      </c>
      <c r="U28" s="196">
        <v>0</v>
      </c>
      <c r="V28" s="24"/>
      <c r="W28" s="194" t="s">
        <v>405</v>
      </c>
      <c r="X28" s="196">
        <v>0</v>
      </c>
      <c r="Y28" s="24"/>
      <c r="Z28" s="194" t="s">
        <v>406</v>
      </c>
      <c r="AA28" s="195">
        <v>0</v>
      </c>
      <c r="AB28" s="196">
        <v>0</v>
      </c>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row r="29" spans="1:131" ht="13.5" thickBot="1">
      <c r="A29" s="24"/>
      <c r="B29" s="24" t="s">
        <v>407</v>
      </c>
      <c r="C29" s="24" t="s">
        <v>408</v>
      </c>
      <c r="D29" s="24"/>
      <c r="E29" s="24"/>
      <c r="F29" s="24"/>
      <c r="G29" s="197" t="s">
        <v>409</v>
      </c>
      <c r="H29" s="198" t="s">
        <v>403</v>
      </c>
      <c r="I29" s="198"/>
      <c r="J29" s="198"/>
      <c r="K29" s="198"/>
      <c r="L29" s="198"/>
      <c r="M29" s="198"/>
      <c r="N29" s="198"/>
      <c r="O29" s="199"/>
      <c r="P29" s="24"/>
      <c r="Q29" s="197" t="s">
        <v>410</v>
      </c>
      <c r="R29" s="198"/>
      <c r="S29" s="198">
        <v>20</v>
      </c>
      <c r="T29" s="198"/>
      <c r="U29" s="199"/>
      <c r="V29" s="24"/>
      <c r="W29" s="197" t="s">
        <v>411</v>
      </c>
      <c r="X29" s="199">
        <v>2018</v>
      </c>
      <c r="Y29" s="24"/>
      <c r="Z29" s="197" t="s">
        <v>412</v>
      </c>
      <c r="AA29" s="198">
        <v>0</v>
      </c>
      <c r="AB29" s="199">
        <v>0</v>
      </c>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row>
    <row r="30" spans="1:13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row>
    <row r="31" spans="1:1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row>
    <row r="32" spans="1:13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row>
    <row r="33" spans="1:13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ht="13.5" thickBot="1">
      <c r="A37" s="179" t="s">
        <v>413</v>
      </c>
      <c r="B37" s="180"/>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ht="26.25" thickBot="1">
      <c r="A38" s="200" t="s">
        <v>414</v>
      </c>
      <c r="B38" s="201"/>
      <c r="C38" s="202" t="s">
        <v>415</v>
      </c>
      <c r="D38" s="203"/>
      <c r="E38" s="203"/>
      <c r="F38" s="203"/>
      <c r="G38" s="203"/>
      <c r="H38" s="203"/>
      <c r="I38" s="203"/>
      <c r="J38" s="203"/>
      <c r="K38" s="204"/>
      <c r="L38" s="202" t="s">
        <v>416</v>
      </c>
      <c r="M38" s="203"/>
      <c r="N38" s="203"/>
      <c r="O38" s="203"/>
      <c r="P38" s="203"/>
      <c r="Q38" s="204"/>
      <c r="R38" s="202" t="s">
        <v>417</v>
      </c>
      <c r="S38" s="203"/>
      <c r="T38" s="203"/>
      <c r="U38" s="204"/>
      <c r="V38" s="202" t="s">
        <v>418</v>
      </c>
      <c r="W38" s="203"/>
      <c r="X38" s="203"/>
      <c r="Y38" s="204"/>
      <c r="Z38" s="202" t="s">
        <v>419</v>
      </c>
      <c r="AA38" s="203"/>
      <c r="AB38" s="203"/>
      <c r="AC38" s="204"/>
      <c r="AD38" s="202" t="s">
        <v>420</v>
      </c>
      <c r="AE38" s="203"/>
      <c r="AF38" s="203"/>
      <c r="AG38" s="204"/>
      <c r="AH38" s="202" t="s">
        <v>421</v>
      </c>
      <c r="AI38" s="203"/>
      <c r="AJ38" s="203"/>
      <c r="AK38" s="203"/>
      <c r="AL38" s="204"/>
      <c r="AM38" s="202" t="s">
        <v>422</v>
      </c>
      <c r="AN38" s="203"/>
      <c r="AO38" s="203"/>
      <c r="AP38" s="203"/>
      <c r="AQ38" s="203"/>
      <c r="AR38" s="203"/>
      <c r="AS38" s="204"/>
      <c r="AT38" s="202" t="s">
        <v>423</v>
      </c>
      <c r="AU38" s="203"/>
      <c r="AV38" s="203"/>
      <c r="AW38" s="203"/>
      <c r="AX38" s="203"/>
      <c r="AY38" s="203"/>
      <c r="AZ38" s="204"/>
      <c r="BA38" s="202" t="s">
        <v>424</v>
      </c>
      <c r="BB38" s="203"/>
      <c r="BC38" s="203"/>
      <c r="BD38" s="203"/>
      <c r="BE38" s="203"/>
      <c r="BF38" s="204"/>
      <c r="BG38" s="202" t="s">
        <v>425</v>
      </c>
      <c r="BH38" s="204"/>
      <c r="BI38" s="202" t="s">
        <v>426</v>
      </c>
      <c r="BJ38" s="203"/>
      <c r="BK38" s="203"/>
      <c r="BL38" s="203"/>
      <c r="BM38" s="204"/>
      <c r="BN38" s="202" t="s">
        <v>427</v>
      </c>
      <c r="BO38" s="203"/>
      <c r="BP38" s="203"/>
      <c r="BQ38" s="203"/>
      <c r="BR38" s="203"/>
      <c r="BS38" s="203"/>
      <c r="BT38" s="203"/>
      <c r="BU38" s="203"/>
      <c r="BV38" s="203"/>
      <c r="BW38" s="203"/>
      <c r="BX38" s="203"/>
      <c r="BY38" s="203"/>
      <c r="BZ38" s="203"/>
      <c r="CA38" s="203"/>
      <c r="CB38" s="203"/>
      <c r="CC38" s="204"/>
      <c r="CD38" s="202" t="s">
        <v>428</v>
      </c>
      <c r="CE38" s="204"/>
      <c r="CF38" s="202" t="s">
        <v>429</v>
      </c>
      <c r="CG38" s="203"/>
      <c r="CH38" s="203"/>
      <c r="CI38" s="203"/>
      <c r="CJ38" s="203"/>
      <c r="CK38" s="204"/>
      <c r="CL38" s="205"/>
      <c r="CM38" s="202" t="s">
        <v>19</v>
      </c>
      <c r="CN38" s="203"/>
      <c r="CO38" s="203"/>
      <c r="CP38" s="204"/>
      <c r="CQ38" s="202" t="s">
        <v>430</v>
      </c>
      <c r="CR38" s="203"/>
      <c r="CS38" s="203"/>
      <c r="CT38" s="203"/>
      <c r="CU38" s="204"/>
      <c r="CV38" s="202" t="s">
        <v>431</v>
      </c>
      <c r="CW38" s="20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ht="127.5">
      <c r="A39" s="184" t="s">
        <v>328</v>
      </c>
      <c r="B39" s="185" t="s">
        <v>329</v>
      </c>
      <c r="C39" s="186" t="s">
        <v>11</v>
      </c>
      <c r="D39" s="186" t="s">
        <v>432</v>
      </c>
      <c r="E39" s="186" t="s">
        <v>433</v>
      </c>
      <c r="F39" s="186" t="s">
        <v>434</v>
      </c>
      <c r="G39" s="186" t="s">
        <v>435</v>
      </c>
      <c r="H39" s="186" t="s">
        <v>436</v>
      </c>
      <c r="I39" s="186" t="s">
        <v>437</v>
      </c>
      <c r="J39" s="186" t="s">
        <v>438</v>
      </c>
      <c r="K39" s="186" t="s">
        <v>439</v>
      </c>
      <c r="L39" s="186" t="s">
        <v>440</v>
      </c>
      <c r="M39" s="186" t="s">
        <v>441</v>
      </c>
      <c r="N39" s="186" t="s">
        <v>442</v>
      </c>
      <c r="O39" s="186" t="s">
        <v>443</v>
      </c>
      <c r="P39" s="186" t="s">
        <v>444</v>
      </c>
      <c r="Q39" s="186" t="s">
        <v>445</v>
      </c>
      <c r="R39" s="186" t="s">
        <v>446</v>
      </c>
      <c r="S39" s="186" t="s">
        <v>447</v>
      </c>
      <c r="T39" s="186" t="s">
        <v>448</v>
      </c>
      <c r="U39" s="186" t="s">
        <v>354</v>
      </c>
      <c r="V39" s="186" t="s">
        <v>446</v>
      </c>
      <c r="W39" s="186" t="s">
        <v>447</v>
      </c>
      <c r="X39" s="186" t="s">
        <v>448</v>
      </c>
      <c r="Y39" s="186" t="s">
        <v>354</v>
      </c>
      <c r="Z39" s="186" t="s">
        <v>446</v>
      </c>
      <c r="AA39" s="186" t="s">
        <v>447</v>
      </c>
      <c r="AB39" s="186" t="s">
        <v>448</v>
      </c>
      <c r="AC39" s="186" t="s">
        <v>354</v>
      </c>
      <c r="AD39" s="186" t="s">
        <v>446</v>
      </c>
      <c r="AE39" s="186" t="s">
        <v>447</v>
      </c>
      <c r="AF39" s="186" t="s">
        <v>448</v>
      </c>
      <c r="AG39" s="186" t="s">
        <v>354</v>
      </c>
      <c r="AH39" s="186" t="s">
        <v>446</v>
      </c>
      <c r="AI39" s="186" t="s">
        <v>447</v>
      </c>
      <c r="AJ39" s="186" t="s">
        <v>448</v>
      </c>
      <c r="AK39" s="186" t="s">
        <v>354</v>
      </c>
      <c r="AL39" s="186" t="s">
        <v>294</v>
      </c>
      <c r="AM39" s="186" t="s">
        <v>449</v>
      </c>
      <c r="AN39" s="186" t="s">
        <v>450</v>
      </c>
      <c r="AO39" s="186" t="s">
        <v>451</v>
      </c>
      <c r="AP39" s="186" t="s">
        <v>452</v>
      </c>
      <c r="AQ39" s="186" t="s">
        <v>453</v>
      </c>
      <c r="AR39" s="186" t="s">
        <v>454</v>
      </c>
      <c r="AS39" s="186" t="s">
        <v>455</v>
      </c>
      <c r="AT39" s="186" t="s">
        <v>456</v>
      </c>
      <c r="AU39" s="186" t="s">
        <v>457</v>
      </c>
      <c r="AV39" s="186" t="s">
        <v>458</v>
      </c>
      <c r="AW39" s="186" t="s">
        <v>459</v>
      </c>
      <c r="AX39" s="186" t="s">
        <v>460</v>
      </c>
      <c r="AY39" s="186" t="s">
        <v>461</v>
      </c>
      <c r="AZ39" s="186" t="s">
        <v>462</v>
      </c>
      <c r="BA39" s="186" t="s">
        <v>463</v>
      </c>
      <c r="BB39" s="186" t="s">
        <v>464</v>
      </c>
      <c r="BC39" s="186" t="s">
        <v>465</v>
      </c>
      <c r="BD39" s="186" t="s">
        <v>466</v>
      </c>
      <c r="BE39" s="186" t="s">
        <v>467</v>
      </c>
      <c r="BF39" s="186" t="s">
        <v>468</v>
      </c>
      <c r="BG39" s="186" t="s">
        <v>469</v>
      </c>
      <c r="BH39" s="186" t="s">
        <v>470</v>
      </c>
      <c r="BI39" s="186" t="s">
        <v>471</v>
      </c>
      <c r="BJ39" s="186" t="s">
        <v>472</v>
      </c>
      <c r="BK39" s="186" t="s">
        <v>473</v>
      </c>
      <c r="BL39" s="186" t="s">
        <v>474</v>
      </c>
      <c r="BM39" s="186" t="s">
        <v>475</v>
      </c>
      <c r="BN39" s="186" t="s">
        <v>476</v>
      </c>
      <c r="BO39" s="186" t="s">
        <v>477</v>
      </c>
      <c r="BP39" s="186" t="s">
        <v>478</v>
      </c>
      <c r="BQ39" s="186" t="s">
        <v>479</v>
      </c>
      <c r="BR39" s="186" t="s">
        <v>480</v>
      </c>
      <c r="BS39" s="186" t="s">
        <v>481</v>
      </c>
      <c r="BT39" s="186" t="s">
        <v>482</v>
      </c>
      <c r="BU39" s="186" t="s">
        <v>483</v>
      </c>
      <c r="BV39" s="186" t="s">
        <v>484</v>
      </c>
      <c r="BW39" s="186" t="s">
        <v>485</v>
      </c>
      <c r="BX39" s="186" t="s">
        <v>486</v>
      </c>
      <c r="BY39" s="186" t="s">
        <v>487</v>
      </c>
      <c r="BZ39" s="186" t="s">
        <v>488</v>
      </c>
      <c r="CA39" s="186" t="s">
        <v>489</v>
      </c>
      <c r="CB39" s="186" t="s">
        <v>490</v>
      </c>
      <c r="CC39" s="186" t="s">
        <v>491</v>
      </c>
      <c r="CD39" s="186" t="s">
        <v>337</v>
      </c>
      <c r="CE39" s="186" t="s">
        <v>61</v>
      </c>
      <c r="CF39" s="186" t="s">
        <v>492</v>
      </c>
      <c r="CG39" s="186" t="s">
        <v>493</v>
      </c>
      <c r="CH39" s="186" t="s">
        <v>494</v>
      </c>
      <c r="CI39" s="186" t="s">
        <v>495</v>
      </c>
      <c r="CJ39" s="186" t="s">
        <v>496</v>
      </c>
      <c r="CK39" s="186" t="s">
        <v>497</v>
      </c>
      <c r="CL39" s="186"/>
      <c r="CM39" s="186" t="s">
        <v>498</v>
      </c>
      <c r="CN39" s="186" t="s">
        <v>499</v>
      </c>
      <c r="CO39" s="186" t="s">
        <v>500</v>
      </c>
      <c r="CP39" s="186" t="s">
        <v>501</v>
      </c>
      <c r="CQ39" s="186" t="s">
        <v>502</v>
      </c>
      <c r="CR39" s="186" t="s">
        <v>503</v>
      </c>
      <c r="CS39" s="186" t="s">
        <v>504</v>
      </c>
      <c r="CT39" s="186" t="s">
        <v>505</v>
      </c>
      <c r="CU39" s="186" t="s">
        <v>506</v>
      </c>
      <c r="CV39" s="186" t="s">
        <v>507</v>
      </c>
      <c r="CW39" s="206" t="s">
        <v>508</v>
      </c>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t="s">
        <v>577</v>
      </c>
      <c r="B40" s="24" t="s">
        <v>577</v>
      </c>
      <c r="C40" s="45">
        <v>15</v>
      </c>
      <c r="D40" s="45">
        <v>59.655600000000007</v>
      </c>
      <c r="E40" s="45">
        <v>0</v>
      </c>
      <c r="F40" s="45">
        <v>52.5</v>
      </c>
      <c r="G40" s="45">
        <v>0</v>
      </c>
      <c r="H40" s="45">
        <v>-65.489735300918653</v>
      </c>
      <c r="I40" s="45" t="s">
        <v>326</v>
      </c>
      <c r="J40" s="45"/>
      <c r="K40" s="45"/>
      <c r="L40" s="45">
        <v>64.032340478741247</v>
      </c>
      <c r="M40" s="45">
        <v>8.0422200304570753E-3</v>
      </c>
      <c r="N40" s="45">
        <v>7.9841748927591619E-3</v>
      </c>
      <c r="O40" s="45">
        <v>0</v>
      </c>
      <c r="P40" s="45">
        <v>0</v>
      </c>
      <c r="Q40" s="45">
        <v>0</v>
      </c>
      <c r="R40" s="45">
        <v>10.469201321364043</v>
      </c>
      <c r="S40" s="45">
        <v>24.192731897140149</v>
      </c>
      <c r="T40" s="45">
        <v>0</v>
      </c>
      <c r="U40" s="45">
        <v>35.12877917169358</v>
      </c>
      <c r="V40" s="45" t="s">
        <v>509</v>
      </c>
      <c r="W40" s="45" t="s">
        <v>509</v>
      </c>
      <c r="X40" s="45" t="s">
        <v>509</v>
      </c>
      <c r="Y40" s="45" t="s">
        <v>509</v>
      </c>
      <c r="Z40" s="45">
        <v>0</v>
      </c>
      <c r="AA40" s="45">
        <v>0</v>
      </c>
      <c r="AB40" s="45">
        <v>0</v>
      </c>
      <c r="AC40" s="45">
        <v>0</v>
      </c>
      <c r="AD40" s="45">
        <v>0</v>
      </c>
      <c r="AE40" s="45">
        <v>0</v>
      </c>
      <c r="AF40" s="45">
        <v>0</v>
      </c>
      <c r="AG40" s="45">
        <v>-65.489735300918653</v>
      </c>
      <c r="AH40" s="45">
        <v>10.469201321364043</v>
      </c>
      <c r="AI40" s="45">
        <v>24.192731897140149</v>
      </c>
      <c r="AJ40" s="45">
        <v>0</v>
      </c>
      <c r="AK40" s="45">
        <v>-30.360956129225073</v>
      </c>
      <c r="AL40" s="45">
        <v>4.3009770892791153</v>
      </c>
      <c r="AM40" s="45">
        <v>32.236277622637026</v>
      </c>
      <c r="AN40" s="45">
        <v>2.8417062635506376</v>
      </c>
      <c r="AO40" s="45">
        <v>0</v>
      </c>
      <c r="AP40" s="45">
        <v>0</v>
      </c>
      <c r="AQ40" s="45">
        <v>35.077983886187667</v>
      </c>
      <c r="AR40" s="45">
        <v>10.469201321364043</v>
      </c>
      <c r="AS40" s="207">
        <v>3.3505883409277413</v>
      </c>
      <c r="AT40" s="45">
        <v>32.236277622637026</v>
      </c>
      <c r="AU40" s="45">
        <v>3.3637338140247262</v>
      </c>
      <c r="AV40" s="45">
        <v>0</v>
      </c>
      <c r="AW40" s="45">
        <v>0</v>
      </c>
      <c r="AX40" s="45">
        <v>35.600011436661752</v>
      </c>
      <c r="AY40" s="45">
        <v>24.192731897140149</v>
      </c>
      <c r="AZ40" s="207">
        <v>1.4715168005011485</v>
      </c>
      <c r="BA40" s="45">
        <v>32.236277622637026</v>
      </c>
      <c r="BB40" s="45">
        <v>6.2054400775753642</v>
      </c>
      <c r="BC40" s="45">
        <v>0</v>
      </c>
      <c r="BD40" s="45">
        <v>0</v>
      </c>
      <c r="BE40" s="45">
        <v>38.441717700212394</v>
      </c>
      <c r="BF40" s="45">
        <v>34.661933218504188</v>
      </c>
      <c r="BG40" s="45">
        <v>32.700328581919194</v>
      </c>
      <c r="BH40" s="207">
        <v>1.1090471341537977</v>
      </c>
      <c r="BI40" s="45">
        <v>12.030516954546023</v>
      </c>
      <c r="BJ40" s="45">
        <v>27.800694850656438</v>
      </c>
      <c r="BK40" s="45">
        <v>0</v>
      </c>
      <c r="BL40" s="45">
        <v>-34.888812074279649</v>
      </c>
      <c r="BM40" s="45">
        <v>4.942399730922812</v>
      </c>
      <c r="BN40" s="45">
        <v>32.236277622637026</v>
      </c>
      <c r="BO40" s="45">
        <v>0</v>
      </c>
      <c r="BP40" s="45">
        <v>6.2054400775753642</v>
      </c>
      <c r="BQ40" s="45">
        <v>0</v>
      </c>
      <c r="BR40" s="45">
        <v>0</v>
      </c>
      <c r="BS40" s="45">
        <v>0</v>
      </c>
      <c r="BT40" s="45">
        <v>0</v>
      </c>
      <c r="BU40" s="45">
        <v>0</v>
      </c>
      <c r="BV40" s="45">
        <v>0</v>
      </c>
      <c r="BW40" s="45">
        <v>0</v>
      </c>
      <c r="BX40" s="45">
        <v>69.790712390197768</v>
      </c>
      <c r="BY40" s="45"/>
      <c r="BZ40" s="45">
        <v>0</v>
      </c>
      <c r="CA40" s="45">
        <v>-65.489735300918653</v>
      </c>
      <c r="CB40" s="45">
        <v>38.441717700212394</v>
      </c>
      <c r="CC40" s="45">
        <v>4.3009770892791153</v>
      </c>
      <c r="CD40" s="207">
        <v>1.4891874497576902</v>
      </c>
      <c r="CE40" s="45">
        <v>-2.188483492360453</v>
      </c>
      <c r="CF40" s="45">
        <v>0.60831223392747835</v>
      </c>
      <c r="CG40" s="45">
        <v>0</v>
      </c>
      <c r="CH40" s="45">
        <v>0.60831223392747835</v>
      </c>
      <c r="CI40" s="45">
        <v>3.0415361727402081E-2</v>
      </c>
      <c r="CJ40" s="45">
        <v>0</v>
      </c>
      <c r="CK40" s="45">
        <v>3.0415361727402081E-2</v>
      </c>
      <c r="CL40" s="45"/>
      <c r="CM40" s="45">
        <v>0</v>
      </c>
      <c r="CN40" s="45"/>
      <c r="CO40" s="45">
        <v>0</v>
      </c>
      <c r="CP40" s="45">
        <v>0</v>
      </c>
      <c r="CQ40" s="45">
        <v>0</v>
      </c>
      <c r="CR40" s="45">
        <v>0</v>
      </c>
      <c r="CS40" s="45">
        <v>0</v>
      </c>
      <c r="CT40" s="45">
        <v>0</v>
      </c>
      <c r="CU40" s="45">
        <v>0</v>
      </c>
      <c r="CV40" s="45">
        <v>9999</v>
      </c>
      <c r="CW40" s="207">
        <v>9999</v>
      </c>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t="s">
        <v>578</v>
      </c>
      <c r="B41" s="24" t="s">
        <v>578</v>
      </c>
      <c r="C41" s="45">
        <v>15</v>
      </c>
      <c r="D41" s="45">
        <v>29.731440000000003</v>
      </c>
      <c r="E41" s="45">
        <v>0</v>
      </c>
      <c r="F41" s="45">
        <v>52.5</v>
      </c>
      <c r="G41" s="45">
        <v>0</v>
      </c>
      <c r="H41" s="45">
        <v>-65.489735300918653</v>
      </c>
      <c r="I41" s="45" t="s">
        <v>326</v>
      </c>
      <c r="J41" s="45"/>
      <c r="K41" s="45"/>
      <c r="L41" s="45">
        <v>31.912740614515091</v>
      </c>
      <c r="M41" s="45">
        <v>4.008119645135289E-3</v>
      </c>
      <c r="N41" s="45">
        <v>3.9791908349522164E-3</v>
      </c>
      <c r="O41" s="45">
        <v>0</v>
      </c>
      <c r="P41" s="45">
        <v>0</v>
      </c>
      <c r="Q41" s="45">
        <v>0</v>
      </c>
      <c r="R41" s="45">
        <v>10.469201321364043</v>
      </c>
      <c r="S41" s="45">
        <v>24.192731897140149</v>
      </c>
      <c r="T41" s="45">
        <v>0</v>
      </c>
      <c r="U41" s="45">
        <v>35.12877917169358</v>
      </c>
      <c r="V41" s="45" t="s">
        <v>509</v>
      </c>
      <c r="W41" s="45" t="s">
        <v>509</v>
      </c>
      <c r="X41" s="45" t="s">
        <v>509</v>
      </c>
      <c r="Y41" s="45" t="s">
        <v>509</v>
      </c>
      <c r="Z41" s="45">
        <v>0</v>
      </c>
      <c r="AA41" s="45">
        <v>0</v>
      </c>
      <c r="AB41" s="45">
        <v>0</v>
      </c>
      <c r="AC41" s="45">
        <v>0</v>
      </c>
      <c r="AD41" s="45">
        <v>0</v>
      </c>
      <c r="AE41" s="45">
        <v>0</v>
      </c>
      <c r="AF41" s="45">
        <v>0</v>
      </c>
      <c r="AG41" s="45">
        <v>-65.489735300918653</v>
      </c>
      <c r="AH41" s="45">
        <v>10.469201321364043</v>
      </c>
      <c r="AI41" s="45">
        <v>24.192731897140149</v>
      </c>
      <c r="AJ41" s="45">
        <v>0</v>
      </c>
      <c r="AK41" s="45">
        <v>-30.360956129225073</v>
      </c>
      <c r="AL41" s="45">
        <v>4.3009770892791153</v>
      </c>
      <c r="AM41" s="45">
        <v>16.066068465672565</v>
      </c>
      <c r="AN41" s="45">
        <v>1.4162630041836812</v>
      </c>
      <c r="AO41" s="45">
        <v>0</v>
      </c>
      <c r="AP41" s="45">
        <v>0</v>
      </c>
      <c r="AQ41" s="45">
        <v>17.482331469856245</v>
      </c>
      <c r="AR41" s="45">
        <v>10.469201321364043</v>
      </c>
      <c r="AS41" s="207">
        <v>1.6698820600747082</v>
      </c>
      <c r="AT41" s="45">
        <v>16.066068465672565</v>
      </c>
      <c r="AU41" s="45">
        <v>1.6764335631130574</v>
      </c>
      <c r="AV41" s="45">
        <v>0</v>
      </c>
      <c r="AW41" s="45">
        <v>0</v>
      </c>
      <c r="AX41" s="45">
        <v>17.742502028785623</v>
      </c>
      <c r="AY41" s="45">
        <v>24.192731897140149</v>
      </c>
      <c r="AZ41" s="187">
        <v>0.73338150086650544</v>
      </c>
      <c r="BA41" s="45">
        <v>16.066068465672565</v>
      </c>
      <c r="BB41" s="45">
        <v>3.0926965672967386</v>
      </c>
      <c r="BC41" s="45">
        <v>0</v>
      </c>
      <c r="BD41" s="45">
        <v>0</v>
      </c>
      <c r="BE41" s="45">
        <v>19.158765032969303</v>
      </c>
      <c r="BF41" s="45">
        <v>34.661933218504188</v>
      </c>
      <c r="BG41" s="45">
        <v>72.789727381734053</v>
      </c>
      <c r="BH41" s="187">
        <v>0.55273215467224557</v>
      </c>
      <c r="BI41" s="45">
        <v>24.139016046098533</v>
      </c>
      <c r="BJ41" s="45">
        <v>55.781594558918783</v>
      </c>
      <c r="BK41" s="45">
        <v>0</v>
      </c>
      <c r="BL41" s="45">
        <v>-70.003774374143902</v>
      </c>
      <c r="BM41" s="45">
        <v>9.916836230873411</v>
      </c>
      <c r="BN41" s="45">
        <v>16.066068465672565</v>
      </c>
      <c r="BO41" s="45">
        <v>0</v>
      </c>
      <c r="BP41" s="45">
        <v>3.0926965672967386</v>
      </c>
      <c r="BQ41" s="45">
        <v>0</v>
      </c>
      <c r="BR41" s="45">
        <v>0</v>
      </c>
      <c r="BS41" s="45">
        <v>0</v>
      </c>
      <c r="BT41" s="45">
        <v>0</v>
      </c>
      <c r="BU41" s="45">
        <v>0</v>
      </c>
      <c r="BV41" s="45">
        <v>0</v>
      </c>
      <c r="BW41" s="45">
        <v>0</v>
      </c>
      <c r="BX41" s="45">
        <v>69.790712390197768</v>
      </c>
      <c r="BY41" s="45"/>
      <c r="BZ41" s="45">
        <v>0</v>
      </c>
      <c r="CA41" s="45">
        <v>-65.489735300918653</v>
      </c>
      <c r="CB41" s="45">
        <v>19.158765032969303</v>
      </c>
      <c r="CC41" s="45">
        <v>4.3009770892791153</v>
      </c>
      <c r="CD41" s="207">
        <v>1.2128906187491071</v>
      </c>
      <c r="CE41" s="45">
        <v>2.78595300759015</v>
      </c>
      <c r="CF41" s="45">
        <v>0.30317352745225556</v>
      </c>
      <c r="CG41" s="45">
        <v>0</v>
      </c>
      <c r="CH41" s="45">
        <v>0.30317352745225556</v>
      </c>
      <c r="CI41" s="45">
        <v>1.5158551791894665E-2</v>
      </c>
      <c r="CJ41" s="45">
        <v>0</v>
      </c>
      <c r="CK41" s="45">
        <v>1.5158551791894665E-2</v>
      </c>
      <c r="CL41" s="45"/>
      <c r="CM41" s="45">
        <v>0</v>
      </c>
      <c r="CN41" s="45"/>
      <c r="CO41" s="45">
        <v>0</v>
      </c>
      <c r="CP41" s="45">
        <v>0</v>
      </c>
      <c r="CQ41" s="45">
        <v>0</v>
      </c>
      <c r="CR41" s="45">
        <v>0</v>
      </c>
      <c r="CS41" s="45">
        <v>0</v>
      </c>
      <c r="CT41" s="45">
        <v>0</v>
      </c>
      <c r="CU41" s="45">
        <v>0</v>
      </c>
      <c r="CV41" s="45">
        <v>9999</v>
      </c>
      <c r="CW41" s="207">
        <v>9999</v>
      </c>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c r="A42" s="24" t="s">
        <v>621</v>
      </c>
      <c r="B42" s="24" t="s">
        <v>621</v>
      </c>
      <c r="C42" s="45">
        <v>15</v>
      </c>
      <c r="D42" s="45">
        <v>59.655600000000007</v>
      </c>
      <c r="E42" s="45">
        <v>0</v>
      </c>
      <c r="F42" s="45">
        <v>52.5</v>
      </c>
      <c r="G42" s="45">
        <v>0</v>
      </c>
      <c r="H42" s="45">
        <v>-65.489735300918653</v>
      </c>
      <c r="I42" s="45" t="s">
        <v>326</v>
      </c>
      <c r="J42" s="45"/>
      <c r="K42" s="45"/>
      <c r="L42" s="45">
        <v>64.032340478741247</v>
      </c>
      <c r="M42" s="45">
        <v>8.0422200304570753E-3</v>
      </c>
      <c r="N42" s="45">
        <v>7.9841748927591619E-3</v>
      </c>
      <c r="O42" s="45">
        <v>0</v>
      </c>
      <c r="P42" s="45">
        <v>0</v>
      </c>
      <c r="Q42" s="45">
        <v>0</v>
      </c>
      <c r="R42" s="45">
        <v>10.469201321364043</v>
      </c>
      <c r="S42" s="45">
        <v>24.192731897140149</v>
      </c>
      <c r="T42" s="45">
        <v>0</v>
      </c>
      <c r="U42" s="45">
        <v>35.12877917169358</v>
      </c>
      <c r="V42" s="45" t="s">
        <v>509</v>
      </c>
      <c r="W42" s="45" t="s">
        <v>509</v>
      </c>
      <c r="X42" s="45" t="s">
        <v>509</v>
      </c>
      <c r="Y42" s="45" t="s">
        <v>509</v>
      </c>
      <c r="Z42" s="45">
        <v>0</v>
      </c>
      <c r="AA42" s="45">
        <v>0</v>
      </c>
      <c r="AB42" s="45">
        <v>0</v>
      </c>
      <c r="AC42" s="45">
        <v>0</v>
      </c>
      <c r="AD42" s="45">
        <v>0</v>
      </c>
      <c r="AE42" s="45">
        <v>0</v>
      </c>
      <c r="AF42" s="45">
        <v>0</v>
      </c>
      <c r="AG42" s="45">
        <v>-65.489735300918653</v>
      </c>
      <c r="AH42" s="45">
        <v>10.469201321364043</v>
      </c>
      <c r="AI42" s="45">
        <v>24.192731897140149</v>
      </c>
      <c r="AJ42" s="45">
        <v>0</v>
      </c>
      <c r="AK42" s="45">
        <v>-30.360956129225073</v>
      </c>
      <c r="AL42" s="45">
        <v>4.3009770892791153</v>
      </c>
      <c r="AM42" s="45">
        <v>32.236277622637026</v>
      </c>
      <c r="AN42" s="45">
        <v>2.8417062635506376</v>
      </c>
      <c r="AO42" s="45">
        <v>0</v>
      </c>
      <c r="AP42" s="45">
        <v>0</v>
      </c>
      <c r="AQ42" s="45">
        <v>35.077983886187667</v>
      </c>
      <c r="AR42" s="45">
        <v>10.469201321364043</v>
      </c>
      <c r="AS42" s="207">
        <v>3.3505883409277413</v>
      </c>
      <c r="AT42" s="45">
        <v>32.236277622637026</v>
      </c>
      <c r="AU42" s="45">
        <v>3.3637338140247262</v>
      </c>
      <c r="AV42" s="45">
        <v>0</v>
      </c>
      <c r="AW42" s="45">
        <v>0</v>
      </c>
      <c r="AX42" s="45">
        <v>35.600011436661752</v>
      </c>
      <c r="AY42" s="45">
        <v>24.192731897140149</v>
      </c>
      <c r="AZ42" s="207">
        <v>1.4715168005011485</v>
      </c>
      <c r="BA42" s="45">
        <v>32.236277622637026</v>
      </c>
      <c r="BB42" s="45">
        <v>6.2054400775753642</v>
      </c>
      <c r="BC42" s="45">
        <v>0</v>
      </c>
      <c r="BD42" s="45">
        <v>0</v>
      </c>
      <c r="BE42" s="45">
        <v>38.441717700212394</v>
      </c>
      <c r="BF42" s="45">
        <v>34.661933218504188</v>
      </c>
      <c r="BG42" s="45">
        <v>32.700328581919194</v>
      </c>
      <c r="BH42" s="207">
        <v>1.1090471341537977</v>
      </c>
      <c r="BI42" s="45">
        <v>12.030516954546023</v>
      </c>
      <c r="BJ42" s="45">
        <v>27.800694850656438</v>
      </c>
      <c r="BK42" s="45">
        <v>0</v>
      </c>
      <c r="BL42" s="45">
        <v>-34.888812074279649</v>
      </c>
      <c r="BM42" s="45">
        <v>4.942399730922812</v>
      </c>
      <c r="BN42" s="45">
        <v>32.236277622637026</v>
      </c>
      <c r="BO42" s="45">
        <v>0</v>
      </c>
      <c r="BP42" s="45">
        <v>6.2054400775753642</v>
      </c>
      <c r="BQ42" s="45">
        <v>0</v>
      </c>
      <c r="BR42" s="45">
        <v>0</v>
      </c>
      <c r="BS42" s="45">
        <v>0</v>
      </c>
      <c r="BT42" s="45">
        <v>0</v>
      </c>
      <c r="BU42" s="45">
        <v>0</v>
      </c>
      <c r="BV42" s="45">
        <v>0</v>
      </c>
      <c r="BW42" s="45">
        <v>0</v>
      </c>
      <c r="BX42" s="45">
        <v>69.790712390197768</v>
      </c>
      <c r="BY42" s="45"/>
      <c r="BZ42" s="45">
        <v>0</v>
      </c>
      <c r="CA42" s="45">
        <v>-65.489735300918653</v>
      </c>
      <c r="CB42" s="45">
        <v>38.441717700212394</v>
      </c>
      <c r="CC42" s="45">
        <v>4.3009770892791153</v>
      </c>
      <c r="CD42" s="207">
        <v>1.4891874497576902</v>
      </c>
      <c r="CE42" s="45">
        <v>-2.188483492360453</v>
      </c>
      <c r="CF42" s="45">
        <v>0.60831223392747835</v>
      </c>
      <c r="CG42" s="45">
        <v>0</v>
      </c>
      <c r="CH42" s="45">
        <v>0.60831223392747835</v>
      </c>
      <c r="CI42" s="45">
        <v>3.0415361727402081E-2</v>
      </c>
      <c r="CJ42" s="45">
        <v>0</v>
      </c>
      <c r="CK42" s="45">
        <v>3.0415361727402081E-2</v>
      </c>
      <c r="CL42" s="45"/>
      <c r="CM42" s="45">
        <v>0</v>
      </c>
      <c r="CN42" s="45"/>
      <c r="CO42" s="45">
        <v>0</v>
      </c>
      <c r="CP42" s="45">
        <v>0</v>
      </c>
      <c r="CQ42" s="45">
        <v>0</v>
      </c>
      <c r="CR42" s="45">
        <v>0</v>
      </c>
      <c r="CS42" s="45">
        <v>0</v>
      </c>
      <c r="CT42" s="45">
        <v>0</v>
      </c>
      <c r="CU42" s="45">
        <v>0</v>
      </c>
      <c r="CV42" s="45">
        <v>9999</v>
      </c>
      <c r="CW42" s="207">
        <v>9999</v>
      </c>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c r="A43" s="24" t="s">
        <v>622</v>
      </c>
      <c r="B43" s="24" t="s">
        <v>622</v>
      </c>
      <c r="C43" s="45">
        <v>15</v>
      </c>
      <c r="D43" s="45">
        <v>29.731440000000003</v>
      </c>
      <c r="E43" s="45">
        <v>0</v>
      </c>
      <c r="F43" s="45">
        <v>52.5</v>
      </c>
      <c r="G43" s="45">
        <v>0</v>
      </c>
      <c r="H43" s="45">
        <v>-65.489735300918653</v>
      </c>
      <c r="I43" s="45" t="s">
        <v>326</v>
      </c>
      <c r="J43" s="45"/>
      <c r="K43" s="45"/>
      <c r="L43" s="45">
        <v>31.912740614515091</v>
      </c>
      <c r="M43" s="45">
        <v>4.008119645135289E-3</v>
      </c>
      <c r="N43" s="45">
        <v>3.9791908349522164E-3</v>
      </c>
      <c r="O43" s="45">
        <v>0</v>
      </c>
      <c r="P43" s="45">
        <v>0</v>
      </c>
      <c r="Q43" s="45">
        <v>0</v>
      </c>
      <c r="R43" s="45">
        <v>10.469201321364043</v>
      </c>
      <c r="S43" s="45">
        <v>24.192731897140149</v>
      </c>
      <c r="T43" s="45">
        <v>0</v>
      </c>
      <c r="U43" s="45">
        <v>35.12877917169358</v>
      </c>
      <c r="V43" s="45" t="s">
        <v>509</v>
      </c>
      <c r="W43" s="45" t="s">
        <v>509</v>
      </c>
      <c r="X43" s="45" t="s">
        <v>509</v>
      </c>
      <c r="Y43" s="45" t="s">
        <v>509</v>
      </c>
      <c r="Z43" s="45">
        <v>0</v>
      </c>
      <c r="AA43" s="45">
        <v>0</v>
      </c>
      <c r="AB43" s="45">
        <v>0</v>
      </c>
      <c r="AC43" s="45">
        <v>0</v>
      </c>
      <c r="AD43" s="45">
        <v>0</v>
      </c>
      <c r="AE43" s="45">
        <v>0</v>
      </c>
      <c r="AF43" s="45">
        <v>0</v>
      </c>
      <c r="AG43" s="45">
        <v>-65.489735300918653</v>
      </c>
      <c r="AH43" s="45">
        <v>10.469201321364043</v>
      </c>
      <c r="AI43" s="45">
        <v>24.192731897140149</v>
      </c>
      <c r="AJ43" s="45">
        <v>0</v>
      </c>
      <c r="AK43" s="45">
        <v>-30.360956129225073</v>
      </c>
      <c r="AL43" s="45">
        <v>4.3009770892791153</v>
      </c>
      <c r="AM43" s="45">
        <v>16.066068465672565</v>
      </c>
      <c r="AN43" s="45">
        <v>1.4162630041836812</v>
      </c>
      <c r="AO43" s="45">
        <v>0</v>
      </c>
      <c r="AP43" s="45">
        <v>0</v>
      </c>
      <c r="AQ43" s="45">
        <v>17.482331469856245</v>
      </c>
      <c r="AR43" s="45">
        <v>10.469201321364043</v>
      </c>
      <c r="AS43" s="207">
        <v>1.6698820600747082</v>
      </c>
      <c r="AT43" s="45">
        <v>16.066068465672565</v>
      </c>
      <c r="AU43" s="45">
        <v>1.6764335631130574</v>
      </c>
      <c r="AV43" s="45">
        <v>0</v>
      </c>
      <c r="AW43" s="45">
        <v>0</v>
      </c>
      <c r="AX43" s="45">
        <v>17.742502028785623</v>
      </c>
      <c r="AY43" s="45">
        <v>24.192731897140149</v>
      </c>
      <c r="AZ43" s="187">
        <v>0.73338150086650544</v>
      </c>
      <c r="BA43" s="45">
        <v>16.066068465672565</v>
      </c>
      <c r="BB43" s="45">
        <v>3.0926965672967386</v>
      </c>
      <c r="BC43" s="45">
        <v>0</v>
      </c>
      <c r="BD43" s="45">
        <v>0</v>
      </c>
      <c r="BE43" s="45">
        <v>19.158765032969303</v>
      </c>
      <c r="BF43" s="45">
        <v>34.661933218504188</v>
      </c>
      <c r="BG43" s="45">
        <v>72.789727381734053</v>
      </c>
      <c r="BH43" s="187">
        <v>0.55273215467224557</v>
      </c>
      <c r="BI43" s="45">
        <v>24.139016046098533</v>
      </c>
      <c r="BJ43" s="45">
        <v>55.781594558918783</v>
      </c>
      <c r="BK43" s="45">
        <v>0</v>
      </c>
      <c r="BL43" s="45">
        <v>-70.003774374143902</v>
      </c>
      <c r="BM43" s="45">
        <v>9.916836230873411</v>
      </c>
      <c r="BN43" s="45">
        <v>16.066068465672565</v>
      </c>
      <c r="BO43" s="45">
        <v>0</v>
      </c>
      <c r="BP43" s="45">
        <v>3.0926965672967386</v>
      </c>
      <c r="BQ43" s="45">
        <v>0</v>
      </c>
      <c r="BR43" s="45">
        <v>0</v>
      </c>
      <c r="BS43" s="45">
        <v>0</v>
      </c>
      <c r="BT43" s="45">
        <v>0</v>
      </c>
      <c r="BU43" s="45">
        <v>0</v>
      </c>
      <c r="BV43" s="45">
        <v>0</v>
      </c>
      <c r="BW43" s="45">
        <v>0</v>
      </c>
      <c r="BX43" s="45">
        <v>69.790712390197768</v>
      </c>
      <c r="BY43" s="45"/>
      <c r="BZ43" s="45">
        <v>0</v>
      </c>
      <c r="CA43" s="45">
        <v>-65.489735300918653</v>
      </c>
      <c r="CB43" s="45">
        <v>19.158765032969303</v>
      </c>
      <c r="CC43" s="45">
        <v>4.3009770892791153</v>
      </c>
      <c r="CD43" s="207">
        <v>1.2128906187491071</v>
      </c>
      <c r="CE43" s="45">
        <v>2.78595300759015</v>
      </c>
      <c r="CF43" s="45">
        <v>0.30317352745225556</v>
      </c>
      <c r="CG43" s="45">
        <v>0</v>
      </c>
      <c r="CH43" s="45">
        <v>0.30317352745225556</v>
      </c>
      <c r="CI43" s="45">
        <v>1.5158551791894665E-2</v>
      </c>
      <c r="CJ43" s="45">
        <v>0</v>
      </c>
      <c r="CK43" s="45">
        <v>1.5158551791894665E-2</v>
      </c>
      <c r="CL43" s="45"/>
      <c r="CM43" s="45">
        <v>0</v>
      </c>
      <c r="CN43" s="45"/>
      <c r="CO43" s="45">
        <v>0</v>
      </c>
      <c r="CP43" s="45">
        <v>0</v>
      </c>
      <c r="CQ43" s="45">
        <v>0</v>
      </c>
      <c r="CR43" s="45">
        <v>0</v>
      </c>
      <c r="CS43" s="45">
        <v>0</v>
      </c>
      <c r="CT43" s="45">
        <v>0</v>
      </c>
      <c r="CU43" s="45">
        <v>0</v>
      </c>
      <c r="CV43" s="45">
        <v>9999</v>
      </c>
      <c r="CW43" s="207">
        <v>9999</v>
      </c>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c r="A44" s="24"/>
      <c r="B44" s="24"/>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c r="B45" s="24"/>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ht="13.5" thickBot="1">
      <c r="A46" s="179" t="s">
        <v>510</v>
      </c>
      <c r="B46" s="180"/>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ht="26.25" thickBot="1">
      <c r="A47" s="200" t="s">
        <v>414</v>
      </c>
      <c r="B47" s="201"/>
      <c r="C47" s="202" t="s">
        <v>415</v>
      </c>
      <c r="D47" s="203"/>
      <c r="E47" s="203"/>
      <c r="F47" s="203"/>
      <c r="G47" s="203"/>
      <c r="H47" s="203"/>
      <c r="I47" s="203"/>
      <c r="J47" s="203"/>
      <c r="K47" s="204"/>
      <c r="L47" s="202" t="s">
        <v>416</v>
      </c>
      <c r="M47" s="203"/>
      <c r="N47" s="203"/>
      <c r="O47" s="203"/>
      <c r="P47" s="203"/>
      <c r="Q47" s="204"/>
      <c r="R47" s="202" t="s">
        <v>417</v>
      </c>
      <c r="S47" s="203"/>
      <c r="T47" s="203"/>
      <c r="U47" s="204"/>
      <c r="V47" s="202" t="s">
        <v>418</v>
      </c>
      <c r="W47" s="203"/>
      <c r="X47" s="203"/>
      <c r="Y47" s="204"/>
      <c r="Z47" s="202" t="s">
        <v>419</v>
      </c>
      <c r="AA47" s="203"/>
      <c r="AB47" s="203"/>
      <c r="AC47" s="204"/>
      <c r="AD47" s="202" t="s">
        <v>420</v>
      </c>
      <c r="AE47" s="203"/>
      <c r="AF47" s="203"/>
      <c r="AG47" s="204"/>
      <c r="AH47" s="202" t="s">
        <v>421</v>
      </c>
      <c r="AI47" s="203"/>
      <c r="AJ47" s="203"/>
      <c r="AK47" s="203"/>
      <c r="AL47" s="204"/>
      <c r="AM47" s="202" t="s">
        <v>422</v>
      </c>
      <c r="AN47" s="203"/>
      <c r="AO47" s="203"/>
      <c r="AP47" s="203"/>
      <c r="AQ47" s="203"/>
      <c r="AR47" s="203"/>
      <c r="AS47" s="204"/>
      <c r="AT47" s="202" t="s">
        <v>423</v>
      </c>
      <c r="AU47" s="203"/>
      <c r="AV47" s="203"/>
      <c r="AW47" s="203"/>
      <c r="AX47" s="203"/>
      <c r="AY47" s="203"/>
      <c r="AZ47" s="204"/>
      <c r="BA47" s="202" t="s">
        <v>424</v>
      </c>
      <c r="BB47" s="203"/>
      <c r="BC47" s="203"/>
      <c r="BD47" s="203"/>
      <c r="BE47" s="203"/>
      <c r="BF47" s="204"/>
      <c r="BG47" s="202" t="s">
        <v>425</v>
      </c>
      <c r="BH47" s="204"/>
      <c r="BI47" s="202" t="s">
        <v>426</v>
      </c>
      <c r="BJ47" s="203"/>
      <c r="BK47" s="203"/>
      <c r="BL47" s="203"/>
      <c r="BM47" s="204"/>
      <c r="BN47" s="202" t="s">
        <v>427</v>
      </c>
      <c r="BO47" s="203"/>
      <c r="BP47" s="203"/>
      <c r="BQ47" s="203"/>
      <c r="BR47" s="203"/>
      <c r="BS47" s="203"/>
      <c r="BT47" s="203"/>
      <c r="BU47" s="203"/>
      <c r="BV47" s="203"/>
      <c r="BW47" s="203"/>
      <c r="BX47" s="203"/>
      <c r="BY47" s="203"/>
      <c r="BZ47" s="203"/>
      <c r="CA47" s="203"/>
      <c r="CB47" s="203"/>
      <c r="CC47" s="204"/>
      <c r="CD47" s="202" t="s">
        <v>428</v>
      </c>
      <c r="CE47" s="204"/>
      <c r="CF47" s="202" t="s">
        <v>429</v>
      </c>
      <c r="CG47" s="203"/>
      <c r="CH47" s="203"/>
      <c r="CI47" s="203"/>
      <c r="CJ47" s="203"/>
      <c r="CK47" s="204"/>
      <c r="CL47" s="205"/>
      <c r="CM47" s="202" t="s">
        <v>19</v>
      </c>
      <c r="CN47" s="203"/>
      <c r="CO47" s="203"/>
      <c r="CP47" s="204"/>
      <c r="CQ47" s="202" t="s">
        <v>430</v>
      </c>
      <c r="CR47" s="203"/>
      <c r="CS47" s="203"/>
      <c r="CT47" s="203"/>
      <c r="CU47" s="204"/>
      <c r="CV47" s="202" t="s">
        <v>431</v>
      </c>
      <c r="CW47" s="20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ht="127.5">
      <c r="A48" s="184" t="s">
        <v>328</v>
      </c>
      <c r="B48" s="185" t="s">
        <v>329</v>
      </c>
      <c r="C48" s="186" t="s">
        <v>11</v>
      </c>
      <c r="D48" s="186" t="s">
        <v>432</v>
      </c>
      <c r="E48" s="186" t="s">
        <v>433</v>
      </c>
      <c r="F48" s="186" t="s">
        <v>434</v>
      </c>
      <c r="G48" s="186" t="s">
        <v>435</v>
      </c>
      <c r="H48" s="186" t="s">
        <v>436</v>
      </c>
      <c r="I48" s="186" t="s">
        <v>437</v>
      </c>
      <c r="J48" s="186" t="s">
        <v>438</v>
      </c>
      <c r="K48" s="186" t="s">
        <v>439</v>
      </c>
      <c r="L48" s="186" t="s">
        <v>440</v>
      </c>
      <c r="M48" s="186" t="s">
        <v>441</v>
      </c>
      <c r="N48" s="186" t="s">
        <v>442</v>
      </c>
      <c r="O48" s="186" t="s">
        <v>443</v>
      </c>
      <c r="P48" s="186" t="s">
        <v>444</v>
      </c>
      <c r="Q48" s="186" t="s">
        <v>445</v>
      </c>
      <c r="R48" s="186" t="s">
        <v>446</v>
      </c>
      <c r="S48" s="186" t="s">
        <v>447</v>
      </c>
      <c r="T48" s="186" t="s">
        <v>448</v>
      </c>
      <c r="U48" s="186" t="s">
        <v>354</v>
      </c>
      <c r="V48" s="186" t="s">
        <v>446</v>
      </c>
      <c r="W48" s="186" t="s">
        <v>447</v>
      </c>
      <c r="X48" s="186" t="s">
        <v>448</v>
      </c>
      <c r="Y48" s="186" t="s">
        <v>354</v>
      </c>
      <c r="Z48" s="186" t="s">
        <v>446</v>
      </c>
      <c r="AA48" s="186" t="s">
        <v>447</v>
      </c>
      <c r="AB48" s="186" t="s">
        <v>448</v>
      </c>
      <c r="AC48" s="186" t="s">
        <v>354</v>
      </c>
      <c r="AD48" s="186" t="s">
        <v>446</v>
      </c>
      <c r="AE48" s="186" t="s">
        <v>447</v>
      </c>
      <c r="AF48" s="186" t="s">
        <v>448</v>
      </c>
      <c r="AG48" s="186" t="s">
        <v>354</v>
      </c>
      <c r="AH48" s="186" t="s">
        <v>446</v>
      </c>
      <c r="AI48" s="186" t="s">
        <v>447</v>
      </c>
      <c r="AJ48" s="186" t="s">
        <v>448</v>
      </c>
      <c r="AK48" s="186" t="s">
        <v>354</v>
      </c>
      <c r="AL48" s="186" t="s">
        <v>294</v>
      </c>
      <c r="AM48" s="186" t="s">
        <v>449</v>
      </c>
      <c r="AN48" s="186" t="s">
        <v>450</v>
      </c>
      <c r="AO48" s="186" t="s">
        <v>451</v>
      </c>
      <c r="AP48" s="186" t="s">
        <v>452</v>
      </c>
      <c r="AQ48" s="186" t="s">
        <v>453</v>
      </c>
      <c r="AR48" s="186" t="s">
        <v>454</v>
      </c>
      <c r="AS48" s="186" t="s">
        <v>455</v>
      </c>
      <c r="AT48" s="186" t="s">
        <v>456</v>
      </c>
      <c r="AU48" s="186" t="s">
        <v>457</v>
      </c>
      <c r="AV48" s="186" t="s">
        <v>458</v>
      </c>
      <c r="AW48" s="186" t="s">
        <v>459</v>
      </c>
      <c r="AX48" s="186" t="s">
        <v>460</v>
      </c>
      <c r="AY48" s="186" t="s">
        <v>461</v>
      </c>
      <c r="AZ48" s="186" t="s">
        <v>462</v>
      </c>
      <c r="BA48" s="186" t="s">
        <v>463</v>
      </c>
      <c r="BB48" s="186" t="s">
        <v>464</v>
      </c>
      <c r="BC48" s="186" t="s">
        <v>465</v>
      </c>
      <c r="BD48" s="186" t="s">
        <v>466</v>
      </c>
      <c r="BE48" s="186" t="s">
        <v>467</v>
      </c>
      <c r="BF48" s="186" t="s">
        <v>468</v>
      </c>
      <c r="BG48" s="186" t="s">
        <v>469</v>
      </c>
      <c r="BH48" s="186" t="s">
        <v>470</v>
      </c>
      <c r="BI48" s="186" t="s">
        <v>471</v>
      </c>
      <c r="BJ48" s="186" t="s">
        <v>472</v>
      </c>
      <c r="BK48" s="186" t="s">
        <v>473</v>
      </c>
      <c r="BL48" s="186" t="s">
        <v>474</v>
      </c>
      <c r="BM48" s="186" t="s">
        <v>475</v>
      </c>
      <c r="BN48" s="186" t="s">
        <v>476</v>
      </c>
      <c r="BO48" s="186" t="s">
        <v>477</v>
      </c>
      <c r="BP48" s="186" t="s">
        <v>478</v>
      </c>
      <c r="BQ48" s="186" t="s">
        <v>479</v>
      </c>
      <c r="BR48" s="186" t="s">
        <v>480</v>
      </c>
      <c r="BS48" s="186" t="s">
        <v>481</v>
      </c>
      <c r="BT48" s="186" t="s">
        <v>482</v>
      </c>
      <c r="BU48" s="186" t="s">
        <v>483</v>
      </c>
      <c r="BV48" s="186" t="s">
        <v>484</v>
      </c>
      <c r="BW48" s="186" t="s">
        <v>485</v>
      </c>
      <c r="BX48" s="186" t="s">
        <v>486</v>
      </c>
      <c r="BY48" s="186" t="s">
        <v>487</v>
      </c>
      <c r="BZ48" s="186" t="s">
        <v>488</v>
      </c>
      <c r="CA48" s="186" t="s">
        <v>489</v>
      </c>
      <c r="CB48" s="186" t="s">
        <v>490</v>
      </c>
      <c r="CC48" s="186" t="s">
        <v>491</v>
      </c>
      <c r="CD48" s="186" t="s">
        <v>337</v>
      </c>
      <c r="CE48" s="186" t="s">
        <v>61</v>
      </c>
      <c r="CF48" s="186" t="s">
        <v>492</v>
      </c>
      <c r="CG48" s="186" t="s">
        <v>493</v>
      </c>
      <c r="CH48" s="186" t="s">
        <v>494</v>
      </c>
      <c r="CI48" s="186" t="s">
        <v>495</v>
      </c>
      <c r="CJ48" s="186" t="s">
        <v>496</v>
      </c>
      <c r="CK48" s="186" t="s">
        <v>497</v>
      </c>
      <c r="CL48" s="186"/>
      <c r="CM48" s="186" t="s">
        <v>498</v>
      </c>
      <c r="CN48" s="186" t="s">
        <v>499</v>
      </c>
      <c r="CO48" s="186" t="s">
        <v>500</v>
      </c>
      <c r="CP48" s="186" t="s">
        <v>501</v>
      </c>
      <c r="CQ48" s="186" t="s">
        <v>502</v>
      </c>
      <c r="CR48" s="186" t="s">
        <v>503</v>
      </c>
      <c r="CS48" s="186" t="s">
        <v>504</v>
      </c>
      <c r="CT48" s="186" t="s">
        <v>505</v>
      </c>
      <c r="CU48" s="186" t="s">
        <v>506</v>
      </c>
      <c r="CV48" s="186" t="s">
        <v>507</v>
      </c>
      <c r="CW48" s="186" t="s">
        <v>508</v>
      </c>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c r="A49" s="24" t="s">
        <v>577</v>
      </c>
      <c r="B49" s="24"/>
      <c r="C49" s="45">
        <v>15</v>
      </c>
      <c r="D49" s="45">
        <v>59.655600000000007</v>
      </c>
      <c r="E49" s="45">
        <v>0</v>
      </c>
      <c r="F49" s="45">
        <v>52.5</v>
      </c>
      <c r="G49" s="45">
        <v>0</v>
      </c>
      <c r="H49" s="45">
        <v>-65.489735300918653</v>
      </c>
      <c r="I49" s="45"/>
      <c r="J49" s="45"/>
      <c r="K49" s="45"/>
      <c r="L49" s="45">
        <v>64.032340478741247</v>
      </c>
      <c r="M49" s="45">
        <v>8.0422200304570753E-3</v>
      </c>
      <c r="N49" s="45">
        <v>7.9841748927591619E-3</v>
      </c>
      <c r="O49" s="45">
        <v>0</v>
      </c>
      <c r="P49" s="45">
        <v>0</v>
      </c>
      <c r="Q49" s="45">
        <v>0</v>
      </c>
      <c r="R49" s="45">
        <v>10.469201321364043</v>
      </c>
      <c r="S49" s="45">
        <v>24.192731897140149</v>
      </c>
      <c r="T49" s="45">
        <v>0</v>
      </c>
      <c r="U49" s="45">
        <v>35.12877917169358</v>
      </c>
      <c r="V49" s="45">
        <v>3.15</v>
      </c>
      <c r="W49" s="45">
        <v>7.35</v>
      </c>
      <c r="X49" s="45">
        <v>0</v>
      </c>
      <c r="Y49" s="45">
        <v>0</v>
      </c>
      <c r="Z49" s="45">
        <v>0</v>
      </c>
      <c r="AA49" s="45">
        <v>0</v>
      </c>
      <c r="AB49" s="45">
        <v>0</v>
      </c>
      <c r="AC49" s="45">
        <v>0</v>
      </c>
      <c r="AD49" s="45">
        <v>0</v>
      </c>
      <c r="AE49" s="45">
        <v>0</v>
      </c>
      <c r="AF49" s="45">
        <v>0</v>
      </c>
      <c r="AG49" s="45">
        <v>-65.489735300918653</v>
      </c>
      <c r="AH49" s="45">
        <v>13.619201321364043</v>
      </c>
      <c r="AI49" s="45">
        <v>31.54273189714015</v>
      </c>
      <c r="AJ49" s="45">
        <v>0</v>
      </c>
      <c r="AK49" s="45">
        <v>-30.360956129225073</v>
      </c>
      <c r="AL49" s="45">
        <v>14.800977089279115</v>
      </c>
      <c r="AM49" s="45">
        <v>32.236277622637026</v>
      </c>
      <c r="AN49" s="45">
        <v>2.8417062635506376</v>
      </c>
      <c r="AO49" s="45">
        <v>0</v>
      </c>
      <c r="AP49" s="45">
        <v>0</v>
      </c>
      <c r="AQ49" s="45">
        <v>35.077983886187667</v>
      </c>
      <c r="AR49" s="45">
        <v>13.619201321364043</v>
      </c>
      <c r="AS49" s="207">
        <v>2.5756270913744301</v>
      </c>
      <c r="AT49" s="45">
        <v>32.236277622637026</v>
      </c>
      <c r="AU49" s="45">
        <v>3.3637338140247262</v>
      </c>
      <c r="AV49" s="45">
        <v>0</v>
      </c>
      <c r="AW49" s="45">
        <v>0</v>
      </c>
      <c r="AX49" s="45">
        <v>35.600011436661752</v>
      </c>
      <c r="AY49" s="45">
        <v>31.54273189714015</v>
      </c>
      <c r="AZ49" s="207">
        <v>1.1286280323705715</v>
      </c>
      <c r="BA49" s="45">
        <v>32.236277622637026</v>
      </c>
      <c r="BB49" s="45">
        <v>6.2054400775753642</v>
      </c>
      <c r="BC49" s="45">
        <v>0</v>
      </c>
      <c r="BD49" s="45">
        <v>0</v>
      </c>
      <c r="BE49" s="45">
        <v>38.441717700212394</v>
      </c>
      <c r="BF49" s="45">
        <v>45.161933218504188</v>
      </c>
      <c r="BG49" s="45">
        <v>44.76623735042827</v>
      </c>
      <c r="BH49" s="187">
        <v>0.85119734609725872</v>
      </c>
      <c r="BI49" s="45">
        <v>15.650289585098749</v>
      </c>
      <c r="BJ49" s="45">
        <v>36.2468309886128</v>
      </c>
      <c r="BK49" s="45">
        <v>0</v>
      </c>
      <c r="BL49" s="45">
        <v>-34.888812074279649</v>
      </c>
      <c r="BM49" s="45">
        <v>17.008308499431891</v>
      </c>
      <c r="BN49" s="45">
        <v>32.236277622637026</v>
      </c>
      <c r="BO49" s="45">
        <v>0</v>
      </c>
      <c r="BP49" s="45">
        <v>6.2054400775753642</v>
      </c>
      <c r="BQ49" s="45">
        <v>0</v>
      </c>
      <c r="BR49" s="45">
        <v>0</v>
      </c>
      <c r="BS49" s="45">
        <v>0</v>
      </c>
      <c r="BT49" s="45">
        <v>0</v>
      </c>
      <c r="BU49" s="45">
        <v>0</v>
      </c>
      <c r="BV49" s="45">
        <v>0</v>
      </c>
      <c r="BW49" s="45">
        <v>0</v>
      </c>
      <c r="BX49" s="45">
        <v>69.790712390197768</v>
      </c>
      <c r="BY49" s="45">
        <v>10.5</v>
      </c>
      <c r="BZ49" s="45">
        <v>0</v>
      </c>
      <c r="CA49" s="45">
        <v>-65.489735300918653</v>
      </c>
      <c r="CB49" s="45">
        <v>38.441717700212394</v>
      </c>
      <c r="CC49" s="45">
        <v>14.800977089279115</v>
      </c>
      <c r="CD49" s="207">
        <v>1.2944392932527953</v>
      </c>
      <c r="CE49" s="45">
        <v>9.8774252761486263</v>
      </c>
      <c r="CF49" s="45">
        <v>0.60831223392747835</v>
      </c>
      <c r="CG49" s="45">
        <v>0</v>
      </c>
      <c r="CH49" s="45">
        <v>0.60831223392747835</v>
      </c>
      <c r="CI49" s="45">
        <v>3.0415361727402081E-2</v>
      </c>
      <c r="CJ49" s="45">
        <v>0</v>
      </c>
      <c r="CK49" s="45">
        <v>3.0415361727402081E-2</v>
      </c>
      <c r="CL49" s="45"/>
      <c r="CM49" s="45">
        <v>0</v>
      </c>
      <c r="CN49" s="45"/>
      <c r="CO49" s="45">
        <v>0</v>
      </c>
      <c r="CP49" s="45">
        <v>0</v>
      </c>
      <c r="CQ49" s="45">
        <v>0</v>
      </c>
      <c r="CR49" s="45">
        <v>0</v>
      </c>
      <c r="CS49" s="45">
        <v>0</v>
      </c>
      <c r="CT49" s="45">
        <v>0</v>
      </c>
      <c r="CU49" s="45">
        <v>0</v>
      </c>
      <c r="CV49" s="45">
        <v>9999</v>
      </c>
      <c r="CW49" s="207">
        <v>9999</v>
      </c>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c r="A50" s="24" t="s">
        <v>621</v>
      </c>
      <c r="B50" s="24"/>
      <c r="C50" s="45">
        <v>15</v>
      </c>
      <c r="D50" s="45">
        <v>59.655600000000007</v>
      </c>
      <c r="E50" s="45">
        <v>0</v>
      </c>
      <c r="F50" s="45">
        <v>52.5</v>
      </c>
      <c r="G50" s="45">
        <v>0</v>
      </c>
      <c r="H50" s="45">
        <v>-65.489735300918653</v>
      </c>
      <c r="I50" s="45"/>
      <c r="J50" s="45"/>
      <c r="K50" s="45"/>
      <c r="L50" s="45">
        <v>64.032340478741247</v>
      </c>
      <c r="M50" s="45">
        <v>8.0422200304570753E-3</v>
      </c>
      <c r="N50" s="45">
        <v>7.9841748927591619E-3</v>
      </c>
      <c r="O50" s="45">
        <v>0</v>
      </c>
      <c r="P50" s="45">
        <v>0</v>
      </c>
      <c r="Q50" s="45">
        <v>0</v>
      </c>
      <c r="R50" s="45">
        <v>10.469201321364043</v>
      </c>
      <c r="S50" s="45">
        <v>24.192731897140149</v>
      </c>
      <c r="T50" s="45">
        <v>0</v>
      </c>
      <c r="U50" s="45">
        <v>35.12877917169358</v>
      </c>
      <c r="V50" s="45">
        <v>3.15</v>
      </c>
      <c r="W50" s="45">
        <v>7.35</v>
      </c>
      <c r="X50" s="45">
        <v>0</v>
      </c>
      <c r="Y50" s="45">
        <v>0</v>
      </c>
      <c r="Z50" s="45">
        <v>0</v>
      </c>
      <c r="AA50" s="45">
        <v>0</v>
      </c>
      <c r="AB50" s="45">
        <v>0</v>
      </c>
      <c r="AC50" s="45">
        <v>0</v>
      </c>
      <c r="AD50" s="45">
        <v>0</v>
      </c>
      <c r="AE50" s="45">
        <v>0</v>
      </c>
      <c r="AF50" s="45">
        <v>0</v>
      </c>
      <c r="AG50" s="45">
        <v>-65.489735300918653</v>
      </c>
      <c r="AH50" s="45">
        <v>13.619201321364043</v>
      </c>
      <c r="AI50" s="45">
        <v>31.54273189714015</v>
      </c>
      <c r="AJ50" s="45">
        <v>0</v>
      </c>
      <c r="AK50" s="45">
        <v>-30.360956129225073</v>
      </c>
      <c r="AL50" s="45">
        <v>14.800977089279115</v>
      </c>
      <c r="AM50" s="45">
        <v>32.236277622637026</v>
      </c>
      <c r="AN50" s="45">
        <v>2.8417062635506376</v>
      </c>
      <c r="AO50" s="45">
        <v>0</v>
      </c>
      <c r="AP50" s="45">
        <v>0</v>
      </c>
      <c r="AQ50" s="45">
        <v>35.077983886187667</v>
      </c>
      <c r="AR50" s="45">
        <v>13.619201321364043</v>
      </c>
      <c r="AS50" s="207">
        <v>2.5756270913744301</v>
      </c>
      <c r="AT50" s="45">
        <v>32.236277622637026</v>
      </c>
      <c r="AU50" s="45">
        <v>3.3637338140247262</v>
      </c>
      <c r="AV50" s="45">
        <v>0</v>
      </c>
      <c r="AW50" s="45">
        <v>0</v>
      </c>
      <c r="AX50" s="45">
        <v>35.600011436661752</v>
      </c>
      <c r="AY50" s="45">
        <v>31.54273189714015</v>
      </c>
      <c r="AZ50" s="207">
        <v>1.1286280323705715</v>
      </c>
      <c r="BA50" s="45">
        <v>32.236277622637026</v>
      </c>
      <c r="BB50" s="45">
        <v>6.2054400775753642</v>
      </c>
      <c r="BC50" s="45">
        <v>0</v>
      </c>
      <c r="BD50" s="45">
        <v>0</v>
      </c>
      <c r="BE50" s="45">
        <v>38.441717700212394</v>
      </c>
      <c r="BF50" s="45">
        <v>45.161933218504188</v>
      </c>
      <c r="BG50" s="45">
        <v>44.76623735042827</v>
      </c>
      <c r="BH50" s="187">
        <v>0.85119734609725872</v>
      </c>
      <c r="BI50" s="45">
        <v>15.650289585098749</v>
      </c>
      <c r="BJ50" s="45">
        <v>36.2468309886128</v>
      </c>
      <c r="BK50" s="45">
        <v>0</v>
      </c>
      <c r="BL50" s="45">
        <v>-34.888812074279649</v>
      </c>
      <c r="BM50" s="45">
        <v>17.008308499431891</v>
      </c>
      <c r="BN50" s="45">
        <v>32.236277622637026</v>
      </c>
      <c r="BO50" s="45">
        <v>0</v>
      </c>
      <c r="BP50" s="45">
        <v>6.2054400775753642</v>
      </c>
      <c r="BQ50" s="45">
        <v>0</v>
      </c>
      <c r="BR50" s="45">
        <v>0</v>
      </c>
      <c r="BS50" s="45">
        <v>0</v>
      </c>
      <c r="BT50" s="45">
        <v>0</v>
      </c>
      <c r="BU50" s="45">
        <v>0</v>
      </c>
      <c r="BV50" s="45">
        <v>0</v>
      </c>
      <c r="BW50" s="45">
        <v>0</v>
      </c>
      <c r="BX50" s="45">
        <v>69.790712390197768</v>
      </c>
      <c r="BY50" s="45">
        <v>10.5</v>
      </c>
      <c r="BZ50" s="45">
        <v>0</v>
      </c>
      <c r="CA50" s="45">
        <v>-65.489735300918653</v>
      </c>
      <c r="CB50" s="45">
        <v>38.441717700212394</v>
      </c>
      <c r="CC50" s="45">
        <v>14.800977089279115</v>
      </c>
      <c r="CD50" s="207">
        <v>1.2944392932527953</v>
      </c>
      <c r="CE50" s="45">
        <v>9.8774252761486263</v>
      </c>
      <c r="CF50" s="45">
        <v>0.60831223392747835</v>
      </c>
      <c r="CG50" s="45">
        <v>0</v>
      </c>
      <c r="CH50" s="45">
        <v>0.60831223392747835</v>
      </c>
      <c r="CI50" s="45">
        <v>3.0415361727402081E-2</v>
      </c>
      <c r="CJ50" s="45">
        <v>0</v>
      </c>
      <c r="CK50" s="45">
        <v>3.0415361727402081E-2</v>
      </c>
      <c r="CL50" s="45"/>
      <c r="CM50" s="45">
        <v>0</v>
      </c>
      <c r="CN50" s="45"/>
      <c r="CO50" s="45">
        <v>0</v>
      </c>
      <c r="CP50" s="45">
        <v>0</v>
      </c>
      <c r="CQ50" s="45">
        <v>0</v>
      </c>
      <c r="CR50" s="45">
        <v>0</v>
      </c>
      <c r="CS50" s="45">
        <v>0</v>
      </c>
      <c r="CT50" s="45">
        <v>0</v>
      </c>
      <c r="CU50" s="45">
        <v>0</v>
      </c>
      <c r="CV50" s="45">
        <v>9999</v>
      </c>
      <c r="CW50" s="207">
        <v>9999</v>
      </c>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c r="A51" s="24" t="s">
        <v>578</v>
      </c>
      <c r="B51" s="24"/>
      <c r="C51" s="45">
        <v>15</v>
      </c>
      <c r="D51" s="45">
        <v>29.731440000000003</v>
      </c>
      <c r="E51" s="45">
        <v>0</v>
      </c>
      <c r="F51" s="45">
        <v>52.5</v>
      </c>
      <c r="G51" s="45">
        <v>0</v>
      </c>
      <c r="H51" s="45">
        <v>-65.489735300918653</v>
      </c>
      <c r="I51" s="45"/>
      <c r="J51" s="45"/>
      <c r="K51" s="45"/>
      <c r="L51" s="45">
        <v>31.912740614515091</v>
      </c>
      <c r="M51" s="45">
        <v>4.008119645135289E-3</v>
      </c>
      <c r="N51" s="45">
        <v>3.9791908349522164E-3</v>
      </c>
      <c r="O51" s="45">
        <v>0</v>
      </c>
      <c r="P51" s="45">
        <v>0</v>
      </c>
      <c r="Q51" s="45">
        <v>0</v>
      </c>
      <c r="R51" s="45">
        <v>10.469201321364043</v>
      </c>
      <c r="S51" s="45">
        <v>24.192731897140149</v>
      </c>
      <c r="T51" s="45">
        <v>0</v>
      </c>
      <c r="U51" s="45">
        <v>35.12877917169358</v>
      </c>
      <c r="V51" s="45">
        <v>3.15</v>
      </c>
      <c r="W51" s="45">
        <v>7.35</v>
      </c>
      <c r="X51" s="45">
        <v>0</v>
      </c>
      <c r="Y51" s="45">
        <v>0</v>
      </c>
      <c r="Z51" s="45">
        <v>0</v>
      </c>
      <c r="AA51" s="45">
        <v>0</v>
      </c>
      <c r="AB51" s="45">
        <v>0</v>
      </c>
      <c r="AC51" s="45">
        <v>0</v>
      </c>
      <c r="AD51" s="45">
        <v>0</v>
      </c>
      <c r="AE51" s="45">
        <v>0</v>
      </c>
      <c r="AF51" s="45">
        <v>0</v>
      </c>
      <c r="AG51" s="45">
        <v>-65.489735300918653</v>
      </c>
      <c r="AH51" s="45">
        <v>13.619201321364043</v>
      </c>
      <c r="AI51" s="45">
        <v>31.54273189714015</v>
      </c>
      <c r="AJ51" s="45">
        <v>0</v>
      </c>
      <c r="AK51" s="45">
        <v>-30.360956129225073</v>
      </c>
      <c r="AL51" s="45">
        <v>14.800977089279115</v>
      </c>
      <c r="AM51" s="45">
        <v>16.066068465672565</v>
      </c>
      <c r="AN51" s="45">
        <v>1.4162630041836812</v>
      </c>
      <c r="AO51" s="45">
        <v>0</v>
      </c>
      <c r="AP51" s="45">
        <v>0</v>
      </c>
      <c r="AQ51" s="45">
        <v>17.482331469856245</v>
      </c>
      <c r="AR51" s="45">
        <v>13.619201321364043</v>
      </c>
      <c r="AS51" s="207">
        <v>1.2836532082415304</v>
      </c>
      <c r="AT51" s="45">
        <v>16.066068465672565</v>
      </c>
      <c r="AU51" s="45">
        <v>1.6764335631130574</v>
      </c>
      <c r="AV51" s="45">
        <v>0</v>
      </c>
      <c r="AW51" s="45">
        <v>0</v>
      </c>
      <c r="AX51" s="45">
        <v>17.742502028785623</v>
      </c>
      <c r="AY51" s="45">
        <v>31.54273189714015</v>
      </c>
      <c r="AZ51" s="187">
        <v>0.56249097531067882</v>
      </c>
      <c r="BA51" s="45">
        <v>16.066068465672565</v>
      </c>
      <c r="BB51" s="45">
        <v>3.0926965672967386</v>
      </c>
      <c r="BC51" s="45">
        <v>0</v>
      </c>
      <c r="BD51" s="45">
        <v>0</v>
      </c>
      <c r="BE51" s="45">
        <v>19.158765032969303</v>
      </c>
      <c r="BF51" s="45">
        <v>45.161933218504188</v>
      </c>
      <c r="BG51" s="45">
        <v>96.999756466456148</v>
      </c>
      <c r="BH51" s="187">
        <v>0.42422375809898649</v>
      </c>
      <c r="BI51" s="45">
        <v>31.402024771515169</v>
      </c>
      <c r="BJ51" s="45">
        <v>72.728614918224267</v>
      </c>
      <c r="BK51" s="45">
        <v>0</v>
      </c>
      <c r="BL51" s="45">
        <v>-70.003774374143902</v>
      </c>
      <c r="BM51" s="45">
        <v>34.126865315595516</v>
      </c>
      <c r="BN51" s="45">
        <v>16.066068465672565</v>
      </c>
      <c r="BO51" s="45">
        <v>0</v>
      </c>
      <c r="BP51" s="45">
        <v>3.0926965672967386</v>
      </c>
      <c r="BQ51" s="45">
        <v>0</v>
      </c>
      <c r="BR51" s="45">
        <v>0</v>
      </c>
      <c r="BS51" s="45">
        <v>0</v>
      </c>
      <c r="BT51" s="45">
        <v>0</v>
      </c>
      <c r="BU51" s="45">
        <v>0</v>
      </c>
      <c r="BV51" s="45">
        <v>0</v>
      </c>
      <c r="BW51" s="45">
        <v>0</v>
      </c>
      <c r="BX51" s="45">
        <v>69.790712390197768</v>
      </c>
      <c r="BY51" s="45">
        <v>10.5</v>
      </c>
      <c r="BZ51" s="45">
        <v>0</v>
      </c>
      <c r="CA51" s="45">
        <v>-65.489735300918653</v>
      </c>
      <c r="CB51" s="45">
        <v>19.158765032969303</v>
      </c>
      <c r="CC51" s="45">
        <v>14.800977089279115</v>
      </c>
      <c r="CD51" s="207">
        <v>1.0542751186776393</v>
      </c>
      <c r="CE51" s="45">
        <v>26.995982092312257</v>
      </c>
      <c r="CF51" s="45">
        <v>0.30317352745225556</v>
      </c>
      <c r="CG51" s="45">
        <v>0</v>
      </c>
      <c r="CH51" s="45">
        <v>0.30317352745225556</v>
      </c>
      <c r="CI51" s="45">
        <v>1.5158551791894665E-2</v>
      </c>
      <c r="CJ51" s="45">
        <v>0</v>
      </c>
      <c r="CK51" s="45">
        <v>1.5158551791894665E-2</v>
      </c>
      <c r="CL51" s="45"/>
      <c r="CM51" s="45">
        <v>0</v>
      </c>
      <c r="CN51" s="45"/>
      <c r="CO51" s="45">
        <v>0</v>
      </c>
      <c r="CP51" s="45">
        <v>0</v>
      </c>
      <c r="CQ51" s="45">
        <v>0</v>
      </c>
      <c r="CR51" s="45">
        <v>0</v>
      </c>
      <c r="CS51" s="45">
        <v>0</v>
      </c>
      <c r="CT51" s="45">
        <v>0</v>
      </c>
      <c r="CU51" s="45">
        <v>0</v>
      </c>
      <c r="CV51" s="45">
        <v>9999</v>
      </c>
      <c r="CW51" s="207">
        <v>9999</v>
      </c>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t="s">
        <v>622</v>
      </c>
      <c r="B52" s="24"/>
      <c r="C52" s="45">
        <v>15</v>
      </c>
      <c r="D52" s="45">
        <v>29.731440000000003</v>
      </c>
      <c r="E52" s="45">
        <v>0</v>
      </c>
      <c r="F52" s="45">
        <v>52.5</v>
      </c>
      <c r="G52" s="45">
        <v>0</v>
      </c>
      <c r="H52" s="45">
        <v>-65.489735300918653</v>
      </c>
      <c r="I52" s="45"/>
      <c r="J52" s="45"/>
      <c r="K52" s="45"/>
      <c r="L52" s="45">
        <v>31.912740614515091</v>
      </c>
      <c r="M52" s="45">
        <v>4.008119645135289E-3</v>
      </c>
      <c r="N52" s="45">
        <v>3.9791908349522164E-3</v>
      </c>
      <c r="O52" s="45">
        <v>0</v>
      </c>
      <c r="P52" s="45">
        <v>0</v>
      </c>
      <c r="Q52" s="45">
        <v>0</v>
      </c>
      <c r="R52" s="45">
        <v>10.469201321364043</v>
      </c>
      <c r="S52" s="45">
        <v>24.192731897140149</v>
      </c>
      <c r="T52" s="45">
        <v>0</v>
      </c>
      <c r="U52" s="45">
        <v>35.12877917169358</v>
      </c>
      <c r="V52" s="45">
        <v>3.15</v>
      </c>
      <c r="W52" s="45">
        <v>7.35</v>
      </c>
      <c r="X52" s="45">
        <v>0</v>
      </c>
      <c r="Y52" s="45">
        <v>0</v>
      </c>
      <c r="Z52" s="45">
        <v>0</v>
      </c>
      <c r="AA52" s="45">
        <v>0</v>
      </c>
      <c r="AB52" s="45">
        <v>0</v>
      </c>
      <c r="AC52" s="45">
        <v>0</v>
      </c>
      <c r="AD52" s="45">
        <v>0</v>
      </c>
      <c r="AE52" s="45">
        <v>0</v>
      </c>
      <c r="AF52" s="45">
        <v>0</v>
      </c>
      <c r="AG52" s="45">
        <v>-65.489735300918653</v>
      </c>
      <c r="AH52" s="45">
        <v>13.619201321364043</v>
      </c>
      <c r="AI52" s="45">
        <v>31.54273189714015</v>
      </c>
      <c r="AJ52" s="45">
        <v>0</v>
      </c>
      <c r="AK52" s="45">
        <v>-30.360956129225073</v>
      </c>
      <c r="AL52" s="45">
        <v>14.800977089279115</v>
      </c>
      <c r="AM52" s="45">
        <v>16.066068465672565</v>
      </c>
      <c r="AN52" s="45">
        <v>1.4162630041836812</v>
      </c>
      <c r="AO52" s="45">
        <v>0</v>
      </c>
      <c r="AP52" s="45">
        <v>0</v>
      </c>
      <c r="AQ52" s="45">
        <v>17.482331469856245</v>
      </c>
      <c r="AR52" s="45">
        <v>13.619201321364043</v>
      </c>
      <c r="AS52" s="207">
        <v>1.2836532082415304</v>
      </c>
      <c r="AT52" s="45">
        <v>16.066068465672565</v>
      </c>
      <c r="AU52" s="45">
        <v>1.6764335631130574</v>
      </c>
      <c r="AV52" s="45">
        <v>0</v>
      </c>
      <c r="AW52" s="45">
        <v>0</v>
      </c>
      <c r="AX52" s="45">
        <v>17.742502028785623</v>
      </c>
      <c r="AY52" s="45">
        <v>31.54273189714015</v>
      </c>
      <c r="AZ52" s="187">
        <v>0.56249097531067882</v>
      </c>
      <c r="BA52" s="45">
        <v>16.066068465672565</v>
      </c>
      <c r="BB52" s="45">
        <v>3.0926965672967386</v>
      </c>
      <c r="BC52" s="45">
        <v>0</v>
      </c>
      <c r="BD52" s="45">
        <v>0</v>
      </c>
      <c r="BE52" s="45">
        <v>19.158765032969303</v>
      </c>
      <c r="BF52" s="45">
        <v>45.161933218504188</v>
      </c>
      <c r="BG52" s="45">
        <v>96.999756466456148</v>
      </c>
      <c r="BH52" s="187">
        <v>0.42422375809898649</v>
      </c>
      <c r="BI52" s="45">
        <v>31.402024771515169</v>
      </c>
      <c r="BJ52" s="45">
        <v>72.728614918224267</v>
      </c>
      <c r="BK52" s="45">
        <v>0</v>
      </c>
      <c r="BL52" s="45">
        <v>-70.003774374143902</v>
      </c>
      <c r="BM52" s="45">
        <v>34.126865315595516</v>
      </c>
      <c r="BN52" s="45">
        <v>16.066068465672565</v>
      </c>
      <c r="BO52" s="45">
        <v>0</v>
      </c>
      <c r="BP52" s="45">
        <v>3.0926965672967386</v>
      </c>
      <c r="BQ52" s="45">
        <v>0</v>
      </c>
      <c r="BR52" s="45">
        <v>0</v>
      </c>
      <c r="BS52" s="45">
        <v>0</v>
      </c>
      <c r="BT52" s="45">
        <v>0</v>
      </c>
      <c r="BU52" s="45">
        <v>0</v>
      </c>
      <c r="BV52" s="45">
        <v>0</v>
      </c>
      <c r="BW52" s="45">
        <v>0</v>
      </c>
      <c r="BX52" s="45">
        <v>69.790712390197768</v>
      </c>
      <c r="BY52" s="45">
        <v>10.5</v>
      </c>
      <c r="BZ52" s="45">
        <v>0</v>
      </c>
      <c r="CA52" s="45">
        <v>-65.489735300918653</v>
      </c>
      <c r="CB52" s="45">
        <v>19.158765032969303</v>
      </c>
      <c r="CC52" s="45">
        <v>14.800977089279115</v>
      </c>
      <c r="CD52" s="207">
        <v>1.0542751186776393</v>
      </c>
      <c r="CE52" s="45">
        <v>26.995982092312257</v>
      </c>
      <c r="CF52" s="45">
        <v>0.30317352745225556</v>
      </c>
      <c r="CG52" s="45">
        <v>0</v>
      </c>
      <c r="CH52" s="45">
        <v>0.30317352745225556</v>
      </c>
      <c r="CI52" s="45">
        <v>1.5158551791894665E-2</v>
      </c>
      <c r="CJ52" s="45">
        <v>0</v>
      </c>
      <c r="CK52" s="45">
        <v>1.5158551791894665E-2</v>
      </c>
      <c r="CL52" s="45"/>
      <c r="CM52" s="45">
        <v>0</v>
      </c>
      <c r="CN52" s="45"/>
      <c r="CO52" s="45">
        <v>0</v>
      </c>
      <c r="CP52" s="45">
        <v>0</v>
      </c>
      <c r="CQ52" s="45">
        <v>0</v>
      </c>
      <c r="CR52" s="45">
        <v>0</v>
      </c>
      <c r="CS52" s="45">
        <v>0</v>
      </c>
      <c r="CT52" s="45">
        <v>0</v>
      </c>
      <c r="CU52" s="45">
        <v>0</v>
      </c>
      <c r="CV52" s="45">
        <v>9999</v>
      </c>
      <c r="CW52" s="207">
        <v>9999</v>
      </c>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4"/>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4"/>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ht="13.5" thickBot="1">
      <c r="A55" s="179" t="s">
        <v>511</v>
      </c>
      <c r="B55" s="180"/>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ht="13.5" thickBot="1">
      <c r="A56" s="208" t="s">
        <v>512</v>
      </c>
      <c r="B56" s="209"/>
      <c r="C56" s="210"/>
      <c r="D56" s="210"/>
      <c r="E56" s="210"/>
      <c r="F56" s="210"/>
      <c r="G56" s="210"/>
      <c r="H56" s="210"/>
      <c r="I56" s="210"/>
      <c r="J56" s="210"/>
      <c r="K56" s="210"/>
      <c r="L56" s="114"/>
      <c r="M56" s="211"/>
      <c r="N56" s="212" t="s">
        <v>513</v>
      </c>
      <c r="O56" s="210"/>
      <c r="P56" s="210"/>
      <c r="Q56" s="210"/>
      <c r="R56" s="210"/>
      <c r="S56" s="210"/>
      <c r="T56" s="210"/>
      <c r="U56" s="210"/>
      <c r="V56" s="210"/>
      <c r="W56" s="210"/>
      <c r="X56" s="210"/>
      <c r="Y56" s="114"/>
      <c r="Z56" s="211"/>
      <c r="AA56" s="212" t="s">
        <v>514</v>
      </c>
      <c r="AB56" s="210"/>
      <c r="AC56" s="210"/>
      <c r="AD56" s="210"/>
      <c r="AE56" s="210"/>
      <c r="AF56" s="210"/>
      <c r="AG56" s="210"/>
      <c r="AH56" s="210"/>
      <c r="AI56" s="210"/>
      <c r="AJ56" s="210"/>
      <c r="AK56" s="210"/>
      <c r="AL56" s="114"/>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ht="102">
      <c r="A57" s="184"/>
      <c r="B57" s="185" t="s">
        <v>515</v>
      </c>
      <c r="C57" s="186" t="s">
        <v>516</v>
      </c>
      <c r="D57" s="186" t="s">
        <v>330</v>
      </c>
      <c r="E57" s="186" t="s">
        <v>331</v>
      </c>
      <c r="F57" s="186" t="s">
        <v>332</v>
      </c>
      <c r="G57" s="186" t="s">
        <v>333</v>
      </c>
      <c r="H57" s="186" t="s">
        <v>334</v>
      </c>
      <c r="I57" s="186" t="s">
        <v>335</v>
      </c>
      <c r="J57" s="186" t="s">
        <v>336</v>
      </c>
      <c r="K57" s="186" t="s">
        <v>61</v>
      </c>
      <c r="L57" s="186" t="s">
        <v>337</v>
      </c>
      <c r="M57" s="186" t="s">
        <v>338</v>
      </c>
      <c r="N57" s="186" t="s">
        <v>216</v>
      </c>
      <c r="O57" s="186" t="s">
        <v>217</v>
      </c>
      <c r="P57" s="186" t="s">
        <v>218</v>
      </c>
      <c r="Q57" s="186" t="s">
        <v>219</v>
      </c>
      <c r="R57" s="186" t="s">
        <v>220</v>
      </c>
      <c r="S57" s="186" t="s">
        <v>221</v>
      </c>
      <c r="T57" s="186" t="s">
        <v>222</v>
      </c>
      <c r="U57" s="186" t="s">
        <v>223</v>
      </c>
      <c r="V57" s="186" t="s">
        <v>224</v>
      </c>
      <c r="W57" s="186" t="s">
        <v>225</v>
      </c>
      <c r="X57" s="186" t="s">
        <v>226</v>
      </c>
      <c r="Y57" s="186" t="s">
        <v>227</v>
      </c>
      <c r="Z57" s="186"/>
      <c r="AA57" s="186" t="s">
        <v>216</v>
      </c>
      <c r="AB57" s="186" t="s">
        <v>217</v>
      </c>
      <c r="AC57" s="186" t="s">
        <v>218</v>
      </c>
      <c r="AD57" s="186" t="s">
        <v>219</v>
      </c>
      <c r="AE57" s="186" t="s">
        <v>220</v>
      </c>
      <c r="AF57" s="186" t="s">
        <v>221</v>
      </c>
      <c r="AG57" s="186" t="s">
        <v>222</v>
      </c>
      <c r="AH57" s="186" t="s">
        <v>223</v>
      </c>
      <c r="AI57" s="186" t="s">
        <v>224</v>
      </c>
      <c r="AJ57" s="186" t="s">
        <v>225</v>
      </c>
      <c r="AK57" s="186" t="s">
        <v>226</v>
      </c>
      <c r="AL57" s="186" t="s">
        <v>227</v>
      </c>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c r="A58" s="24"/>
      <c r="B58" s="213" t="s">
        <v>517</v>
      </c>
      <c r="C58" s="247">
        <v>191.89016218651267</v>
      </c>
      <c r="D58" s="247">
        <v>210</v>
      </c>
      <c r="E58" s="247">
        <v>0</v>
      </c>
      <c r="F58" s="247">
        <v>210</v>
      </c>
      <c r="G58" s="247">
        <v>17.203908357116461</v>
      </c>
      <c r="H58" s="247">
        <v>115.20096546636339</v>
      </c>
      <c r="I58" s="247">
        <v>9586.7343017405583</v>
      </c>
      <c r="J58" s="247">
        <v>46.034650370097516</v>
      </c>
      <c r="K58" s="247">
        <v>-0.53391298267480569</v>
      </c>
      <c r="L58" s="207">
        <v>1.3972870729992493</v>
      </c>
      <c r="M58" s="45">
        <v>1.8229715227594678</v>
      </c>
      <c r="N58" s="70">
        <v>9.267417470658172</v>
      </c>
      <c r="O58" s="70">
        <v>8.7077059492243585</v>
      </c>
      <c r="P58" s="70">
        <v>9.8765527593421769</v>
      </c>
      <c r="Q58" s="70">
        <v>8.9990090334147155</v>
      </c>
      <c r="R58" s="70">
        <v>9.2299727357605672</v>
      </c>
      <c r="S58" s="70">
        <v>9.200556435603346</v>
      </c>
      <c r="T58" s="70">
        <v>8.8095073452048975</v>
      </c>
      <c r="U58" s="70">
        <v>10.049421068304596</v>
      </c>
      <c r="V58" s="70">
        <v>8.6556946353217512</v>
      </c>
      <c r="W58" s="70">
        <v>9.8337472011164131</v>
      </c>
      <c r="X58" s="70">
        <v>8.4982986460146854</v>
      </c>
      <c r="Y58" s="70">
        <v>8.6527511893020446</v>
      </c>
      <c r="Z58" s="70"/>
      <c r="AA58" s="70">
        <v>7.460956301338693</v>
      </c>
      <c r="AB58" s="70">
        <v>6.7111640964179031</v>
      </c>
      <c r="AC58" s="70">
        <v>6.6749975903185179</v>
      </c>
      <c r="AD58" s="70">
        <v>6.7073879272690622</v>
      </c>
      <c r="AE58" s="70">
        <v>6.7940352760944771</v>
      </c>
      <c r="AF58" s="70">
        <v>6.2982881340603791</v>
      </c>
      <c r="AG58" s="70">
        <v>7.0812725904224472</v>
      </c>
      <c r="AH58" s="70">
        <v>6.7484359767629591</v>
      </c>
      <c r="AI58" s="70">
        <v>7.057821897122996</v>
      </c>
      <c r="AJ58" s="70">
        <v>6.6209496647675232</v>
      </c>
      <c r="AK58" s="70">
        <v>6.9634355391166673</v>
      </c>
      <c r="AL58" s="70">
        <v>6.9907827235533091</v>
      </c>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c r="A59" s="24"/>
      <c r="B59" s="213" t="s">
        <v>518</v>
      </c>
      <c r="C59" s="247">
        <v>191.89016218651267</v>
      </c>
      <c r="D59" s="247">
        <v>210</v>
      </c>
      <c r="E59" s="247">
        <v>42</v>
      </c>
      <c r="F59" s="247">
        <v>252</v>
      </c>
      <c r="G59" s="247">
        <v>59.203908357116461</v>
      </c>
      <c r="H59" s="247">
        <v>115.20096546636339</v>
      </c>
      <c r="I59" s="247">
        <v>11504.081162088671</v>
      </c>
      <c r="J59" s="247">
        <v>62.139871599722532</v>
      </c>
      <c r="K59" s="247">
        <v>15.57130824695021</v>
      </c>
      <c r="L59" s="207">
        <v>1.2145571677619997</v>
      </c>
      <c r="M59" s="45">
        <v>1.8229715227594678</v>
      </c>
      <c r="N59" s="70">
        <v>3.0824789195819124</v>
      </c>
      <c r="O59" s="70">
        <v>2.8963106616687058</v>
      </c>
      <c r="P59" s="70">
        <v>3.2850862470802968</v>
      </c>
      <c r="Q59" s="70">
        <v>2.9932023382408417</v>
      </c>
      <c r="R59" s="70">
        <v>3.0700242517808078</v>
      </c>
      <c r="S59" s="70">
        <v>3.0602399590785727</v>
      </c>
      <c r="T59" s="70">
        <v>2.9301712984736792</v>
      </c>
      <c r="U59" s="70">
        <v>3.3425847810491764</v>
      </c>
      <c r="V59" s="70">
        <v>2.8790109361311274</v>
      </c>
      <c r="W59" s="70">
        <v>3.2708484908456592</v>
      </c>
      <c r="X59" s="70">
        <v>2.8266587225180166</v>
      </c>
      <c r="Y59" s="70">
        <v>2.8780319028313541</v>
      </c>
      <c r="Z59" s="70"/>
      <c r="AA59" s="70">
        <v>2.4816234502884678</v>
      </c>
      <c r="AB59" s="70">
        <v>2.2322315702903142</v>
      </c>
      <c r="AC59" s="70">
        <v>2.2202020601275039</v>
      </c>
      <c r="AD59" s="70">
        <v>2.2309755610693061</v>
      </c>
      <c r="AE59" s="70">
        <v>2.2597957396182529</v>
      </c>
      <c r="AF59" s="70">
        <v>2.0949029720698671</v>
      </c>
      <c r="AG59" s="70">
        <v>2.3553350815262433</v>
      </c>
      <c r="AH59" s="70">
        <v>2.2446287441330344</v>
      </c>
      <c r="AI59" s="70">
        <v>2.3475350371261707</v>
      </c>
      <c r="AJ59" s="70">
        <v>2.2022249276970767</v>
      </c>
      <c r="AK59" s="70">
        <v>2.3161407506626781</v>
      </c>
      <c r="AL59" s="70">
        <v>2.325236825141114</v>
      </c>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c r="B60" s="213" t="s">
        <v>519</v>
      </c>
      <c r="C60" s="214"/>
      <c r="D60" s="214"/>
      <c r="E60" s="214"/>
      <c r="F60" s="214"/>
      <c r="G60" s="214"/>
      <c r="H60" s="214"/>
      <c r="I60" s="214"/>
      <c r="J60" s="214"/>
      <c r="K60" s="214"/>
      <c r="L60" s="187"/>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c r="B61" s="24" t="s">
        <v>68</v>
      </c>
      <c r="C61" s="215">
        <v>0</v>
      </c>
      <c r="D61" s="215">
        <v>0</v>
      </c>
      <c r="E61" s="215">
        <v>0</v>
      </c>
      <c r="F61" s="215">
        <v>0</v>
      </c>
      <c r="G61" s="215">
        <v>0</v>
      </c>
      <c r="H61" s="215">
        <v>0</v>
      </c>
      <c r="I61" s="215">
        <v>0</v>
      </c>
      <c r="J61" s="215">
        <v>0</v>
      </c>
      <c r="K61" s="215">
        <v>0</v>
      </c>
      <c r="L61" s="187">
        <v>0</v>
      </c>
      <c r="M61" s="215">
        <v>0</v>
      </c>
      <c r="N61" s="215">
        <v>0</v>
      </c>
      <c r="O61" s="215">
        <v>0</v>
      </c>
      <c r="P61" s="215">
        <v>0</v>
      </c>
      <c r="Q61" s="215">
        <v>0</v>
      </c>
      <c r="R61" s="215">
        <v>0</v>
      </c>
      <c r="S61" s="215">
        <v>0</v>
      </c>
      <c r="T61" s="215">
        <v>0</v>
      </c>
      <c r="U61" s="215">
        <v>0</v>
      </c>
      <c r="V61" s="215">
        <v>0</v>
      </c>
      <c r="W61" s="215">
        <v>0</v>
      </c>
      <c r="X61" s="215">
        <v>0</v>
      </c>
      <c r="Y61" s="215">
        <v>0</v>
      </c>
      <c r="Z61" s="215"/>
      <c r="AA61" s="215">
        <v>0</v>
      </c>
      <c r="AB61" s="215">
        <v>0</v>
      </c>
      <c r="AC61" s="215">
        <v>0</v>
      </c>
      <c r="AD61" s="215">
        <v>0</v>
      </c>
      <c r="AE61" s="215">
        <v>0</v>
      </c>
      <c r="AF61" s="215">
        <v>0</v>
      </c>
      <c r="AG61" s="215">
        <v>0</v>
      </c>
      <c r="AH61" s="215">
        <v>0</v>
      </c>
      <c r="AI61" s="215">
        <v>0</v>
      </c>
      <c r="AJ61" s="215">
        <v>0</v>
      </c>
      <c r="AK61" s="215">
        <v>0</v>
      </c>
      <c r="AL61" s="215">
        <v>0</v>
      </c>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c r="B62" s="24" t="s">
        <v>71</v>
      </c>
      <c r="C62" s="45">
        <v>128.06468095748249</v>
      </c>
      <c r="D62" s="45">
        <v>105</v>
      </c>
      <c r="E62" s="45">
        <v>21</v>
      </c>
      <c r="F62" s="45">
        <v>126</v>
      </c>
      <c r="G62" s="45">
        <v>29.601954178558231</v>
      </c>
      <c r="H62" s="45">
        <v>76.883435400424787</v>
      </c>
      <c r="I62" s="45">
        <v>8618.769763432656</v>
      </c>
      <c r="J62" s="45">
        <v>44.76623735042827</v>
      </c>
      <c r="K62" s="45">
        <v>9.8774252761486263</v>
      </c>
      <c r="L62" s="207">
        <v>1.2944392932527953</v>
      </c>
      <c r="M62" s="45">
        <v>1.2166244678549567</v>
      </c>
      <c r="N62" s="70">
        <v>6.18493855107626</v>
      </c>
      <c r="O62" s="70">
        <v>5.8113952875556532</v>
      </c>
      <c r="P62" s="70">
        <v>6.5914665122618805</v>
      </c>
      <c r="Q62" s="70">
        <v>6.0058066951738747</v>
      </c>
      <c r="R62" s="70">
        <v>6.1599484839797594</v>
      </c>
      <c r="S62" s="70">
        <v>6.1403164765247729</v>
      </c>
      <c r="T62" s="70">
        <v>5.8793360467312183</v>
      </c>
      <c r="U62" s="70">
        <v>6.7068362872554195</v>
      </c>
      <c r="V62" s="70">
        <v>5.7766836991906239</v>
      </c>
      <c r="W62" s="70">
        <v>6.5628987102707539</v>
      </c>
      <c r="X62" s="70">
        <v>5.6716399234966692</v>
      </c>
      <c r="Y62" s="70">
        <v>5.77471928647069</v>
      </c>
      <c r="Z62" s="70"/>
      <c r="AA62" s="70">
        <v>4.9793328510502253</v>
      </c>
      <c r="AB62" s="70">
        <v>4.4789325261275899</v>
      </c>
      <c r="AC62" s="70">
        <v>4.4547955301910145</v>
      </c>
      <c r="AD62" s="70">
        <v>4.4764123661997566</v>
      </c>
      <c r="AE62" s="70">
        <v>4.5342395364762238</v>
      </c>
      <c r="AF62" s="70">
        <v>4.2033851619905116</v>
      </c>
      <c r="AG62" s="70">
        <v>4.7259375088962043</v>
      </c>
      <c r="AH62" s="70">
        <v>4.5038072326299243</v>
      </c>
      <c r="AI62" s="70">
        <v>4.7102868599968248</v>
      </c>
      <c r="AJ62" s="70">
        <v>4.4187247370704457</v>
      </c>
      <c r="AK62" s="70">
        <v>4.6472947884539888</v>
      </c>
      <c r="AL62" s="70">
        <v>4.6655458984121942</v>
      </c>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c r="B63" s="24" t="s">
        <v>74</v>
      </c>
      <c r="C63" s="215">
        <v>0</v>
      </c>
      <c r="D63" s="215">
        <v>0</v>
      </c>
      <c r="E63" s="215">
        <v>0</v>
      </c>
      <c r="F63" s="215">
        <v>0</v>
      </c>
      <c r="G63" s="215">
        <v>0</v>
      </c>
      <c r="H63" s="215">
        <v>0</v>
      </c>
      <c r="I63" s="215">
        <v>0</v>
      </c>
      <c r="J63" s="215">
        <v>0</v>
      </c>
      <c r="K63" s="215">
        <v>0</v>
      </c>
      <c r="L63" s="216">
        <v>0</v>
      </c>
      <c r="M63" s="215">
        <v>0</v>
      </c>
      <c r="N63" s="215">
        <v>0</v>
      </c>
      <c r="O63" s="215">
        <v>0</v>
      </c>
      <c r="P63" s="215">
        <v>0</v>
      </c>
      <c r="Q63" s="215">
        <v>0</v>
      </c>
      <c r="R63" s="215">
        <v>0</v>
      </c>
      <c r="S63" s="215">
        <v>0</v>
      </c>
      <c r="T63" s="215">
        <v>0</v>
      </c>
      <c r="U63" s="215">
        <v>0</v>
      </c>
      <c r="V63" s="215">
        <v>0</v>
      </c>
      <c r="W63" s="215">
        <v>0</v>
      </c>
      <c r="X63" s="215">
        <v>0</v>
      </c>
      <c r="Y63" s="215">
        <v>0</v>
      </c>
      <c r="Z63" s="215"/>
      <c r="AA63" s="215">
        <v>0</v>
      </c>
      <c r="AB63" s="215">
        <v>0</v>
      </c>
      <c r="AC63" s="215">
        <v>0</v>
      </c>
      <c r="AD63" s="215">
        <v>0</v>
      </c>
      <c r="AE63" s="215">
        <v>0</v>
      </c>
      <c r="AF63" s="215">
        <v>0</v>
      </c>
      <c r="AG63" s="215">
        <v>0</v>
      </c>
      <c r="AH63" s="215">
        <v>0</v>
      </c>
      <c r="AI63" s="215">
        <v>0</v>
      </c>
      <c r="AJ63" s="215">
        <v>0</v>
      </c>
      <c r="AK63" s="215">
        <v>0</v>
      </c>
      <c r="AL63" s="215">
        <v>0</v>
      </c>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c r="B64" s="24" t="s">
        <v>77</v>
      </c>
      <c r="C64" s="45">
        <v>63.825481229030181</v>
      </c>
      <c r="D64" s="45">
        <v>105</v>
      </c>
      <c r="E64" s="45">
        <v>21</v>
      </c>
      <c r="F64" s="45">
        <v>126</v>
      </c>
      <c r="G64" s="45">
        <v>29.601954178558231</v>
      </c>
      <c r="H64" s="45">
        <v>38.317530065938605</v>
      </c>
      <c r="I64" s="45">
        <v>17293.406626097938</v>
      </c>
      <c r="J64" s="45">
        <v>96.999756466456148</v>
      </c>
      <c r="K64" s="45">
        <v>26.995982092312257</v>
      </c>
      <c r="L64" s="207">
        <v>1.0542751186776393</v>
      </c>
      <c r="M64" s="45">
        <v>0.60634705490451113</v>
      </c>
      <c r="N64" s="70">
        <v>3.0824789195819124</v>
      </c>
      <c r="O64" s="70">
        <v>2.8963106616687058</v>
      </c>
      <c r="P64" s="70">
        <v>3.2850862470802968</v>
      </c>
      <c r="Q64" s="70">
        <v>2.9932023382408417</v>
      </c>
      <c r="R64" s="70">
        <v>3.0700242517808078</v>
      </c>
      <c r="S64" s="70">
        <v>3.0602399590785727</v>
      </c>
      <c r="T64" s="70">
        <v>2.9301712984736792</v>
      </c>
      <c r="U64" s="70">
        <v>3.3425847810491764</v>
      </c>
      <c r="V64" s="70">
        <v>2.8790109361311274</v>
      </c>
      <c r="W64" s="70">
        <v>3.2708484908456592</v>
      </c>
      <c r="X64" s="70">
        <v>2.8266587225180166</v>
      </c>
      <c r="Y64" s="70">
        <v>2.8780319028313541</v>
      </c>
      <c r="Z64" s="70"/>
      <c r="AA64" s="70">
        <v>2.4816234502884678</v>
      </c>
      <c r="AB64" s="70">
        <v>2.2322315702903142</v>
      </c>
      <c r="AC64" s="70">
        <v>2.2202020601275039</v>
      </c>
      <c r="AD64" s="70">
        <v>2.2309755610693061</v>
      </c>
      <c r="AE64" s="70">
        <v>2.2597957396182529</v>
      </c>
      <c r="AF64" s="70">
        <v>2.0949029720698671</v>
      </c>
      <c r="AG64" s="70">
        <v>2.3553350815262433</v>
      </c>
      <c r="AH64" s="70">
        <v>2.2446287441330344</v>
      </c>
      <c r="AI64" s="70">
        <v>2.3475350371261707</v>
      </c>
      <c r="AJ64" s="70">
        <v>2.2022249276970767</v>
      </c>
      <c r="AK64" s="70">
        <v>2.3161407506626781</v>
      </c>
      <c r="AL64" s="70">
        <v>2.325236825141114</v>
      </c>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c r="B65" s="24" t="s">
        <v>80</v>
      </c>
      <c r="C65" s="215">
        <v>0</v>
      </c>
      <c r="D65" s="215">
        <v>0</v>
      </c>
      <c r="E65" s="215">
        <v>0</v>
      </c>
      <c r="F65" s="215">
        <v>0</v>
      </c>
      <c r="G65" s="215">
        <v>0</v>
      </c>
      <c r="H65" s="215">
        <v>0</v>
      </c>
      <c r="I65" s="215">
        <v>0</v>
      </c>
      <c r="J65" s="215">
        <v>0</v>
      </c>
      <c r="K65" s="215">
        <v>0</v>
      </c>
      <c r="L65" s="216">
        <v>0</v>
      </c>
      <c r="M65" s="215">
        <v>0</v>
      </c>
      <c r="N65" s="215">
        <v>0</v>
      </c>
      <c r="O65" s="215">
        <v>0</v>
      </c>
      <c r="P65" s="215">
        <v>0</v>
      </c>
      <c r="Q65" s="215">
        <v>0</v>
      </c>
      <c r="R65" s="215">
        <v>0</v>
      </c>
      <c r="S65" s="215">
        <v>0</v>
      </c>
      <c r="T65" s="215">
        <v>0</v>
      </c>
      <c r="U65" s="215">
        <v>0</v>
      </c>
      <c r="V65" s="215">
        <v>0</v>
      </c>
      <c r="W65" s="215">
        <v>0</v>
      </c>
      <c r="X65" s="215">
        <v>0</v>
      </c>
      <c r="Y65" s="215">
        <v>0</v>
      </c>
      <c r="Z65" s="215"/>
      <c r="AA65" s="215">
        <v>0</v>
      </c>
      <c r="AB65" s="215">
        <v>0</v>
      </c>
      <c r="AC65" s="215">
        <v>0</v>
      </c>
      <c r="AD65" s="215">
        <v>0</v>
      </c>
      <c r="AE65" s="215">
        <v>0</v>
      </c>
      <c r="AF65" s="215">
        <v>0</v>
      </c>
      <c r="AG65" s="215">
        <v>0</v>
      </c>
      <c r="AH65" s="215">
        <v>0</v>
      </c>
      <c r="AI65" s="215">
        <v>0</v>
      </c>
      <c r="AJ65" s="215">
        <v>0</v>
      </c>
      <c r="AK65" s="215">
        <v>0</v>
      </c>
      <c r="AL65" s="215">
        <v>0</v>
      </c>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c r="B66" s="24" t="s">
        <v>83</v>
      </c>
      <c r="C66" s="215">
        <v>0</v>
      </c>
      <c r="D66" s="215">
        <v>0</v>
      </c>
      <c r="E66" s="215">
        <v>0</v>
      </c>
      <c r="F66" s="215">
        <v>0</v>
      </c>
      <c r="G66" s="215">
        <v>0</v>
      </c>
      <c r="H66" s="215">
        <v>0</v>
      </c>
      <c r="I66" s="215">
        <v>0</v>
      </c>
      <c r="J66" s="215">
        <v>0</v>
      </c>
      <c r="K66" s="215">
        <v>0</v>
      </c>
      <c r="L66" s="216">
        <v>0</v>
      </c>
      <c r="M66" s="215">
        <v>0</v>
      </c>
      <c r="N66" s="215">
        <v>0</v>
      </c>
      <c r="O66" s="215">
        <v>0</v>
      </c>
      <c r="P66" s="215">
        <v>0</v>
      </c>
      <c r="Q66" s="215">
        <v>0</v>
      </c>
      <c r="R66" s="215">
        <v>0</v>
      </c>
      <c r="S66" s="215">
        <v>0</v>
      </c>
      <c r="T66" s="215">
        <v>0</v>
      </c>
      <c r="U66" s="215">
        <v>0</v>
      </c>
      <c r="V66" s="215">
        <v>0</v>
      </c>
      <c r="W66" s="215">
        <v>0</v>
      </c>
      <c r="X66" s="215">
        <v>0</v>
      </c>
      <c r="Y66" s="215">
        <v>0</v>
      </c>
      <c r="Z66" s="215"/>
      <c r="AA66" s="215">
        <v>0</v>
      </c>
      <c r="AB66" s="215">
        <v>0</v>
      </c>
      <c r="AC66" s="215">
        <v>0</v>
      </c>
      <c r="AD66" s="215">
        <v>0</v>
      </c>
      <c r="AE66" s="215">
        <v>0</v>
      </c>
      <c r="AF66" s="215">
        <v>0</v>
      </c>
      <c r="AG66" s="215">
        <v>0</v>
      </c>
      <c r="AH66" s="215">
        <v>0</v>
      </c>
      <c r="AI66" s="215">
        <v>0</v>
      </c>
      <c r="AJ66" s="215">
        <v>0</v>
      </c>
      <c r="AK66" s="215">
        <v>0</v>
      </c>
      <c r="AL66" s="215">
        <v>0</v>
      </c>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c r="B67" s="24" t="s">
        <v>86</v>
      </c>
      <c r="C67" s="215">
        <v>0</v>
      </c>
      <c r="D67" s="215">
        <v>0</v>
      </c>
      <c r="E67" s="215">
        <v>0</v>
      </c>
      <c r="F67" s="215">
        <v>0</v>
      </c>
      <c r="G67" s="215">
        <v>0</v>
      </c>
      <c r="H67" s="215">
        <v>0</v>
      </c>
      <c r="I67" s="215">
        <v>0</v>
      </c>
      <c r="J67" s="215">
        <v>0</v>
      </c>
      <c r="K67" s="215">
        <v>0</v>
      </c>
      <c r="L67" s="216">
        <v>0</v>
      </c>
      <c r="M67" s="215">
        <v>0</v>
      </c>
      <c r="N67" s="215">
        <v>0</v>
      </c>
      <c r="O67" s="215">
        <v>0</v>
      </c>
      <c r="P67" s="215">
        <v>0</v>
      </c>
      <c r="Q67" s="215">
        <v>0</v>
      </c>
      <c r="R67" s="215">
        <v>0</v>
      </c>
      <c r="S67" s="215">
        <v>0</v>
      </c>
      <c r="T67" s="215">
        <v>0</v>
      </c>
      <c r="U67" s="215">
        <v>0</v>
      </c>
      <c r="V67" s="215">
        <v>0</v>
      </c>
      <c r="W67" s="215">
        <v>0</v>
      </c>
      <c r="X67" s="215">
        <v>0</v>
      </c>
      <c r="Y67" s="215">
        <v>0</v>
      </c>
      <c r="Z67" s="215"/>
      <c r="AA67" s="215">
        <v>0</v>
      </c>
      <c r="AB67" s="215">
        <v>0</v>
      </c>
      <c r="AC67" s="215">
        <v>0</v>
      </c>
      <c r="AD67" s="215">
        <v>0</v>
      </c>
      <c r="AE67" s="215">
        <v>0</v>
      </c>
      <c r="AF67" s="215">
        <v>0</v>
      </c>
      <c r="AG67" s="215">
        <v>0</v>
      </c>
      <c r="AH67" s="215">
        <v>0</v>
      </c>
      <c r="AI67" s="215">
        <v>0</v>
      </c>
      <c r="AJ67" s="215">
        <v>0</v>
      </c>
      <c r="AK67" s="215">
        <v>0</v>
      </c>
      <c r="AL67" s="215">
        <v>0</v>
      </c>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c r="B68" s="24" t="s">
        <v>89</v>
      </c>
      <c r="C68" s="215">
        <v>0</v>
      </c>
      <c r="D68" s="215">
        <v>0</v>
      </c>
      <c r="E68" s="215">
        <v>0</v>
      </c>
      <c r="F68" s="215">
        <v>0</v>
      </c>
      <c r="G68" s="215">
        <v>0</v>
      </c>
      <c r="H68" s="215">
        <v>0</v>
      </c>
      <c r="I68" s="215">
        <v>0</v>
      </c>
      <c r="J68" s="215">
        <v>0</v>
      </c>
      <c r="K68" s="215">
        <v>0</v>
      </c>
      <c r="L68" s="216">
        <v>0</v>
      </c>
      <c r="M68" s="215">
        <v>0</v>
      </c>
      <c r="N68" s="215">
        <v>0</v>
      </c>
      <c r="O68" s="215">
        <v>0</v>
      </c>
      <c r="P68" s="215">
        <v>0</v>
      </c>
      <c r="Q68" s="215">
        <v>0</v>
      </c>
      <c r="R68" s="215">
        <v>0</v>
      </c>
      <c r="S68" s="215">
        <v>0</v>
      </c>
      <c r="T68" s="215">
        <v>0</v>
      </c>
      <c r="U68" s="215">
        <v>0</v>
      </c>
      <c r="V68" s="215">
        <v>0</v>
      </c>
      <c r="W68" s="215">
        <v>0</v>
      </c>
      <c r="X68" s="215">
        <v>0</v>
      </c>
      <c r="Y68" s="215">
        <v>0</v>
      </c>
      <c r="Z68" s="215"/>
      <c r="AA68" s="215">
        <v>0</v>
      </c>
      <c r="AB68" s="215">
        <v>0</v>
      </c>
      <c r="AC68" s="215">
        <v>0</v>
      </c>
      <c r="AD68" s="215">
        <v>0</v>
      </c>
      <c r="AE68" s="215">
        <v>0</v>
      </c>
      <c r="AF68" s="215">
        <v>0</v>
      </c>
      <c r="AG68" s="215">
        <v>0</v>
      </c>
      <c r="AH68" s="215">
        <v>0</v>
      </c>
      <c r="AI68" s="215">
        <v>0</v>
      </c>
      <c r="AJ68" s="215">
        <v>0</v>
      </c>
      <c r="AK68" s="215">
        <v>0</v>
      </c>
      <c r="AL68" s="215">
        <v>0</v>
      </c>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c r="B69" s="24" t="s">
        <v>92</v>
      </c>
      <c r="C69" s="215">
        <v>0</v>
      </c>
      <c r="D69" s="215">
        <v>0</v>
      </c>
      <c r="E69" s="215">
        <v>0</v>
      </c>
      <c r="F69" s="215">
        <v>0</v>
      </c>
      <c r="G69" s="215">
        <v>0</v>
      </c>
      <c r="H69" s="215">
        <v>0</v>
      </c>
      <c r="I69" s="215">
        <v>0</v>
      </c>
      <c r="J69" s="215">
        <v>0</v>
      </c>
      <c r="K69" s="215">
        <v>0</v>
      </c>
      <c r="L69" s="216">
        <v>0</v>
      </c>
      <c r="M69" s="215">
        <v>0</v>
      </c>
      <c r="N69" s="215">
        <v>0</v>
      </c>
      <c r="O69" s="215">
        <v>0</v>
      </c>
      <c r="P69" s="215">
        <v>0</v>
      </c>
      <c r="Q69" s="215">
        <v>0</v>
      </c>
      <c r="R69" s="215">
        <v>0</v>
      </c>
      <c r="S69" s="215">
        <v>0</v>
      </c>
      <c r="T69" s="215">
        <v>0</v>
      </c>
      <c r="U69" s="215">
        <v>0</v>
      </c>
      <c r="V69" s="215">
        <v>0</v>
      </c>
      <c r="W69" s="215">
        <v>0</v>
      </c>
      <c r="X69" s="215">
        <v>0</v>
      </c>
      <c r="Y69" s="215">
        <v>0</v>
      </c>
      <c r="Z69" s="215"/>
      <c r="AA69" s="215">
        <v>0</v>
      </c>
      <c r="AB69" s="215">
        <v>0</v>
      </c>
      <c r="AC69" s="215">
        <v>0</v>
      </c>
      <c r="AD69" s="215">
        <v>0</v>
      </c>
      <c r="AE69" s="215">
        <v>0</v>
      </c>
      <c r="AF69" s="215">
        <v>0</v>
      </c>
      <c r="AG69" s="215">
        <v>0</v>
      </c>
      <c r="AH69" s="215">
        <v>0</v>
      </c>
      <c r="AI69" s="215">
        <v>0</v>
      </c>
      <c r="AJ69" s="215">
        <v>0</v>
      </c>
      <c r="AK69" s="215">
        <v>0</v>
      </c>
      <c r="AL69" s="215">
        <v>0</v>
      </c>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c r="B70" s="24" t="s">
        <v>95</v>
      </c>
      <c r="C70" s="215">
        <v>0</v>
      </c>
      <c r="D70" s="215">
        <v>0</v>
      </c>
      <c r="E70" s="215">
        <v>0</v>
      </c>
      <c r="F70" s="215">
        <v>0</v>
      </c>
      <c r="G70" s="215">
        <v>0</v>
      </c>
      <c r="H70" s="215">
        <v>0</v>
      </c>
      <c r="I70" s="215">
        <v>0</v>
      </c>
      <c r="J70" s="215">
        <v>0</v>
      </c>
      <c r="K70" s="215">
        <v>0</v>
      </c>
      <c r="L70" s="216">
        <v>0</v>
      </c>
      <c r="M70" s="215">
        <v>0</v>
      </c>
      <c r="N70" s="215">
        <v>0</v>
      </c>
      <c r="O70" s="215">
        <v>0</v>
      </c>
      <c r="P70" s="215">
        <v>0</v>
      </c>
      <c r="Q70" s="215">
        <v>0</v>
      </c>
      <c r="R70" s="215">
        <v>0</v>
      </c>
      <c r="S70" s="215">
        <v>0</v>
      </c>
      <c r="T70" s="215">
        <v>0</v>
      </c>
      <c r="U70" s="215">
        <v>0</v>
      </c>
      <c r="V70" s="215">
        <v>0</v>
      </c>
      <c r="W70" s="215">
        <v>0</v>
      </c>
      <c r="X70" s="215">
        <v>0</v>
      </c>
      <c r="Y70" s="215">
        <v>0</v>
      </c>
      <c r="Z70" s="215"/>
      <c r="AA70" s="215">
        <v>0</v>
      </c>
      <c r="AB70" s="215">
        <v>0</v>
      </c>
      <c r="AC70" s="215">
        <v>0</v>
      </c>
      <c r="AD70" s="215">
        <v>0</v>
      </c>
      <c r="AE70" s="215">
        <v>0</v>
      </c>
      <c r="AF70" s="215">
        <v>0</v>
      </c>
      <c r="AG70" s="215">
        <v>0</v>
      </c>
      <c r="AH70" s="215">
        <v>0</v>
      </c>
      <c r="AI70" s="215">
        <v>0</v>
      </c>
      <c r="AJ70" s="215">
        <v>0</v>
      </c>
      <c r="AK70" s="215">
        <v>0</v>
      </c>
      <c r="AL70" s="215">
        <v>0</v>
      </c>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c r="B71" s="24" t="s">
        <v>98</v>
      </c>
      <c r="C71" s="215">
        <v>0</v>
      </c>
      <c r="D71" s="215">
        <v>0</v>
      </c>
      <c r="E71" s="215">
        <v>0</v>
      </c>
      <c r="F71" s="215">
        <v>0</v>
      </c>
      <c r="G71" s="215">
        <v>0</v>
      </c>
      <c r="H71" s="215">
        <v>0</v>
      </c>
      <c r="I71" s="215">
        <v>0</v>
      </c>
      <c r="J71" s="215">
        <v>0</v>
      </c>
      <c r="K71" s="215">
        <v>0</v>
      </c>
      <c r="L71" s="216">
        <v>0</v>
      </c>
      <c r="M71" s="215">
        <v>0</v>
      </c>
      <c r="N71" s="215">
        <v>0</v>
      </c>
      <c r="O71" s="215">
        <v>0</v>
      </c>
      <c r="P71" s="215">
        <v>0</v>
      </c>
      <c r="Q71" s="215">
        <v>0</v>
      </c>
      <c r="R71" s="215">
        <v>0</v>
      </c>
      <c r="S71" s="215">
        <v>0</v>
      </c>
      <c r="T71" s="215">
        <v>0</v>
      </c>
      <c r="U71" s="215">
        <v>0</v>
      </c>
      <c r="V71" s="215">
        <v>0</v>
      </c>
      <c r="W71" s="215">
        <v>0</v>
      </c>
      <c r="X71" s="215">
        <v>0</v>
      </c>
      <c r="Y71" s="215">
        <v>0</v>
      </c>
      <c r="Z71" s="215"/>
      <c r="AA71" s="215">
        <v>0</v>
      </c>
      <c r="AB71" s="215">
        <v>0</v>
      </c>
      <c r="AC71" s="215">
        <v>0</v>
      </c>
      <c r="AD71" s="215">
        <v>0</v>
      </c>
      <c r="AE71" s="215">
        <v>0</v>
      </c>
      <c r="AF71" s="215">
        <v>0</v>
      </c>
      <c r="AG71" s="215">
        <v>0</v>
      </c>
      <c r="AH71" s="215">
        <v>0</v>
      </c>
      <c r="AI71" s="215">
        <v>0</v>
      </c>
      <c r="AJ71" s="215">
        <v>0</v>
      </c>
      <c r="AK71" s="215">
        <v>0</v>
      </c>
      <c r="AL71" s="215">
        <v>0</v>
      </c>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c r="B72" s="24" t="s">
        <v>101</v>
      </c>
      <c r="C72" s="215">
        <v>0</v>
      </c>
      <c r="D72" s="215">
        <v>0</v>
      </c>
      <c r="E72" s="215">
        <v>0</v>
      </c>
      <c r="F72" s="215">
        <v>0</v>
      </c>
      <c r="G72" s="215">
        <v>0</v>
      </c>
      <c r="H72" s="215">
        <v>0</v>
      </c>
      <c r="I72" s="215">
        <v>0</v>
      </c>
      <c r="J72" s="215">
        <v>0</v>
      </c>
      <c r="K72" s="215">
        <v>0</v>
      </c>
      <c r="L72" s="216">
        <v>0</v>
      </c>
      <c r="M72" s="215">
        <v>0</v>
      </c>
      <c r="N72" s="215">
        <v>0</v>
      </c>
      <c r="O72" s="215">
        <v>0</v>
      </c>
      <c r="P72" s="215">
        <v>0</v>
      </c>
      <c r="Q72" s="215">
        <v>0</v>
      </c>
      <c r="R72" s="215">
        <v>0</v>
      </c>
      <c r="S72" s="215">
        <v>0</v>
      </c>
      <c r="T72" s="215">
        <v>0</v>
      </c>
      <c r="U72" s="215">
        <v>0</v>
      </c>
      <c r="V72" s="215">
        <v>0</v>
      </c>
      <c r="W72" s="215">
        <v>0</v>
      </c>
      <c r="X72" s="215">
        <v>0</v>
      </c>
      <c r="Y72" s="215">
        <v>0</v>
      </c>
      <c r="Z72" s="215"/>
      <c r="AA72" s="215">
        <v>0</v>
      </c>
      <c r="AB72" s="215">
        <v>0</v>
      </c>
      <c r="AC72" s="215">
        <v>0</v>
      </c>
      <c r="AD72" s="215">
        <v>0</v>
      </c>
      <c r="AE72" s="215">
        <v>0</v>
      </c>
      <c r="AF72" s="215">
        <v>0</v>
      </c>
      <c r="AG72" s="215">
        <v>0</v>
      </c>
      <c r="AH72" s="215">
        <v>0</v>
      </c>
      <c r="AI72" s="215">
        <v>0</v>
      </c>
      <c r="AJ72" s="215">
        <v>0</v>
      </c>
      <c r="AK72" s="215">
        <v>0</v>
      </c>
      <c r="AL72" s="215">
        <v>0</v>
      </c>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c r="B73" s="24" t="s">
        <v>104</v>
      </c>
      <c r="C73" s="215">
        <v>0</v>
      </c>
      <c r="D73" s="215">
        <v>0</v>
      </c>
      <c r="E73" s="215">
        <v>0</v>
      </c>
      <c r="F73" s="215">
        <v>0</v>
      </c>
      <c r="G73" s="215">
        <v>0</v>
      </c>
      <c r="H73" s="215">
        <v>0</v>
      </c>
      <c r="I73" s="215">
        <v>0</v>
      </c>
      <c r="J73" s="215">
        <v>0</v>
      </c>
      <c r="K73" s="215">
        <v>0</v>
      </c>
      <c r="L73" s="216">
        <v>0</v>
      </c>
      <c r="M73" s="215">
        <v>0</v>
      </c>
      <c r="N73" s="215">
        <v>0</v>
      </c>
      <c r="O73" s="215">
        <v>0</v>
      </c>
      <c r="P73" s="215">
        <v>0</v>
      </c>
      <c r="Q73" s="215">
        <v>0</v>
      </c>
      <c r="R73" s="215">
        <v>0</v>
      </c>
      <c r="S73" s="215">
        <v>0</v>
      </c>
      <c r="T73" s="215">
        <v>0</v>
      </c>
      <c r="U73" s="215">
        <v>0</v>
      </c>
      <c r="V73" s="215">
        <v>0</v>
      </c>
      <c r="W73" s="215">
        <v>0</v>
      </c>
      <c r="X73" s="215">
        <v>0</v>
      </c>
      <c r="Y73" s="215">
        <v>0</v>
      </c>
      <c r="Z73" s="215"/>
      <c r="AA73" s="215">
        <v>0</v>
      </c>
      <c r="AB73" s="215">
        <v>0</v>
      </c>
      <c r="AC73" s="215">
        <v>0</v>
      </c>
      <c r="AD73" s="215">
        <v>0</v>
      </c>
      <c r="AE73" s="215">
        <v>0</v>
      </c>
      <c r="AF73" s="215">
        <v>0</v>
      </c>
      <c r="AG73" s="215">
        <v>0</v>
      </c>
      <c r="AH73" s="215">
        <v>0</v>
      </c>
      <c r="AI73" s="215">
        <v>0</v>
      </c>
      <c r="AJ73" s="215">
        <v>0</v>
      </c>
      <c r="AK73" s="215">
        <v>0</v>
      </c>
      <c r="AL73" s="215">
        <v>0</v>
      </c>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c r="B74" s="24" t="s">
        <v>107</v>
      </c>
      <c r="C74" s="215">
        <v>0</v>
      </c>
      <c r="D74" s="215">
        <v>0</v>
      </c>
      <c r="E74" s="215">
        <v>0</v>
      </c>
      <c r="F74" s="215">
        <v>0</v>
      </c>
      <c r="G74" s="215">
        <v>0</v>
      </c>
      <c r="H74" s="215">
        <v>0</v>
      </c>
      <c r="I74" s="215">
        <v>0</v>
      </c>
      <c r="J74" s="215">
        <v>0</v>
      </c>
      <c r="K74" s="215">
        <v>0</v>
      </c>
      <c r="L74" s="216">
        <v>0</v>
      </c>
      <c r="M74" s="215">
        <v>0</v>
      </c>
      <c r="N74" s="215">
        <v>0</v>
      </c>
      <c r="O74" s="215">
        <v>0</v>
      </c>
      <c r="P74" s="215">
        <v>0</v>
      </c>
      <c r="Q74" s="215">
        <v>0</v>
      </c>
      <c r="R74" s="215">
        <v>0</v>
      </c>
      <c r="S74" s="215">
        <v>0</v>
      </c>
      <c r="T74" s="215">
        <v>0</v>
      </c>
      <c r="U74" s="215">
        <v>0</v>
      </c>
      <c r="V74" s="215">
        <v>0</v>
      </c>
      <c r="W74" s="215">
        <v>0</v>
      </c>
      <c r="X74" s="215">
        <v>0</v>
      </c>
      <c r="Y74" s="215">
        <v>0</v>
      </c>
      <c r="Z74" s="215"/>
      <c r="AA74" s="215">
        <v>0</v>
      </c>
      <c r="AB74" s="215">
        <v>0</v>
      </c>
      <c r="AC74" s="215">
        <v>0</v>
      </c>
      <c r="AD74" s="215">
        <v>0</v>
      </c>
      <c r="AE74" s="215">
        <v>0</v>
      </c>
      <c r="AF74" s="215">
        <v>0</v>
      </c>
      <c r="AG74" s="215">
        <v>0</v>
      </c>
      <c r="AH74" s="215">
        <v>0</v>
      </c>
      <c r="AI74" s="215">
        <v>0</v>
      </c>
      <c r="AJ74" s="215">
        <v>0</v>
      </c>
      <c r="AK74" s="215">
        <v>0</v>
      </c>
      <c r="AL74" s="215">
        <v>0</v>
      </c>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c r="B75" s="24" t="s">
        <v>110</v>
      </c>
      <c r="C75" s="215">
        <v>0</v>
      </c>
      <c r="D75" s="215">
        <v>0</v>
      </c>
      <c r="E75" s="215">
        <v>0</v>
      </c>
      <c r="F75" s="215">
        <v>0</v>
      </c>
      <c r="G75" s="215">
        <v>0</v>
      </c>
      <c r="H75" s="215">
        <v>0</v>
      </c>
      <c r="I75" s="215">
        <v>0</v>
      </c>
      <c r="J75" s="215">
        <v>0</v>
      </c>
      <c r="K75" s="215">
        <v>0</v>
      </c>
      <c r="L75" s="216">
        <v>0</v>
      </c>
      <c r="M75" s="215">
        <v>0</v>
      </c>
      <c r="N75" s="215">
        <v>0</v>
      </c>
      <c r="O75" s="215">
        <v>0</v>
      </c>
      <c r="P75" s="215">
        <v>0</v>
      </c>
      <c r="Q75" s="215">
        <v>0</v>
      </c>
      <c r="R75" s="215">
        <v>0</v>
      </c>
      <c r="S75" s="215">
        <v>0</v>
      </c>
      <c r="T75" s="215">
        <v>0</v>
      </c>
      <c r="U75" s="215">
        <v>0</v>
      </c>
      <c r="V75" s="215">
        <v>0</v>
      </c>
      <c r="W75" s="215">
        <v>0</v>
      </c>
      <c r="X75" s="215">
        <v>0</v>
      </c>
      <c r="Y75" s="215">
        <v>0</v>
      </c>
      <c r="Z75" s="215"/>
      <c r="AA75" s="215">
        <v>0</v>
      </c>
      <c r="AB75" s="215">
        <v>0</v>
      </c>
      <c r="AC75" s="215">
        <v>0</v>
      </c>
      <c r="AD75" s="215">
        <v>0</v>
      </c>
      <c r="AE75" s="215">
        <v>0</v>
      </c>
      <c r="AF75" s="215">
        <v>0</v>
      </c>
      <c r="AG75" s="215">
        <v>0</v>
      </c>
      <c r="AH75" s="215">
        <v>0</v>
      </c>
      <c r="AI75" s="215">
        <v>0</v>
      </c>
      <c r="AJ75" s="215">
        <v>0</v>
      </c>
      <c r="AK75" s="215">
        <v>0</v>
      </c>
      <c r="AL75" s="215">
        <v>0</v>
      </c>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c r="B76" s="24" t="s">
        <v>113</v>
      </c>
      <c r="C76" s="215">
        <v>0</v>
      </c>
      <c r="D76" s="215">
        <v>0</v>
      </c>
      <c r="E76" s="215">
        <v>0</v>
      </c>
      <c r="F76" s="215">
        <v>0</v>
      </c>
      <c r="G76" s="215">
        <v>0</v>
      </c>
      <c r="H76" s="215">
        <v>0</v>
      </c>
      <c r="I76" s="215">
        <v>0</v>
      </c>
      <c r="J76" s="215">
        <v>0</v>
      </c>
      <c r="K76" s="215">
        <v>0</v>
      </c>
      <c r="L76" s="216">
        <v>0</v>
      </c>
      <c r="M76" s="215">
        <v>0</v>
      </c>
      <c r="N76" s="215">
        <v>0</v>
      </c>
      <c r="O76" s="215">
        <v>0</v>
      </c>
      <c r="P76" s="215">
        <v>0</v>
      </c>
      <c r="Q76" s="215">
        <v>0</v>
      </c>
      <c r="R76" s="215">
        <v>0</v>
      </c>
      <c r="S76" s="215">
        <v>0</v>
      </c>
      <c r="T76" s="215">
        <v>0</v>
      </c>
      <c r="U76" s="215">
        <v>0</v>
      </c>
      <c r="V76" s="215">
        <v>0</v>
      </c>
      <c r="W76" s="215">
        <v>0</v>
      </c>
      <c r="X76" s="215">
        <v>0</v>
      </c>
      <c r="Y76" s="215">
        <v>0</v>
      </c>
      <c r="Z76" s="215"/>
      <c r="AA76" s="215">
        <v>0</v>
      </c>
      <c r="AB76" s="215">
        <v>0</v>
      </c>
      <c r="AC76" s="215">
        <v>0</v>
      </c>
      <c r="AD76" s="215">
        <v>0</v>
      </c>
      <c r="AE76" s="215">
        <v>0</v>
      </c>
      <c r="AF76" s="215">
        <v>0</v>
      </c>
      <c r="AG76" s="215">
        <v>0</v>
      </c>
      <c r="AH76" s="215">
        <v>0</v>
      </c>
      <c r="AI76" s="215">
        <v>0</v>
      </c>
      <c r="AJ76" s="215">
        <v>0</v>
      </c>
      <c r="AK76" s="215">
        <v>0</v>
      </c>
      <c r="AL76" s="215">
        <v>0</v>
      </c>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c r="B77" s="24" t="s">
        <v>116</v>
      </c>
      <c r="C77" s="215">
        <v>0</v>
      </c>
      <c r="D77" s="215">
        <v>0</v>
      </c>
      <c r="E77" s="215">
        <v>0</v>
      </c>
      <c r="F77" s="215">
        <v>0</v>
      </c>
      <c r="G77" s="215">
        <v>0</v>
      </c>
      <c r="H77" s="215">
        <v>0</v>
      </c>
      <c r="I77" s="215">
        <v>0</v>
      </c>
      <c r="J77" s="215">
        <v>0</v>
      </c>
      <c r="K77" s="215">
        <v>0</v>
      </c>
      <c r="L77" s="216">
        <v>0</v>
      </c>
      <c r="M77" s="215">
        <v>0</v>
      </c>
      <c r="N77" s="215">
        <v>0</v>
      </c>
      <c r="O77" s="215">
        <v>0</v>
      </c>
      <c r="P77" s="215">
        <v>0</v>
      </c>
      <c r="Q77" s="215">
        <v>0</v>
      </c>
      <c r="R77" s="215">
        <v>0</v>
      </c>
      <c r="S77" s="215">
        <v>0</v>
      </c>
      <c r="T77" s="215">
        <v>0</v>
      </c>
      <c r="U77" s="215">
        <v>0</v>
      </c>
      <c r="V77" s="215">
        <v>0</v>
      </c>
      <c r="W77" s="215">
        <v>0</v>
      </c>
      <c r="X77" s="215">
        <v>0</v>
      </c>
      <c r="Y77" s="215">
        <v>0</v>
      </c>
      <c r="Z77" s="215"/>
      <c r="AA77" s="215">
        <v>0</v>
      </c>
      <c r="AB77" s="215">
        <v>0</v>
      </c>
      <c r="AC77" s="215">
        <v>0</v>
      </c>
      <c r="AD77" s="215">
        <v>0</v>
      </c>
      <c r="AE77" s="215">
        <v>0</v>
      </c>
      <c r="AF77" s="215">
        <v>0</v>
      </c>
      <c r="AG77" s="215">
        <v>0</v>
      </c>
      <c r="AH77" s="215">
        <v>0</v>
      </c>
      <c r="AI77" s="215">
        <v>0</v>
      </c>
      <c r="AJ77" s="215">
        <v>0</v>
      </c>
      <c r="AK77" s="215">
        <v>0</v>
      </c>
      <c r="AL77" s="215">
        <v>0</v>
      </c>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c r="B78" s="24" t="s">
        <v>119</v>
      </c>
      <c r="C78" s="215">
        <v>0</v>
      </c>
      <c r="D78" s="215">
        <v>0</v>
      </c>
      <c r="E78" s="215">
        <v>0</v>
      </c>
      <c r="F78" s="215">
        <v>0</v>
      </c>
      <c r="G78" s="215">
        <v>0</v>
      </c>
      <c r="H78" s="215">
        <v>0</v>
      </c>
      <c r="I78" s="215">
        <v>0</v>
      </c>
      <c r="J78" s="215">
        <v>0</v>
      </c>
      <c r="K78" s="215">
        <v>0</v>
      </c>
      <c r="L78" s="216">
        <v>0</v>
      </c>
      <c r="M78" s="215">
        <v>0</v>
      </c>
      <c r="N78" s="215">
        <v>0</v>
      </c>
      <c r="O78" s="215">
        <v>0</v>
      </c>
      <c r="P78" s="215">
        <v>0</v>
      </c>
      <c r="Q78" s="215">
        <v>0</v>
      </c>
      <c r="R78" s="215">
        <v>0</v>
      </c>
      <c r="S78" s="215">
        <v>0</v>
      </c>
      <c r="T78" s="215">
        <v>0</v>
      </c>
      <c r="U78" s="215">
        <v>0</v>
      </c>
      <c r="V78" s="215">
        <v>0</v>
      </c>
      <c r="W78" s="215">
        <v>0</v>
      </c>
      <c r="X78" s="215">
        <v>0</v>
      </c>
      <c r="Y78" s="215">
        <v>0</v>
      </c>
      <c r="Z78" s="215"/>
      <c r="AA78" s="215">
        <v>0</v>
      </c>
      <c r="AB78" s="215">
        <v>0</v>
      </c>
      <c r="AC78" s="215">
        <v>0</v>
      </c>
      <c r="AD78" s="215">
        <v>0</v>
      </c>
      <c r="AE78" s="215">
        <v>0</v>
      </c>
      <c r="AF78" s="215">
        <v>0</v>
      </c>
      <c r="AG78" s="215">
        <v>0</v>
      </c>
      <c r="AH78" s="215">
        <v>0</v>
      </c>
      <c r="AI78" s="215">
        <v>0</v>
      </c>
      <c r="AJ78" s="215">
        <v>0</v>
      </c>
      <c r="AK78" s="215">
        <v>0</v>
      </c>
      <c r="AL78" s="215">
        <v>0</v>
      </c>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c r="A79" s="24"/>
      <c r="B79" s="24" t="s">
        <v>122</v>
      </c>
      <c r="C79" s="215">
        <v>0</v>
      </c>
      <c r="D79" s="215">
        <v>0</v>
      </c>
      <c r="E79" s="215">
        <v>0</v>
      </c>
      <c r="F79" s="215">
        <v>0</v>
      </c>
      <c r="G79" s="215">
        <v>0</v>
      </c>
      <c r="H79" s="215">
        <v>0</v>
      </c>
      <c r="I79" s="215">
        <v>0</v>
      </c>
      <c r="J79" s="215">
        <v>0</v>
      </c>
      <c r="K79" s="215">
        <v>0</v>
      </c>
      <c r="L79" s="216">
        <v>0</v>
      </c>
      <c r="M79" s="215">
        <v>0</v>
      </c>
      <c r="N79" s="215">
        <v>0</v>
      </c>
      <c r="O79" s="215">
        <v>0</v>
      </c>
      <c r="P79" s="215">
        <v>0</v>
      </c>
      <c r="Q79" s="215">
        <v>0</v>
      </c>
      <c r="R79" s="215">
        <v>0</v>
      </c>
      <c r="S79" s="215">
        <v>0</v>
      </c>
      <c r="T79" s="215">
        <v>0</v>
      </c>
      <c r="U79" s="215">
        <v>0</v>
      </c>
      <c r="V79" s="215">
        <v>0</v>
      </c>
      <c r="W79" s="215">
        <v>0</v>
      </c>
      <c r="X79" s="215">
        <v>0</v>
      </c>
      <c r="Y79" s="215">
        <v>0</v>
      </c>
      <c r="Z79" s="215"/>
      <c r="AA79" s="215">
        <v>0</v>
      </c>
      <c r="AB79" s="215">
        <v>0</v>
      </c>
      <c r="AC79" s="215">
        <v>0</v>
      </c>
      <c r="AD79" s="215">
        <v>0</v>
      </c>
      <c r="AE79" s="215">
        <v>0</v>
      </c>
      <c r="AF79" s="215">
        <v>0</v>
      </c>
      <c r="AG79" s="215">
        <v>0</v>
      </c>
      <c r="AH79" s="215">
        <v>0</v>
      </c>
      <c r="AI79" s="215">
        <v>0</v>
      </c>
      <c r="AJ79" s="215">
        <v>0</v>
      </c>
      <c r="AK79" s="215">
        <v>0</v>
      </c>
      <c r="AL79" s="215">
        <v>0</v>
      </c>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c r="A80" s="24"/>
      <c r="B80" s="24" t="s">
        <v>125</v>
      </c>
      <c r="C80" s="215">
        <v>0</v>
      </c>
      <c r="D80" s="215">
        <v>0</v>
      </c>
      <c r="E80" s="215">
        <v>0</v>
      </c>
      <c r="F80" s="215">
        <v>0</v>
      </c>
      <c r="G80" s="215">
        <v>0</v>
      </c>
      <c r="H80" s="215">
        <v>0</v>
      </c>
      <c r="I80" s="215">
        <v>0</v>
      </c>
      <c r="J80" s="215">
        <v>0</v>
      </c>
      <c r="K80" s="215">
        <v>0</v>
      </c>
      <c r="L80" s="216">
        <v>0</v>
      </c>
      <c r="M80" s="215">
        <v>0</v>
      </c>
      <c r="N80" s="215">
        <v>0</v>
      </c>
      <c r="O80" s="215">
        <v>0</v>
      </c>
      <c r="P80" s="215">
        <v>0</v>
      </c>
      <c r="Q80" s="215">
        <v>0</v>
      </c>
      <c r="R80" s="215">
        <v>0</v>
      </c>
      <c r="S80" s="215">
        <v>0</v>
      </c>
      <c r="T80" s="215">
        <v>0</v>
      </c>
      <c r="U80" s="215">
        <v>0</v>
      </c>
      <c r="V80" s="215">
        <v>0</v>
      </c>
      <c r="W80" s="215">
        <v>0</v>
      </c>
      <c r="X80" s="215">
        <v>0</v>
      </c>
      <c r="Y80" s="215">
        <v>0</v>
      </c>
      <c r="Z80" s="215"/>
      <c r="AA80" s="215">
        <v>0</v>
      </c>
      <c r="AB80" s="215">
        <v>0</v>
      </c>
      <c r="AC80" s="215">
        <v>0</v>
      </c>
      <c r="AD80" s="215">
        <v>0</v>
      </c>
      <c r="AE80" s="215">
        <v>0</v>
      </c>
      <c r="AF80" s="215">
        <v>0</v>
      </c>
      <c r="AG80" s="215">
        <v>0</v>
      </c>
      <c r="AH80" s="215">
        <v>0</v>
      </c>
      <c r="AI80" s="215">
        <v>0</v>
      </c>
      <c r="AJ80" s="215">
        <v>0</v>
      </c>
      <c r="AK80" s="215">
        <v>0</v>
      </c>
      <c r="AL80" s="215">
        <v>0</v>
      </c>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c r="A81" s="24"/>
      <c r="B81" s="24" t="s">
        <v>128</v>
      </c>
      <c r="C81" s="215">
        <v>0</v>
      </c>
      <c r="D81" s="215">
        <v>0</v>
      </c>
      <c r="E81" s="215">
        <v>0</v>
      </c>
      <c r="F81" s="215">
        <v>0</v>
      </c>
      <c r="G81" s="215">
        <v>0</v>
      </c>
      <c r="H81" s="215">
        <v>0</v>
      </c>
      <c r="I81" s="215">
        <v>0</v>
      </c>
      <c r="J81" s="215">
        <v>0</v>
      </c>
      <c r="K81" s="215">
        <v>0</v>
      </c>
      <c r="L81" s="216">
        <v>0</v>
      </c>
      <c r="M81" s="215">
        <v>0</v>
      </c>
      <c r="N81" s="215">
        <v>0</v>
      </c>
      <c r="O81" s="215">
        <v>0</v>
      </c>
      <c r="P81" s="215">
        <v>0</v>
      </c>
      <c r="Q81" s="215">
        <v>0</v>
      </c>
      <c r="R81" s="215">
        <v>0</v>
      </c>
      <c r="S81" s="215">
        <v>0</v>
      </c>
      <c r="T81" s="215">
        <v>0</v>
      </c>
      <c r="U81" s="215">
        <v>0</v>
      </c>
      <c r="V81" s="215">
        <v>0</v>
      </c>
      <c r="W81" s="215">
        <v>0</v>
      </c>
      <c r="X81" s="215">
        <v>0</v>
      </c>
      <c r="Y81" s="215">
        <v>0</v>
      </c>
      <c r="Z81" s="215"/>
      <c r="AA81" s="215">
        <v>0</v>
      </c>
      <c r="AB81" s="215">
        <v>0</v>
      </c>
      <c r="AC81" s="215">
        <v>0</v>
      </c>
      <c r="AD81" s="215">
        <v>0</v>
      </c>
      <c r="AE81" s="215">
        <v>0</v>
      </c>
      <c r="AF81" s="215">
        <v>0</v>
      </c>
      <c r="AG81" s="215">
        <v>0</v>
      </c>
      <c r="AH81" s="215">
        <v>0</v>
      </c>
      <c r="AI81" s="215">
        <v>0</v>
      </c>
      <c r="AJ81" s="215">
        <v>0</v>
      </c>
      <c r="AK81" s="215">
        <v>0</v>
      </c>
      <c r="AL81" s="215">
        <v>0</v>
      </c>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c r="B82" s="24" t="s">
        <v>520</v>
      </c>
      <c r="C82" s="215">
        <v>0</v>
      </c>
      <c r="D82" s="215">
        <v>0</v>
      </c>
      <c r="E82" s="215">
        <v>0</v>
      </c>
      <c r="F82" s="215">
        <v>0</v>
      </c>
      <c r="G82" s="215">
        <v>0</v>
      </c>
      <c r="H82" s="215">
        <v>0</v>
      </c>
      <c r="I82" s="215">
        <v>0</v>
      </c>
      <c r="J82" s="215">
        <v>0</v>
      </c>
      <c r="K82" s="215">
        <v>0</v>
      </c>
      <c r="L82" s="216">
        <v>0</v>
      </c>
      <c r="M82" s="215">
        <v>0</v>
      </c>
      <c r="N82" s="215">
        <v>0</v>
      </c>
      <c r="O82" s="215">
        <v>0</v>
      </c>
      <c r="P82" s="215">
        <v>0</v>
      </c>
      <c r="Q82" s="215">
        <v>0</v>
      </c>
      <c r="R82" s="215">
        <v>0</v>
      </c>
      <c r="S82" s="215">
        <v>0</v>
      </c>
      <c r="T82" s="215">
        <v>0</v>
      </c>
      <c r="U82" s="215">
        <v>0</v>
      </c>
      <c r="V82" s="215">
        <v>0</v>
      </c>
      <c r="W82" s="215">
        <v>0</v>
      </c>
      <c r="X82" s="215">
        <v>0</v>
      </c>
      <c r="Y82" s="215">
        <v>0</v>
      </c>
      <c r="Z82" s="215"/>
      <c r="AA82" s="215">
        <v>0</v>
      </c>
      <c r="AB82" s="215">
        <v>0</v>
      </c>
      <c r="AC82" s="215">
        <v>0</v>
      </c>
      <c r="AD82" s="215">
        <v>0</v>
      </c>
      <c r="AE82" s="215">
        <v>0</v>
      </c>
      <c r="AF82" s="215">
        <v>0</v>
      </c>
      <c r="AG82" s="215">
        <v>0</v>
      </c>
      <c r="AH82" s="215">
        <v>0</v>
      </c>
      <c r="AI82" s="215">
        <v>0</v>
      </c>
      <c r="AJ82" s="215">
        <v>0</v>
      </c>
      <c r="AK82" s="215">
        <v>0</v>
      </c>
      <c r="AL82" s="215">
        <v>0</v>
      </c>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c r="B83" s="24"/>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row r="85" spans="1:131" ht="13.5" thickBot="1">
      <c r="A85" s="179" t="s">
        <v>327</v>
      </c>
      <c r="B85" s="180"/>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row>
    <row r="86" spans="1:131" ht="13.5" thickBot="1">
      <c r="A86" s="181"/>
      <c r="B86" s="182"/>
      <c r="C86" s="183"/>
      <c r="D86" s="183"/>
      <c r="E86" s="183"/>
      <c r="F86" s="183"/>
      <c r="G86" s="183"/>
      <c r="H86" s="183"/>
      <c r="I86" s="183"/>
      <c r="J86" s="183"/>
      <c r="K86" s="183"/>
      <c r="L86" s="183"/>
      <c r="M86" s="183"/>
      <c r="N86" s="183"/>
      <c r="O86" s="112" t="s">
        <v>213</v>
      </c>
      <c r="P86" s="113"/>
      <c r="Q86" s="113"/>
      <c r="R86" s="113"/>
      <c r="S86" s="113"/>
      <c r="T86" s="113"/>
      <c r="U86" s="113"/>
      <c r="V86" s="113"/>
      <c r="W86" s="113"/>
      <c r="X86" s="113"/>
      <c r="Y86" s="113"/>
      <c r="Z86" s="114"/>
      <c r="AA86" s="183"/>
      <c r="AB86" s="112" t="s">
        <v>214</v>
      </c>
      <c r="AC86" s="113"/>
      <c r="AD86" s="113"/>
      <c r="AE86" s="113"/>
      <c r="AF86" s="113"/>
      <c r="AG86" s="113"/>
      <c r="AH86" s="113"/>
      <c r="AI86" s="113"/>
      <c r="AJ86" s="113"/>
      <c r="AK86" s="113"/>
      <c r="AL86" s="113"/>
      <c r="AM86" s="114"/>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row>
    <row r="87" spans="1:131" ht="102">
      <c r="A87" s="184" t="s">
        <v>328</v>
      </c>
      <c r="B87" s="185" t="s">
        <v>329</v>
      </c>
      <c r="C87" s="186" t="s">
        <v>62</v>
      </c>
      <c r="D87" s="186" t="s">
        <v>330</v>
      </c>
      <c r="E87" s="186" t="s">
        <v>331</v>
      </c>
      <c r="F87" s="186" t="s">
        <v>332</v>
      </c>
      <c r="G87" s="186" t="s">
        <v>333</v>
      </c>
      <c r="H87" s="186" t="s">
        <v>334</v>
      </c>
      <c r="I87" s="186" t="s">
        <v>335</v>
      </c>
      <c r="J87" s="186" t="s">
        <v>336</v>
      </c>
      <c r="K87" s="186" t="s">
        <v>61</v>
      </c>
      <c r="L87" s="186" t="s">
        <v>337</v>
      </c>
      <c r="M87" s="186" t="s">
        <v>338</v>
      </c>
      <c r="N87" s="186" t="s">
        <v>215</v>
      </c>
      <c r="O87" s="186" t="s">
        <v>216</v>
      </c>
      <c r="P87" s="186" t="s">
        <v>217</v>
      </c>
      <c r="Q87" s="186" t="s">
        <v>218</v>
      </c>
      <c r="R87" s="186" t="s">
        <v>219</v>
      </c>
      <c r="S87" s="186" t="s">
        <v>220</v>
      </c>
      <c r="T87" s="186" t="s">
        <v>221</v>
      </c>
      <c r="U87" s="186" t="s">
        <v>222</v>
      </c>
      <c r="V87" s="186" t="s">
        <v>223</v>
      </c>
      <c r="W87" s="186" t="s">
        <v>224</v>
      </c>
      <c r="X87" s="186" t="s">
        <v>225</v>
      </c>
      <c r="Y87" s="186" t="s">
        <v>226</v>
      </c>
      <c r="Z87" s="186" t="s">
        <v>227</v>
      </c>
      <c r="AA87" s="186"/>
      <c r="AB87" s="186" t="s">
        <v>216</v>
      </c>
      <c r="AC87" s="186" t="s">
        <v>217</v>
      </c>
      <c r="AD87" s="186" t="s">
        <v>218</v>
      </c>
      <c r="AE87" s="186" t="s">
        <v>219</v>
      </c>
      <c r="AF87" s="186" t="s">
        <v>220</v>
      </c>
      <c r="AG87" s="186" t="s">
        <v>221</v>
      </c>
      <c r="AH87" s="186" t="s">
        <v>222</v>
      </c>
      <c r="AI87" s="186" t="s">
        <v>223</v>
      </c>
      <c r="AJ87" s="186" t="s">
        <v>224</v>
      </c>
      <c r="AK87" s="186" t="s">
        <v>225</v>
      </c>
      <c r="AL87" s="186" t="s">
        <v>226</v>
      </c>
      <c r="AM87" s="186" t="s">
        <v>227</v>
      </c>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row>
    <row r="88" spans="1:131">
      <c r="A88" s="24" t="s">
        <v>577</v>
      </c>
      <c r="B88" s="24"/>
      <c r="C88" s="70">
        <v>64.032340478741247</v>
      </c>
      <c r="D88" s="70">
        <v>52.5</v>
      </c>
      <c r="E88" s="70">
        <v>10.5</v>
      </c>
      <c r="F88" s="70">
        <v>63</v>
      </c>
      <c r="G88" s="70">
        <v>14.800977089279115</v>
      </c>
      <c r="H88" s="70">
        <v>38.441717700212394</v>
      </c>
      <c r="I88" s="70">
        <v>8618.769763432656</v>
      </c>
      <c r="J88" s="70">
        <v>44.76623735042827</v>
      </c>
      <c r="K88" s="70">
        <v>9.8774252761486263</v>
      </c>
      <c r="L88" s="207">
        <v>1.2944392932527953</v>
      </c>
      <c r="M88" s="70">
        <v>0.60831223392747835</v>
      </c>
      <c r="N88" s="70">
        <v>8.0422200304570753E-3</v>
      </c>
      <c r="O88" s="70">
        <v>3.09246927553813</v>
      </c>
      <c r="P88" s="70">
        <v>2.9056976437778266</v>
      </c>
      <c r="Q88" s="70">
        <v>3.2957332561309403</v>
      </c>
      <c r="R88" s="70">
        <v>3.0029033475869373</v>
      </c>
      <c r="S88" s="70">
        <v>3.0799742419898797</v>
      </c>
      <c r="T88" s="70">
        <v>3.0701582382623864</v>
      </c>
      <c r="U88" s="70">
        <v>2.9396680233656092</v>
      </c>
      <c r="V88" s="70">
        <v>3.3534181436277097</v>
      </c>
      <c r="W88" s="70">
        <v>2.8883418495953119</v>
      </c>
      <c r="X88" s="70">
        <v>3.2814493551353769</v>
      </c>
      <c r="Y88" s="70">
        <v>2.8358199617483346</v>
      </c>
      <c r="Z88" s="70">
        <v>2.887359643235345</v>
      </c>
      <c r="AA88" s="70"/>
      <c r="AB88" s="70">
        <v>2.4896664255251126</v>
      </c>
      <c r="AC88" s="70">
        <v>2.2394662630637949</v>
      </c>
      <c r="AD88" s="70">
        <v>2.2273977650955072</v>
      </c>
      <c r="AE88" s="70">
        <v>2.2382061830998783</v>
      </c>
      <c r="AF88" s="70">
        <v>2.2671197682381119</v>
      </c>
      <c r="AG88" s="70">
        <v>2.1016925809952558</v>
      </c>
      <c r="AH88" s="70">
        <v>2.3629687544481022</v>
      </c>
      <c r="AI88" s="70">
        <v>2.2519036163149622</v>
      </c>
      <c r="AJ88" s="70">
        <v>2.3551434299984124</v>
      </c>
      <c r="AK88" s="70">
        <v>2.2093623685352228</v>
      </c>
      <c r="AL88" s="70">
        <v>2.3236473942269944</v>
      </c>
      <c r="AM88" s="45">
        <v>2.3327729492060971</v>
      </c>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row>
    <row r="89" spans="1:131">
      <c r="A89" s="24" t="s">
        <v>621</v>
      </c>
      <c r="B89" s="24"/>
      <c r="C89" s="70">
        <v>64.032340478741247</v>
      </c>
      <c r="D89" s="70">
        <v>52.5</v>
      </c>
      <c r="E89" s="70">
        <v>10.5</v>
      </c>
      <c r="F89" s="70">
        <v>63</v>
      </c>
      <c r="G89" s="70">
        <v>14.800977089279115</v>
      </c>
      <c r="H89" s="70">
        <v>38.441717700212394</v>
      </c>
      <c r="I89" s="70">
        <v>8618.769763432656</v>
      </c>
      <c r="J89" s="70">
        <v>44.76623735042827</v>
      </c>
      <c r="K89" s="70">
        <v>9.8774252761486263</v>
      </c>
      <c r="L89" s="207">
        <v>1.2944392932527953</v>
      </c>
      <c r="M89" s="70">
        <v>0.60831223392747835</v>
      </c>
      <c r="N89" s="70">
        <v>8.0422200304570753E-3</v>
      </c>
      <c r="O89" s="70">
        <v>3.09246927553813</v>
      </c>
      <c r="P89" s="70">
        <v>2.9056976437778266</v>
      </c>
      <c r="Q89" s="70">
        <v>3.2957332561309403</v>
      </c>
      <c r="R89" s="70">
        <v>3.0029033475869373</v>
      </c>
      <c r="S89" s="70">
        <v>3.0799742419898797</v>
      </c>
      <c r="T89" s="70">
        <v>3.0701582382623864</v>
      </c>
      <c r="U89" s="70">
        <v>2.9396680233656092</v>
      </c>
      <c r="V89" s="70">
        <v>3.3534181436277097</v>
      </c>
      <c r="W89" s="70">
        <v>2.8883418495953119</v>
      </c>
      <c r="X89" s="70">
        <v>3.2814493551353769</v>
      </c>
      <c r="Y89" s="70">
        <v>2.8358199617483346</v>
      </c>
      <c r="Z89" s="70">
        <v>2.887359643235345</v>
      </c>
      <c r="AA89" s="70"/>
      <c r="AB89" s="70">
        <v>2.4896664255251126</v>
      </c>
      <c r="AC89" s="70">
        <v>2.2394662630637949</v>
      </c>
      <c r="AD89" s="70">
        <v>2.2273977650955072</v>
      </c>
      <c r="AE89" s="70">
        <v>2.2382061830998783</v>
      </c>
      <c r="AF89" s="70">
        <v>2.2671197682381119</v>
      </c>
      <c r="AG89" s="70">
        <v>2.1016925809952558</v>
      </c>
      <c r="AH89" s="70">
        <v>2.3629687544481022</v>
      </c>
      <c r="AI89" s="70">
        <v>2.2519036163149622</v>
      </c>
      <c r="AJ89" s="70">
        <v>2.3551434299984124</v>
      </c>
      <c r="AK89" s="70">
        <v>2.2093623685352228</v>
      </c>
      <c r="AL89" s="70">
        <v>2.3236473942269944</v>
      </c>
      <c r="AM89" s="45">
        <v>2.3327729492060971</v>
      </c>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row>
    <row r="90" spans="1:131">
      <c r="A90" s="24" t="s">
        <v>578</v>
      </c>
      <c r="B90" s="24"/>
      <c r="C90" s="70">
        <v>31.912740614515091</v>
      </c>
      <c r="D90" s="70">
        <v>52.5</v>
      </c>
      <c r="E90" s="70">
        <v>10.5</v>
      </c>
      <c r="F90" s="70">
        <v>63</v>
      </c>
      <c r="G90" s="70">
        <v>14.800977089279115</v>
      </c>
      <c r="H90" s="70">
        <v>19.158765032969303</v>
      </c>
      <c r="I90" s="70">
        <v>17293.406626097938</v>
      </c>
      <c r="J90" s="70">
        <v>96.999756466456148</v>
      </c>
      <c r="K90" s="70">
        <v>26.995982092312257</v>
      </c>
      <c r="L90" s="207">
        <v>1.0542751186776393</v>
      </c>
      <c r="M90" s="70">
        <v>0.30317352745225556</v>
      </c>
      <c r="N90" s="70">
        <v>4.008119645135289E-3</v>
      </c>
      <c r="O90" s="70">
        <v>1.5412394597909562</v>
      </c>
      <c r="P90" s="70">
        <v>1.4481553308343529</v>
      </c>
      <c r="Q90" s="70">
        <v>1.6425431235401484</v>
      </c>
      <c r="R90" s="70">
        <v>1.4966011691204208</v>
      </c>
      <c r="S90" s="70">
        <v>1.5350121258904039</v>
      </c>
      <c r="T90" s="70">
        <v>1.5301199795392864</v>
      </c>
      <c r="U90" s="70">
        <v>1.4650856492368396</v>
      </c>
      <c r="V90" s="70">
        <v>1.6712923905245882</v>
      </c>
      <c r="W90" s="70">
        <v>1.4395054680655637</v>
      </c>
      <c r="X90" s="70">
        <v>1.6354242454228296</v>
      </c>
      <c r="Y90" s="70">
        <v>1.4133293612590083</v>
      </c>
      <c r="Z90" s="70">
        <v>1.4390159514156771</v>
      </c>
      <c r="AA90" s="70"/>
      <c r="AB90" s="70">
        <v>1.2408117251442339</v>
      </c>
      <c r="AC90" s="70">
        <v>1.1161157851451571</v>
      </c>
      <c r="AD90" s="70">
        <v>1.1101010300637519</v>
      </c>
      <c r="AE90" s="70">
        <v>1.115487780534653</v>
      </c>
      <c r="AF90" s="70">
        <v>1.1298978698091264</v>
      </c>
      <c r="AG90" s="70">
        <v>1.0474514860349335</v>
      </c>
      <c r="AH90" s="70">
        <v>1.1776675407631216</v>
      </c>
      <c r="AI90" s="70">
        <v>1.1223143720665172</v>
      </c>
      <c r="AJ90" s="70">
        <v>1.1737675185630854</v>
      </c>
      <c r="AK90" s="70">
        <v>1.1011124638485383</v>
      </c>
      <c r="AL90" s="70">
        <v>1.1580703753313391</v>
      </c>
      <c r="AM90" s="45">
        <v>1.162618412570557</v>
      </c>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row>
    <row r="91" spans="1:131">
      <c r="A91" s="24" t="s">
        <v>622</v>
      </c>
      <c r="B91" s="24"/>
      <c r="C91" s="70">
        <v>31.912740614515091</v>
      </c>
      <c r="D91" s="70">
        <v>52.5</v>
      </c>
      <c r="E91" s="70">
        <v>10.5</v>
      </c>
      <c r="F91" s="70">
        <v>63</v>
      </c>
      <c r="G91" s="70">
        <v>14.800977089279115</v>
      </c>
      <c r="H91" s="70">
        <v>19.158765032969303</v>
      </c>
      <c r="I91" s="70">
        <v>17293.406626097938</v>
      </c>
      <c r="J91" s="70">
        <v>96.999756466456148</v>
      </c>
      <c r="K91" s="70">
        <v>26.995982092312257</v>
      </c>
      <c r="L91" s="207">
        <v>1.0542751186776393</v>
      </c>
      <c r="M91" s="70">
        <v>0.30317352745225556</v>
      </c>
      <c r="N91" s="70">
        <v>4.008119645135289E-3</v>
      </c>
      <c r="O91" s="70">
        <v>1.5412394597909562</v>
      </c>
      <c r="P91" s="70">
        <v>1.4481553308343529</v>
      </c>
      <c r="Q91" s="70">
        <v>1.6425431235401484</v>
      </c>
      <c r="R91" s="70">
        <v>1.4966011691204208</v>
      </c>
      <c r="S91" s="70">
        <v>1.5350121258904039</v>
      </c>
      <c r="T91" s="70">
        <v>1.5301199795392864</v>
      </c>
      <c r="U91" s="70">
        <v>1.4650856492368396</v>
      </c>
      <c r="V91" s="70">
        <v>1.6712923905245882</v>
      </c>
      <c r="W91" s="70">
        <v>1.4395054680655637</v>
      </c>
      <c r="X91" s="70">
        <v>1.6354242454228296</v>
      </c>
      <c r="Y91" s="70">
        <v>1.4133293612590083</v>
      </c>
      <c r="Z91" s="70">
        <v>1.4390159514156771</v>
      </c>
      <c r="AA91" s="70"/>
      <c r="AB91" s="70">
        <v>1.2408117251442339</v>
      </c>
      <c r="AC91" s="70">
        <v>1.1161157851451571</v>
      </c>
      <c r="AD91" s="70">
        <v>1.1101010300637519</v>
      </c>
      <c r="AE91" s="70">
        <v>1.115487780534653</v>
      </c>
      <c r="AF91" s="70">
        <v>1.1298978698091264</v>
      </c>
      <c r="AG91" s="70">
        <v>1.0474514860349335</v>
      </c>
      <c r="AH91" s="70">
        <v>1.1776675407631216</v>
      </c>
      <c r="AI91" s="70">
        <v>1.1223143720665172</v>
      </c>
      <c r="AJ91" s="70">
        <v>1.1737675185630854</v>
      </c>
      <c r="AK91" s="70">
        <v>1.1011124638485383</v>
      </c>
      <c r="AL91" s="70">
        <v>1.1580703753313391</v>
      </c>
      <c r="AM91" s="45">
        <v>1.162618412570557</v>
      </c>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row>
    <row r="92" spans="1:131">
      <c r="A92" s="24"/>
      <c r="B92" s="24"/>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6"/>
  <dimension ref="A1:O14"/>
  <sheetViews>
    <sheetView workbookViewId="0">
      <selection activeCell="D29" sqref="D29"/>
    </sheetView>
  </sheetViews>
  <sheetFormatPr defaultRowHeight="12.75"/>
  <cols>
    <col min="1" max="1" width="33" customWidth="1"/>
    <col min="2" max="3" width="27.7109375" customWidth="1"/>
    <col min="4" max="4" width="23.7109375" customWidth="1"/>
    <col min="5" max="5" width="20.140625" customWidth="1"/>
    <col min="6" max="6" width="9.140625" customWidth="1"/>
    <col min="7" max="7" width="11.28515625" customWidth="1"/>
    <col min="8" max="8" width="14.28515625" customWidth="1"/>
    <col min="9" max="9" width="12.28515625" customWidth="1"/>
    <col min="10" max="10" width="9.5703125" customWidth="1"/>
    <col min="11" max="11" width="11.7109375" customWidth="1"/>
    <col min="12" max="12" width="11.85546875" customWidth="1"/>
    <col min="13" max="13" width="13.140625" customWidth="1"/>
    <col min="14" max="14" width="13" customWidth="1"/>
    <col min="15" max="15" width="12" customWidth="1"/>
    <col min="16" max="16" width="9.85546875" customWidth="1"/>
    <col min="17" max="17" width="11.7109375" customWidth="1"/>
    <col min="18" max="18" width="10.28515625" customWidth="1"/>
    <col min="19" max="19" width="11.140625" customWidth="1"/>
    <col min="20" max="20" width="9.28515625" customWidth="1"/>
    <col min="21" max="21" width="12.5703125" customWidth="1"/>
    <col min="22" max="22" width="15.42578125" customWidth="1"/>
    <col min="23" max="23" width="9" customWidth="1"/>
    <col min="24" max="25" width="8.7109375" customWidth="1"/>
    <col min="26" max="27" width="13.28515625" customWidth="1"/>
    <col min="28" max="28" width="10.28515625" customWidth="1"/>
    <col min="29" max="29" width="11.7109375" customWidth="1"/>
    <col min="30" max="30" width="12.140625" customWidth="1"/>
  </cols>
  <sheetData>
    <row r="1" spans="1:15" ht="15.75">
      <c r="A1" s="52" t="s">
        <v>44</v>
      </c>
      <c r="B1" s="52"/>
      <c r="C1" s="52"/>
    </row>
    <row r="2" spans="1:15">
      <c r="A2" t="str">
        <f>'7PSourceSummary'!D2</f>
        <v>LEC Exit Sign</v>
      </c>
    </row>
    <row r="6" spans="1:15">
      <c r="A6" t="s">
        <v>563</v>
      </c>
    </row>
    <row r="10" spans="1:15" ht="25.5">
      <c r="A10" s="221" t="s">
        <v>43</v>
      </c>
      <c r="B10" s="221" t="s">
        <v>22</v>
      </c>
      <c r="C10" s="221" t="s">
        <v>23</v>
      </c>
      <c r="D10" s="221" t="s">
        <v>608</v>
      </c>
      <c r="E10" s="221" t="s">
        <v>565</v>
      </c>
      <c r="F10" s="221" t="s">
        <v>42</v>
      </c>
      <c r="G10" s="222" t="s">
        <v>556</v>
      </c>
      <c r="H10" s="222" t="s">
        <v>557</v>
      </c>
      <c r="I10" s="222" t="s">
        <v>300</v>
      </c>
      <c r="J10" s="222" t="s">
        <v>303</v>
      </c>
      <c r="K10" s="223" t="s">
        <v>12</v>
      </c>
      <c r="L10" s="222" t="s">
        <v>304</v>
      </c>
      <c r="M10" s="222" t="s">
        <v>305</v>
      </c>
      <c r="N10" s="222" t="s">
        <v>304</v>
      </c>
      <c r="O10" s="222" t="s">
        <v>305</v>
      </c>
    </row>
    <row r="11" spans="1:15">
      <c r="A11" s="50" t="str">
        <f>'7PSourceSummary'!$D$2</f>
        <v>LEC Exit Sign</v>
      </c>
      <c r="B11" s="50" t="str">
        <f>C11</f>
        <v>LEC Exit Sign-Double-New</v>
      </c>
      <c r="C11" s="50" t="str">
        <f>CONCATENATE(A11,"-",E11,"-",F11)</f>
        <v>LEC Exit Sign-Double-New</v>
      </c>
      <c r="D11" t="str">
        <f>CONCATENATE(A11,"-",E11,)</f>
        <v>LEC Exit Sign-Double</v>
      </c>
      <c r="E11" s="50" t="s">
        <v>566</v>
      </c>
      <c r="F11" s="51" t="s">
        <v>41</v>
      </c>
      <c r="G11" s="229">
        <f>Sources!$U$34</f>
        <v>6.8100000000000005</v>
      </c>
      <c r="H11" s="230">
        <f>G11*8760/1000</f>
        <v>59.655600000000007</v>
      </c>
      <c r="I11" s="224">
        <f>Sources!$R$34</f>
        <v>52.5</v>
      </c>
      <c r="J11" s="50">
        <v>15</v>
      </c>
      <c r="K11" s="48" t="s">
        <v>326</v>
      </c>
      <c r="L11" s="233">
        <f>SUM(Sources!$T$41:$T$42)</f>
        <v>40</v>
      </c>
      <c r="M11">
        <f>Sources!$T$43</f>
        <v>8</v>
      </c>
      <c r="N11" s="234">
        <f>-SUM(Sources!$T$45:$T$46)</f>
        <v>-65</v>
      </c>
      <c r="O11">
        <f>Sources!$T$47</f>
        <v>5</v>
      </c>
    </row>
    <row r="12" spans="1:15">
      <c r="A12" s="50" t="str">
        <f>'7PSourceSummary'!$D$2</f>
        <v>LEC Exit Sign</v>
      </c>
      <c r="B12" s="50" t="str">
        <f>C12</f>
        <v>LEC Exit Sign-Single-New</v>
      </c>
      <c r="C12" s="50" t="str">
        <f>CONCATENATE(A12,"-",E12,"-",F12)</f>
        <v>LEC Exit Sign-Single-New</v>
      </c>
      <c r="D12" t="str">
        <f>CONCATENATE(A12,"-",E12,)</f>
        <v>LEC Exit Sign-Single</v>
      </c>
      <c r="E12" s="50" t="s">
        <v>567</v>
      </c>
      <c r="F12" t="s">
        <v>41</v>
      </c>
      <c r="G12" s="229">
        <f>Sources!$U$35</f>
        <v>3.3940000000000001</v>
      </c>
      <c r="H12" s="230">
        <f>G12*8760/1000</f>
        <v>29.731440000000003</v>
      </c>
      <c r="I12" s="224">
        <f>Sources!$R$34</f>
        <v>52.5</v>
      </c>
      <c r="J12" s="50">
        <v>15</v>
      </c>
      <c r="K12" s="48" t="s">
        <v>326</v>
      </c>
      <c r="L12" s="233">
        <f>SUM(Sources!$T$41:$T$42)</f>
        <v>40</v>
      </c>
      <c r="M12">
        <f>Sources!$T$43</f>
        <v>8</v>
      </c>
      <c r="N12" s="234">
        <f>-SUM(Sources!$T$45:$T$46)</f>
        <v>-65</v>
      </c>
      <c r="O12">
        <f>Sources!$T$47</f>
        <v>5</v>
      </c>
    </row>
    <row r="13" spans="1:15">
      <c r="A13" s="50" t="str">
        <f>'7PSourceSummary'!$D$2</f>
        <v>LEC Exit Sign</v>
      </c>
      <c r="B13" s="50" t="str">
        <f t="shared" ref="B13:B14" si="0">C13</f>
        <v>LEC Exit Sign-Double-NR</v>
      </c>
      <c r="C13" s="50" t="str">
        <f t="shared" ref="C13:C14" si="1">CONCATENATE(A13,"-",E13,"-",F13)</f>
        <v>LEC Exit Sign-Double-NR</v>
      </c>
      <c r="D13" t="str">
        <f t="shared" ref="D13:D14" si="2">CONCATENATE(A13,"-",E13,)</f>
        <v>LEC Exit Sign-Double</v>
      </c>
      <c r="E13" s="50" t="s">
        <v>566</v>
      </c>
      <c r="F13" t="s">
        <v>181</v>
      </c>
      <c r="G13" s="229">
        <f>Sources!$U$34</f>
        <v>6.8100000000000005</v>
      </c>
      <c r="H13" s="230">
        <f>G13*8760/1000</f>
        <v>59.655600000000007</v>
      </c>
      <c r="I13" s="224">
        <f>Sources!$R$34</f>
        <v>52.5</v>
      </c>
      <c r="J13" s="50">
        <v>15</v>
      </c>
      <c r="K13" s="48" t="s">
        <v>326</v>
      </c>
      <c r="L13" s="233">
        <f>SUM(Sources!$T$41:$T$42)</f>
        <v>40</v>
      </c>
      <c r="M13">
        <f>Sources!$T$43</f>
        <v>8</v>
      </c>
      <c r="N13" s="234">
        <f>-SUM(Sources!$T$45:$T$46)</f>
        <v>-65</v>
      </c>
      <c r="O13">
        <f>Sources!$T$47</f>
        <v>5</v>
      </c>
    </row>
    <row r="14" spans="1:15">
      <c r="A14" s="50" t="str">
        <f>'7PSourceSummary'!$D$2</f>
        <v>LEC Exit Sign</v>
      </c>
      <c r="B14" s="50" t="str">
        <f t="shared" si="0"/>
        <v>LEC Exit Sign-Single-NR</v>
      </c>
      <c r="C14" s="50" t="str">
        <f t="shared" si="1"/>
        <v>LEC Exit Sign-Single-NR</v>
      </c>
      <c r="D14" t="str">
        <f t="shared" si="2"/>
        <v>LEC Exit Sign-Single</v>
      </c>
      <c r="E14" s="50" t="s">
        <v>567</v>
      </c>
      <c r="F14" t="s">
        <v>181</v>
      </c>
      <c r="G14" s="229">
        <f>Sources!$U$35</f>
        <v>3.3940000000000001</v>
      </c>
      <c r="H14" s="230">
        <f>G14*8760/1000</f>
        <v>29.731440000000003</v>
      </c>
      <c r="I14" s="224">
        <f>Sources!$R$34</f>
        <v>52.5</v>
      </c>
      <c r="J14" s="50">
        <v>15</v>
      </c>
      <c r="K14" s="48" t="s">
        <v>326</v>
      </c>
      <c r="L14" s="233">
        <f>SUM(Sources!$T$41:$T$42)</f>
        <v>40</v>
      </c>
      <c r="M14">
        <f>Sources!$T$43</f>
        <v>8</v>
      </c>
      <c r="N14" s="234">
        <f>-SUM(Sources!$T$45:$T$46)</f>
        <v>-65</v>
      </c>
      <c r="O14">
        <f>Sources!$T$47</f>
        <v>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B3:AO136"/>
  <sheetViews>
    <sheetView tabSelected="1" workbookViewId="0">
      <selection activeCell="T27" sqref="T27"/>
    </sheetView>
  </sheetViews>
  <sheetFormatPr defaultRowHeight="12.75"/>
  <cols>
    <col min="19" max="19" width="20.5703125" customWidth="1"/>
    <col min="20" max="20" width="12.28515625" customWidth="1"/>
    <col min="22" max="22" width="61" customWidth="1"/>
  </cols>
  <sheetData>
    <row r="3" spans="2:4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row>
    <row r="4" spans="2:41">
      <c r="B4" s="121"/>
      <c r="C4" s="121" t="s">
        <v>230</v>
      </c>
      <c r="D4" s="121"/>
      <c r="E4" s="121"/>
      <c r="F4" s="121"/>
      <c r="G4" s="121"/>
      <c r="H4" s="121"/>
      <c r="I4" s="121"/>
      <c r="J4" s="121"/>
      <c r="K4" s="121"/>
      <c r="L4" s="121"/>
      <c r="M4" s="121"/>
      <c r="N4" s="121"/>
      <c r="O4" s="121"/>
      <c r="P4" s="121"/>
      <c r="Q4" s="121"/>
      <c r="R4" s="288" t="s">
        <v>542</v>
      </c>
      <c r="S4" s="288"/>
      <c r="T4" s="288"/>
      <c r="U4" s="288"/>
      <c r="V4" s="288"/>
      <c r="W4" s="121"/>
      <c r="X4" s="121"/>
      <c r="Y4" s="121"/>
      <c r="Z4" s="121"/>
      <c r="AA4" s="121"/>
      <c r="AB4" s="121"/>
      <c r="AC4" s="121"/>
      <c r="AD4" s="121"/>
      <c r="AE4" s="121"/>
      <c r="AF4" s="121"/>
      <c r="AG4" s="121"/>
      <c r="AH4" s="121"/>
      <c r="AI4" s="121"/>
      <c r="AJ4" s="121"/>
      <c r="AK4" s="121"/>
      <c r="AL4" s="121"/>
      <c r="AM4" s="121"/>
      <c r="AN4" s="121"/>
      <c r="AO4" s="121"/>
    </row>
    <row r="5" spans="2:41">
      <c r="B5" s="121"/>
      <c r="C5" s="121"/>
      <c r="D5" s="121"/>
      <c r="E5" s="121"/>
      <c r="F5" s="121"/>
      <c r="G5" s="121"/>
      <c r="H5" s="121"/>
      <c r="I5" s="121"/>
      <c r="J5" s="121"/>
      <c r="K5" s="121"/>
      <c r="L5" s="121"/>
      <c r="M5" s="121"/>
      <c r="N5" s="121"/>
      <c r="P5" s="121"/>
      <c r="Q5" s="121"/>
      <c r="R5" s="289" t="s">
        <v>558</v>
      </c>
      <c r="S5" s="289" t="s">
        <v>559</v>
      </c>
      <c r="T5" s="289" t="s">
        <v>560</v>
      </c>
      <c r="U5" s="289" t="s">
        <v>561</v>
      </c>
      <c r="V5" s="289" t="s">
        <v>562</v>
      </c>
      <c r="W5" s="121"/>
      <c r="X5" s="121"/>
      <c r="Y5" s="121"/>
      <c r="Z5" s="121"/>
      <c r="AA5" s="121"/>
      <c r="AB5" s="121"/>
      <c r="AC5" s="121"/>
      <c r="AD5" s="121"/>
      <c r="AE5" s="121"/>
      <c r="AF5" s="121"/>
      <c r="AG5" s="121"/>
      <c r="AH5" s="121"/>
      <c r="AI5" s="121"/>
      <c r="AJ5" s="121"/>
      <c r="AK5" s="121"/>
      <c r="AL5" s="121"/>
      <c r="AM5" s="121"/>
      <c r="AN5" s="121"/>
      <c r="AO5" s="121"/>
    </row>
    <row r="6" spans="2:41">
      <c r="B6" s="121"/>
      <c r="C6" s="121"/>
      <c r="D6" s="121"/>
      <c r="E6" s="121"/>
      <c r="F6" s="121"/>
      <c r="G6" s="121"/>
      <c r="H6" s="121"/>
      <c r="I6" s="121"/>
      <c r="J6" s="121"/>
      <c r="K6" s="121"/>
      <c r="L6" s="121"/>
      <c r="M6" s="121"/>
      <c r="N6" s="121"/>
      <c r="O6" s="121"/>
      <c r="P6" s="121"/>
      <c r="Q6" s="121"/>
      <c r="R6" s="122">
        <v>184</v>
      </c>
      <c r="S6" s="121"/>
      <c r="T6" s="121" t="s">
        <v>541</v>
      </c>
      <c r="U6" s="226">
        <v>0.25</v>
      </c>
      <c r="V6" s="121" t="s">
        <v>231</v>
      </c>
      <c r="W6" s="121"/>
      <c r="X6" s="121"/>
      <c r="Y6" s="121"/>
      <c r="Z6" s="121"/>
      <c r="AA6" s="121"/>
      <c r="AB6" s="121"/>
      <c r="AC6" s="121"/>
      <c r="AD6" s="121"/>
      <c r="AE6" s="121"/>
      <c r="AF6" s="121"/>
      <c r="AG6" s="121"/>
      <c r="AH6" s="121"/>
      <c r="AI6" s="121"/>
      <c r="AJ6" s="121"/>
      <c r="AK6" s="121"/>
      <c r="AL6" s="121"/>
      <c r="AM6" s="121"/>
      <c r="AN6" s="121"/>
      <c r="AO6" s="121"/>
    </row>
    <row r="7" spans="2:41">
      <c r="B7" s="121"/>
      <c r="C7" s="121"/>
      <c r="D7" s="121"/>
      <c r="E7" s="121"/>
      <c r="F7" s="121"/>
      <c r="G7" s="121"/>
      <c r="H7" s="121"/>
      <c r="I7" s="121"/>
      <c r="J7" s="121"/>
      <c r="K7" s="121"/>
      <c r="L7" s="121"/>
      <c r="M7" s="121"/>
      <c r="N7" s="121"/>
      <c r="O7" s="121"/>
      <c r="P7" s="121"/>
      <c r="Q7" s="121"/>
      <c r="R7" s="122">
        <v>158</v>
      </c>
      <c r="S7" s="121" t="s">
        <v>537</v>
      </c>
      <c r="T7" s="121" t="s">
        <v>541</v>
      </c>
      <c r="U7" s="226">
        <v>0.18</v>
      </c>
      <c r="V7" s="121" t="s">
        <v>232</v>
      </c>
      <c r="W7" s="121"/>
      <c r="X7" s="121"/>
      <c r="Y7" s="121"/>
      <c r="Z7" s="121"/>
      <c r="AA7" s="121"/>
      <c r="AB7" s="121"/>
      <c r="AC7" s="121"/>
      <c r="AD7" s="121"/>
      <c r="AE7" s="121"/>
      <c r="AF7" s="121"/>
      <c r="AG7" s="121"/>
      <c r="AH7" s="121"/>
      <c r="AI7" s="121"/>
      <c r="AJ7" s="121"/>
      <c r="AK7" s="121"/>
      <c r="AL7" s="121"/>
      <c r="AM7" s="121"/>
      <c r="AN7" s="121"/>
      <c r="AO7" s="121"/>
    </row>
    <row r="8" spans="2:41">
      <c r="B8" s="121"/>
      <c r="C8" s="121"/>
      <c r="D8" s="121"/>
      <c r="E8" s="121"/>
      <c r="F8" s="121"/>
      <c r="G8" s="121"/>
      <c r="H8" s="121"/>
      <c r="I8" s="121"/>
      <c r="J8" s="121"/>
      <c r="K8" s="121"/>
      <c r="L8" s="121"/>
      <c r="M8" s="121"/>
      <c r="N8" s="121"/>
      <c r="O8" s="121"/>
      <c r="P8" s="121"/>
      <c r="Q8" s="121"/>
      <c r="R8" s="122">
        <v>135</v>
      </c>
      <c r="S8" s="121" t="s">
        <v>539</v>
      </c>
      <c r="T8" s="121" t="s">
        <v>541</v>
      </c>
      <c r="U8" s="226">
        <v>0.36</v>
      </c>
      <c r="V8" s="121" t="s">
        <v>232</v>
      </c>
      <c r="W8" s="121"/>
      <c r="X8" s="121"/>
      <c r="Y8" s="121"/>
      <c r="Z8" s="121"/>
      <c r="AA8" s="121"/>
      <c r="AB8" s="121"/>
      <c r="AC8" s="121"/>
      <c r="AD8" s="121"/>
      <c r="AE8" s="121"/>
      <c r="AF8" s="121"/>
      <c r="AG8" s="121"/>
      <c r="AH8" s="121"/>
      <c r="AI8" s="121"/>
      <c r="AJ8" s="121"/>
      <c r="AK8" s="121"/>
      <c r="AL8" s="121"/>
      <c r="AM8" s="121"/>
      <c r="AN8" s="121"/>
      <c r="AO8" s="121"/>
    </row>
    <row r="9" spans="2:41">
      <c r="B9" s="121"/>
      <c r="C9" s="121"/>
      <c r="D9" s="121"/>
      <c r="E9" s="121"/>
      <c r="F9" s="121"/>
      <c r="G9" s="121"/>
      <c r="H9" s="121"/>
      <c r="I9" s="121"/>
      <c r="J9" s="121"/>
      <c r="K9" s="121"/>
      <c r="L9" s="121"/>
      <c r="M9" s="121"/>
      <c r="N9" s="121"/>
      <c r="O9" s="121"/>
      <c r="P9" s="121"/>
      <c r="Q9" s="121"/>
      <c r="R9" s="122">
        <v>157</v>
      </c>
      <c r="S9" s="121" t="s">
        <v>551</v>
      </c>
      <c r="T9" s="121" t="s">
        <v>541</v>
      </c>
      <c r="U9" s="226">
        <v>0.4</v>
      </c>
      <c r="V9" s="121" t="s">
        <v>535</v>
      </c>
      <c r="W9" s="121"/>
      <c r="X9" s="121"/>
      <c r="Y9" s="121"/>
      <c r="Z9" s="121"/>
      <c r="AA9" s="121"/>
      <c r="AB9" s="121"/>
      <c r="AC9" s="121"/>
      <c r="AD9" s="121"/>
      <c r="AE9" s="121"/>
      <c r="AF9" s="121"/>
      <c r="AG9" s="121"/>
      <c r="AH9" s="121"/>
      <c r="AI9" s="121"/>
      <c r="AJ9" s="121"/>
      <c r="AK9" s="121"/>
      <c r="AL9" s="121"/>
      <c r="AM9" s="121"/>
      <c r="AN9" s="121"/>
      <c r="AO9" s="121"/>
    </row>
    <row r="10" spans="2:41">
      <c r="B10" s="121"/>
      <c r="C10" s="121"/>
      <c r="D10" s="121"/>
      <c r="E10" s="121"/>
      <c r="F10" s="121"/>
      <c r="G10" s="121"/>
      <c r="H10" s="121"/>
      <c r="I10" s="121"/>
      <c r="J10" s="121"/>
      <c r="K10" s="121"/>
      <c r="L10" s="121"/>
      <c r="M10" s="121"/>
      <c r="N10" s="121"/>
      <c r="O10" s="121"/>
      <c r="P10" s="121"/>
      <c r="Q10" s="121"/>
      <c r="R10" s="122">
        <v>104</v>
      </c>
      <c r="S10" s="121" t="s">
        <v>537</v>
      </c>
      <c r="T10" s="121" t="s">
        <v>541</v>
      </c>
      <c r="U10" s="226">
        <v>0.4</v>
      </c>
      <c r="V10" s="121" t="s">
        <v>536</v>
      </c>
      <c r="W10" s="121"/>
      <c r="X10" s="121"/>
      <c r="Y10" s="121"/>
      <c r="Z10" s="121"/>
      <c r="AA10" s="121"/>
      <c r="AB10" s="121"/>
      <c r="AC10" s="121"/>
      <c r="AD10" s="121"/>
      <c r="AE10" s="121"/>
      <c r="AF10" s="121"/>
      <c r="AG10" s="121"/>
      <c r="AH10" s="121"/>
      <c r="AI10" s="121"/>
      <c r="AJ10" s="121"/>
      <c r="AK10" s="121"/>
      <c r="AL10" s="121"/>
      <c r="AM10" s="121"/>
      <c r="AN10" s="121"/>
      <c r="AO10" s="121"/>
    </row>
    <row r="11" spans="2:41">
      <c r="B11" s="121"/>
      <c r="C11" s="121"/>
      <c r="D11" s="121"/>
      <c r="E11" s="121"/>
      <c r="F11" s="121"/>
      <c r="G11" s="121"/>
      <c r="H11" s="121"/>
      <c r="I11" s="121"/>
      <c r="J11" s="121"/>
      <c r="K11" s="121"/>
      <c r="L11" s="121"/>
      <c r="M11" s="121"/>
      <c r="N11" s="121"/>
      <c r="O11" s="121"/>
      <c r="P11" s="121"/>
      <c r="Q11" s="121"/>
      <c r="R11" s="122">
        <v>89</v>
      </c>
      <c r="S11" s="121" t="s">
        <v>538</v>
      </c>
      <c r="T11" s="121" t="s">
        <v>541</v>
      </c>
      <c r="U11" s="226">
        <v>0.2</v>
      </c>
      <c r="V11" s="121" t="s">
        <v>536</v>
      </c>
      <c r="W11" s="121"/>
      <c r="X11" s="121"/>
      <c r="Y11" s="121"/>
      <c r="Z11" s="121"/>
      <c r="AA11" s="121"/>
      <c r="AB11" s="121"/>
      <c r="AC11" s="121"/>
      <c r="AD11" s="121"/>
      <c r="AE11" s="121"/>
      <c r="AF11" s="121"/>
      <c r="AG11" s="121"/>
      <c r="AH11" s="121"/>
      <c r="AI11" s="121"/>
      <c r="AJ11" s="121"/>
      <c r="AK11" s="121"/>
      <c r="AL11" s="121"/>
      <c r="AM11" s="121"/>
      <c r="AN11" s="121"/>
      <c r="AO11" s="121"/>
    </row>
    <row r="12" spans="2:41">
      <c r="B12" s="121"/>
      <c r="C12" s="121"/>
      <c r="D12" s="121"/>
      <c r="E12" s="121"/>
      <c r="F12" s="121"/>
      <c r="G12" s="121"/>
      <c r="H12" s="121"/>
      <c r="I12" s="121"/>
      <c r="J12" s="121"/>
      <c r="K12" s="121"/>
      <c r="L12" s="121"/>
      <c r="M12" s="121"/>
      <c r="N12" s="121"/>
      <c r="O12" s="121"/>
      <c r="P12" s="121"/>
      <c r="Q12" s="121"/>
      <c r="R12" s="122">
        <v>145</v>
      </c>
      <c r="S12" s="121" t="s">
        <v>539</v>
      </c>
      <c r="T12" s="121" t="s">
        <v>541</v>
      </c>
      <c r="U12" s="226">
        <v>0.4</v>
      </c>
      <c r="V12" s="121" t="s">
        <v>536</v>
      </c>
      <c r="W12" s="121"/>
      <c r="X12" s="121"/>
      <c r="Y12" s="121"/>
      <c r="Z12" s="121"/>
      <c r="AA12" s="121"/>
      <c r="AB12" s="121"/>
      <c r="AC12" s="121"/>
      <c r="AD12" s="121"/>
      <c r="AE12" s="121"/>
      <c r="AF12" s="121"/>
      <c r="AG12" s="121"/>
      <c r="AH12" s="121"/>
      <c r="AI12" s="121"/>
      <c r="AJ12" s="121"/>
      <c r="AK12" s="121"/>
      <c r="AL12" s="121"/>
      <c r="AM12" s="121"/>
      <c r="AN12" s="121"/>
      <c r="AO12" s="121"/>
    </row>
    <row r="13" spans="2:41">
      <c r="B13" s="121"/>
      <c r="C13" s="121"/>
      <c r="D13" s="121"/>
      <c r="E13" s="121"/>
      <c r="F13" s="121"/>
      <c r="G13" s="121"/>
      <c r="H13" s="121"/>
      <c r="I13" s="121"/>
      <c r="J13" s="121"/>
      <c r="K13" s="121"/>
      <c r="L13" s="121"/>
      <c r="M13" s="121"/>
      <c r="N13" s="121"/>
      <c r="O13" s="121"/>
      <c r="P13" s="121"/>
      <c r="Q13" s="121"/>
      <c r="R13" s="122">
        <v>99</v>
      </c>
      <c r="S13" s="121" t="s">
        <v>540</v>
      </c>
      <c r="T13" s="121" t="s">
        <v>541</v>
      </c>
      <c r="U13" s="226">
        <v>0.2</v>
      </c>
      <c r="V13" s="121" t="s">
        <v>536</v>
      </c>
      <c r="W13" s="121"/>
      <c r="X13" s="121"/>
      <c r="Y13" s="121"/>
      <c r="Z13" s="121"/>
      <c r="AA13" s="121"/>
      <c r="AB13" s="121"/>
      <c r="AC13" s="121"/>
      <c r="AD13" s="121"/>
      <c r="AE13" s="121"/>
      <c r="AF13" s="121"/>
      <c r="AG13" s="121"/>
      <c r="AH13" s="121"/>
      <c r="AI13" s="121"/>
      <c r="AJ13" s="121"/>
      <c r="AK13" s="121"/>
      <c r="AL13" s="121"/>
      <c r="AM13" s="121"/>
      <c r="AN13" s="121"/>
      <c r="AO13" s="121"/>
    </row>
    <row r="14" spans="2:41">
      <c r="B14" s="121"/>
      <c r="C14" s="121"/>
      <c r="D14" s="121"/>
      <c r="E14" s="121"/>
      <c r="F14" s="121"/>
      <c r="G14" s="121"/>
      <c r="H14" s="121"/>
      <c r="I14" s="121"/>
      <c r="J14" s="121"/>
      <c r="K14" s="121"/>
      <c r="L14" s="121"/>
      <c r="M14" s="121"/>
      <c r="N14" s="121"/>
      <c r="O14" s="121"/>
      <c r="P14" s="121"/>
      <c r="Q14" s="121"/>
      <c r="R14" s="122">
        <v>175</v>
      </c>
      <c r="S14" s="121" t="s">
        <v>543</v>
      </c>
      <c r="T14" s="121" t="s">
        <v>541</v>
      </c>
      <c r="U14" s="226">
        <v>0.2</v>
      </c>
      <c r="V14" s="121" t="s">
        <v>536</v>
      </c>
      <c r="W14" s="121"/>
      <c r="X14" s="121"/>
      <c r="Y14" s="121"/>
      <c r="Z14" s="121"/>
      <c r="AA14" s="121"/>
      <c r="AB14" s="121"/>
      <c r="AC14" s="121"/>
      <c r="AD14" s="121"/>
      <c r="AE14" s="121"/>
      <c r="AF14" s="121"/>
      <c r="AG14" s="121"/>
      <c r="AH14" s="121"/>
      <c r="AI14" s="121"/>
      <c r="AJ14" s="121"/>
      <c r="AK14" s="121"/>
      <c r="AL14" s="121"/>
      <c r="AM14" s="121"/>
      <c r="AN14" s="121"/>
      <c r="AO14" s="121"/>
    </row>
    <row r="15" spans="2:41">
      <c r="B15" s="121"/>
      <c r="C15" s="121"/>
      <c r="D15" s="121"/>
      <c r="E15" s="121"/>
      <c r="F15" s="121"/>
      <c r="G15" s="121"/>
      <c r="H15" s="121"/>
      <c r="I15" s="121"/>
      <c r="J15" s="121"/>
      <c r="K15" s="121"/>
      <c r="L15" s="121"/>
      <c r="M15" s="121"/>
      <c r="N15" s="121"/>
      <c r="O15" s="121"/>
      <c r="P15" s="121"/>
      <c r="Q15" s="121"/>
      <c r="R15" s="122"/>
      <c r="S15" s="121"/>
      <c r="T15" s="121"/>
      <c r="U15" s="302">
        <f>AVERAGE(U8,U9,U10,U12)</f>
        <v>0.39</v>
      </c>
      <c r="V15" s="121" t="s">
        <v>568</v>
      </c>
      <c r="W15" s="121"/>
      <c r="X15" s="121"/>
      <c r="Y15" s="121"/>
      <c r="Z15" s="121"/>
      <c r="AA15" s="121"/>
      <c r="AB15" s="121"/>
      <c r="AC15" s="121"/>
      <c r="AD15" s="121"/>
      <c r="AE15" s="121"/>
      <c r="AF15" s="121"/>
      <c r="AG15" s="121"/>
      <c r="AH15" s="121"/>
      <c r="AI15" s="121"/>
      <c r="AJ15" s="121"/>
      <c r="AK15" s="121"/>
      <c r="AL15" s="121"/>
      <c r="AM15" s="121"/>
      <c r="AN15" s="121"/>
      <c r="AO15" s="121"/>
    </row>
    <row r="16" spans="2:41">
      <c r="B16" s="121"/>
      <c r="C16" s="121"/>
      <c r="D16" s="121"/>
      <c r="E16" s="121"/>
      <c r="F16" s="121"/>
      <c r="G16" s="121"/>
      <c r="H16" s="121"/>
      <c r="I16" s="121"/>
      <c r="J16" s="121"/>
      <c r="K16" s="121"/>
      <c r="L16" s="121"/>
      <c r="M16" s="121"/>
      <c r="N16" s="121"/>
      <c r="O16" s="121"/>
      <c r="P16" s="121"/>
      <c r="Q16" s="121"/>
      <c r="R16" s="121"/>
      <c r="S16" s="121"/>
      <c r="T16" s="121"/>
      <c r="U16" s="302">
        <f>AVERAGE(U6,U7,U11,U13,U14)</f>
        <v>0.20600000000000002</v>
      </c>
      <c r="V16" s="121" t="s">
        <v>569</v>
      </c>
      <c r="W16" s="121"/>
      <c r="X16" s="121"/>
      <c r="Y16" s="121"/>
      <c r="Z16" s="121"/>
      <c r="AA16" s="121"/>
      <c r="AB16" s="121"/>
      <c r="AC16" s="121"/>
      <c r="AD16" s="121"/>
      <c r="AE16" s="121"/>
      <c r="AF16" s="121"/>
      <c r="AG16" s="121"/>
      <c r="AH16" s="121"/>
      <c r="AI16" s="121"/>
      <c r="AJ16" s="121"/>
      <c r="AK16" s="121"/>
      <c r="AL16" s="121"/>
      <c r="AM16" s="121"/>
      <c r="AN16" s="121"/>
      <c r="AO16" s="121"/>
    </row>
    <row r="17" spans="2:41">
      <c r="B17" s="121"/>
      <c r="C17" s="121"/>
      <c r="D17" s="121"/>
      <c r="E17" s="121"/>
      <c r="F17" s="121"/>
      <c r="G17" s="121"/>
      <c r="H17" s="121"/>
      <c r="I17" s="121"/>
      <c r="J17" s="121"/>
      <c r="K17" s="121"/>
      <c r="L17" s="121"/>
      <c r="M17" s="121"/>
      <c r="N17" s="121"/>
      <c r="O17" s="121"/>
      <c r="P17" s="121"/>
      <c r="Q17" s="121"/>
      <c r="R17" s="288" t="s">
        <v>564</v>
      </c>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row>
    <row r="18" spans="2:41">
      <c r="B18" s="121"/>
      <c r="C18" s="121"/>
      <c r="D18" s="121"/>
      <c r="E18" s="121"/>
      <c r="F18" s="121"/>
      <c r="G18" s="121"/>
      <c r="H18" s="121"/>
      <c r="I18" s="121"/>
      <c r="J18" s="121"/>
      <c r="K18" s="121"/>
      <c r="L18" s="121"/>
      <c r="M18" s="121"/>
      <c r="N18" s="121"/>
      <c r="O18" s="121"/>
      <c r="P18" s="121"/>
      <c r="Q18" s="121"/>
      <c r="R18" s="122">
        <v>84</v>
      </c>
      <c r="S18" s="121" t="s">
        <v>544</v>
      </c>
      <c r="T18" s="121" t="s">
        <v>256</v>
      </c>
      <c r="U18" s="121">
        <v>6</v>
      </c>
      <c r="V18" s="121" t="s">
        <v>536</v>
      </c>
      <c r="W18" s="121"/>
      <c r="X18" s="121"/>
      <c r="Y18" s="121"/>
      <c r="Z18" s="121"/>
      <c r="AA18" s="121"/>
      <c r="AB18" s="121"/>
      <c r="AC18" s="121"/>
      <c r="AD18" s="121"/>
      <c r="AE18" s="121"/>
      <c r="AF18" s="121"/>
      <c r="AG18" s="121"/>
      <c r="AH18" s="121"/>
      <c r="AI18" s="121"/>
      <c r="AJ18" s="121"/>
      <c r="AK18" s="121"/>
      <c r="AL18" s="121"/>
      <c r="AM18" s="121"/>
      <c r="AN18" s="121"/>
      <c r="AO18" s="121"/>
    </row>
    <row r="19" spans="2:41">
      <c r="B19" s="121"/>
      <c r="C19" s="121"/>
      <c r="D19" s="121"/>
      <c r="E19" s="121"/>
      <c r="F19" s="121"/>
      <c r="G19" s="121"/>
      <c r="H19" s="121"/>
      <c r="I19" s="121"/>
      <c r="J19" s="121"/>
      <c r="K19" s="121"/>
      <c r="L19" s="121"/>
      <c r="M19" s="121"/>
      <c r="N19" s="121"/>
      <c r="P19" s="121"/>
      <c r="Q19" s="121"/>
      <c r="R19" s="122">
        <v>59</v>
      </c>
      <c r="S19" s="121" t="s">
        <v>545</v>
      </c>
      <c r="T19" s="121" t="s">
        <v>256</v>
      </c>
      <c r="U19" s="121">
        <v>6</v>
      </c>
      <c r="V19" s="121" t="s">
        <v>536</v>
      </c>
      <c r="W19" s="121"/>
      <c r="X19" s="121"/>
      <c r="Y19" s="121"/>
      <c r="Z19" s="121"/>
      <c r="AA19" s="121"/>
      <c r="AB19" s="121"/>
      <c r="AC19" s="121"/>
      <c r="AD19" s="121"/>
      <c r="AE19" s="121"/>
      <c r="AF19" s="121"/>
      <c r="AG19" s="121"/>
      <c r="AH19" s="121"/>
      <c r="AI19" s="121"/>
      <c r="AJ19" s="121"/>
      <c r="AK19" s="121"/>
      <c r="AL19" s="121"/>
      <c r="AM19" s="121"/>
      <c r="AN19" s="121"/>
      <c r="AO19" s="121"/>
    </row>
    <row r="20" spans="2:41">
      <c r="B20" s="121"/>
      <c r="C20" s="121"/>
      <c r="D20" s="121"/>
      <c r="E20" s="121"/>
      <c r="F20" s="121"/>
      <c r="G20" s="121"/>
      <c r="H20" s="121"/>
      <c r="I20" s="121"/>
      <c r="J20" s="121"/>
      <c r="K20" s="121"/>
      <c r="L20" s="121"/>
      <c r="M20" s="121"/>
      <c r="N20" s="121"/>
      <c r="O20" s="121"/>
      <c r="P20" s="121"/>
      <c r="Q20" s="121"/>
      <c r="R20" s="122">
        <f>72+15</f>
        <v>87</v>
      </c>
      <c r="S20" s="121" t="s">
        <v>546</v>
      </c>
      <c r="T20" s="121" t="s">
        <v>256</v>
      </c>
      <c r="U20" s="121">
        <v>8</v>
      </c>
      <c r="V20" s="121" t="s">
        <v>547</v>
      </c>
      <c r="W20" s="121"/>
      <c r="X20" s="121"/>
      <c r="Y20" s="121"/>
      <c r="Z20" s="121"/>
      <c r="AA20" s="121"/>
      <c r="AB20" s="121"/>
      <c r="AC20" s="121"/>
      <c r="AD20" s="121"/>
      <c r="AE20" s="121"/>
      <c r="AF20" s="121"/>
      <c r="AG20" s="121"/>
      <c r="AH20" s="121"/>
      <c r="AI20" s="121"/>
      <c r="AJ20" s="121"/>
      <c r="AK20" s="121"/>
      <c r="AL20" s="121"/>
      <c r="AM20" s="121"/>
      <c r="AN20" s="121"/>
      <c r="AO20" s="121"/>
    </row>
    <row r="21" spans="2:41">
      <c r="B21" s="121"/>
      <c r="C21" s="121"/>
      <c r="D21" s="121"/>
      <c r="E21" s="121"/>
      <c r="F21" s="121"/>
      <c r="G21" s="121"/>
      <c r="H21" s="121"/>
      <c r="I21" s="121"/>
      <c r="J21" s="121"/>
      <c r="K21" s="121"/>
      <c r="L21" s="121"/>
      <c r="M21" s="121"/>
      <c r="N21" s="121"/>
      <c r="O21" s="121"/>
      <c r="P21" s="121"/>
      <c r="Q21" s="121"/>
      <c r="R21" s="122">
        <f>68+15</f>
        <v>83</v>
      </c>
      <c r="S21" s="121" t="s">
        <v>548</v>
      </c>
      <c r="T21" s="121" t="s">
        <v>256</v>
      </c>
      <c r="U21" s="121">
        <v>8</v>
      </c>
      <c r="V21" s="121" t="s">
        <v>547</v>
      </c>
      <c r="W21" s="121"/>
      <c r="X21" s="121"/>
      <c r="Y21" s="121"/>
      <c r="Z21" s="121"/>
      <c r="AA21" s="121"/>
      <c r="AB21" s="121"/>
      <c r="AC21" s="121"/>
      <c r="AD21" s="121"/>
      <c r="AE21" s="121"/>
      <c r="AF21" s="121"/>
      <c r="AG21" s="121"/>
      <c r="AH21" s="121"/>
      <c r="AI21" s="121"/>
      <c r="AJ21" s="121"/>
      <c r="AK21" s="121"/>
      <c r="AL21" s="121"/>
      <c r="AM21" s="121"/>
      <c r="AN21" s="121"/>
      <c r="AO21" s="121"/>
    </row>
    <row r="22" spans="2:41">
      <c r="B22" s="121"/>
      <c r="C22" s="121"/>
      <c r="D22" s="121"/>
      <c r="E22" s="121"/>
      <c r="F22" s="121"/>
      <c r="G22" s="121"/>
      <c r="H22" s="121"/>
      <c r="I22" s="121"/>
      <c r="J22" s="121"/>
      <c r="K22" s="121"/>
      <c r="L22" s="121"/>
      <c r="M22" s="121"/>
      <c r="N22" s="121"/>
      <c r="O22" s="121"/>
      <c r="P22" s="121"/>
      <c r="Q22" s="121"/>
      <c r="R22" s="122">
        <v>120</v>
      </c>
      <c r="S22" s="121" t="s">
        <v>554</v>
      </c>
      <c r="T22" s="121" t="s">
        <v>256</v>
      </c>
      <c r="U22" s="121">
        <v>8</v>
      </c>
      <c r="V22" s="121" t="s">
        <v>553</v>
      </c>
      <c r="W22" s="121"/>
      <c r="X22" s="121"/>
      <c r="Y22" s="121"/>
      <c r="Z22" s="121"/>
      <c r="AA22" s="121"/>
      <c r="AB22" s="121"/>
      <c r="AC22" s="121"/>
      <c r="AD22" s="121"/>
      <c r="AE22" s="121"/>
      <c r="AF22" s="121"/>
      <c r="AG22" s="121"/>
      <c r="AH22" s="121"/>
      <c r="AI22" s="121"/>
      <c r="AJ22" s="121"/>
      <c r="AK22" s="121"/>
      <c r="AL22" s="121"/>
      <c r="AM22" s="121"/>
      <c r="AN22" s="121"/>
      <c r="AO22" s="121"/>
    </row>
    <row r="23" spans="2:41">
      <c r="B23" s="121"/>
      <c r="C23" s="121"/>
      <c r="D23" s="121"/>
      <c r="E23" s="121"/>
      <c r="F23" s="121"/>
      <c r="G23" s="121"/>
      <c r="H23" s="121"/>
      <c r="I23" s="121"/>
      <c r="J23" s="121"/>
      <c r="K23" s="121"/>
      <c r="L23" s="121"/>
      <c r="M23" s="121"/>
      <c r="N23" s="121"/>
      <c r="O23" s="121"/>
      <c r="P23" s="121"/>
      <c r="Q23" s="121"/>
      <c r="R23" s="122"/>
      <c r="S23" s="121"/>
      <c r="T23" s="121"/>
      <c r="U23" s="225">
        <f>AVERAGE(U18:U22)</f>
        <v>7.2</v>
      </c>
      <c r="V23" s="121" t="s">
        <v>568</v>
      </c>
      <c r="W23" s="121"/>
      <c r="X23" s="121"/>
      <c r="Y23" s="121"/>
      <c r="Z23" s="121"/>
      <c r="AA23" s="121"/>
      <c r="AB23" s="121"/>
      <c r="AC23" s="121"/>
      <c r="AD23" s="121"/>
      <c r="AE23" s="121"/>
      <c r="AF23" s="121"/>
      <c r="AG23" s="121"/>
      <c r="AH23" s="121"/>
      <c r="AI23" s="121"/>
      <c r="AJ23" s="121"/>
      <c r="AK23" s="121"/>
      <c r="AL23" s="121"/>
      <c r="AM23" s="121"/>
      <c r="AN23" s="121"/>
      <c r="AO23" s="121"/>
    </row>
    <row r="24" spans="2:41">
      <c r="B24" s="121"/>
      <c r="C24" s="121"/>
      <c r="D24" s="121"/>
      <c r="E24" s="121"/>
      <c r="F24" s="121"/>
      <c r="G24" s="121"/>
      <c r="H24" s="121"/>
      <c r="I24" s="121"/>
      <c r="J24" s="121"/>
      <c r="K24" s="121"/>
      <c r="L24" s="121"/>
      <c r="M24" s="121"/>
      <c r="N24" s="121"/>
      <c r="O24" s="121"/>
      <c r="P24" s="121"/>
      <c r="Q24" s="121"/>
      <c r="R24" s="121"/>
      <c r="S24" s="121"/>
      <c r="T24" s="121"/>
      <c r="U24" s="225">
        <f>U23/2</f>
        <v>3.6</v>
      </c>
      <c r="V24" s="121" t="s">
        <v>569</v>
      </c>
      <c r="W24" s="121"/>
      <c r="X24" s="121"/>
      <c r="Y24" s="121"/>
      <c r="Z24" s="121"/>
      <c r="AA24" s="121"/>
      <c r="AB24" s="121"/>
      <c r="AC24" s="121"/>
      <c r="AD24" s="121"/>
      <c r="AE24" s="121"/>
      <c r="AF24" s="121"/>
      <c r="AG24" s="121"/>
      <c r="AH24" s="121"/>
      <c r="AI24" s="121"/>
      <c r="AJ24" s="121"/>
      <c r="AK24" s="121"/>
      <c r="AL24" s="121"/>
      <c r="AM24" s="121"/>
      <c r="AN24" s="121"/>
      <c r="AO24" s="121"/>
    </row>
    <row r="25" spans="2:41">
      <c r="B25" s="121"/>
      <c r="C25" s="121"/>
      <c r="D25" s="121"/>
      <c r="E25" s="121"/>
      <c r="F25" s="121"/>
      <c r="G25" s="121"/>
      <c r="H25" s="121"/>
      <c r="I25" s="121"/>
      <c r="J25" s="121"/>
      <c r="K25" s="121"/>
      <c r="L25" s="121"/>
      <c r="M25" s="121"/>
      <c r="N25" s="121"/>
      <c r="O25" s="121"/>
      <c r="P25" s="121"/>
      <c r="Q25" s="121"/>
      <c r="R25" s="288" t="s">
        <v>549</v>
      </c>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row>
    <row r="26" spans="2:41">
      <c r="B26" s="121"/>
      <c r="C26" s="121"/>
      <c r="D26" s="121"/>
      <c r="E26" s="121"/>
      <c r="F26" s="121"/>
      <c r="G26" s="121"/>
      <c r="H26" s="121"/>
      <c r="I26" s="121"/>
      <c r="J26" s="121"/>
      <c r="K26" s="121"/>
      <c r="L26" s="121"/>
      <c r="M26" s="121"/>
      <c r="N26" s="121"/>
      <c r="O26" s="121"/>
      <c r="P26" s="121"/>
      <c r="Q26" s="121"/>
      <c r="R26" s="220">
        <f>R14-R18</f>
        <v>91</v>
      </c>
      <c r="S26" s="121" t="s">
        <v>544</v>
      </c>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row>
    <row r="27" spans="2:41">
      <c r="B27" s="121"/>
      <c r="C27" s="121"/>
      <c r="D27" s="121"/>
      <c r="E27" s="121"/>
      <c r="F27" s="121"/>
      <c r="G27" s="121"/>
      <c r="H27" s="121"/>
      <c r="I27" s="121"/>
      <c r="J27" s="121"/>
      <c r="K27" s="121"/>
      <c r="L27" s="121"/>
      <c r="M27" s="121"/>
      <c r="N27" s="121"/>
      <c r="O27" s="121"/>
      <c r="P27" s="121"/>
      <c r="Q27" s="121"/>
      <c r="R27" s="220">
        <f>R10-R21</f>
        <v>21</v>
      </c>
      <c r="S27" s="121" t="s">
        <v>546</v>
      </c>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row>
    <row r="28" spans="2:41">
      <c r="B28" s="121"/>
      <c r="C28" s="121"/>
      <c r="D28" s="121"/>
      <c r="E28" s="121"/>
      <c r="F28" s="121"/>
      <c r="G28" s="121"/>
      <c r="H28" s="121"/>
      <c r="I28" s="121"/>
      <c r="J28" s="121"/>
      <c r="K28" s="121"/>
      <c r="L28" s="121"/>
      <c r="M28" s="121"/>
      <c r="N28" s="121"/>
      <c r="O28" s="121"/>
      <c r="P28" s="121"/>
      <c r="Q28" s="121"/>
      <c r="R28" s="220">
        <f>R12-R20</f>
        <v>58</v>
      </c>
      <c r="S28" s="121" t="s">
        <v>550</v>
      </c>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row>
    <row r="29" spans="2:41">
      <c r="B29" s="121"/>
      <c r="C29" s="121"/>
      <c r="D29" s="121"/>
      <c r="E29" s="121"/>
      <c r="F29" s="121"/>
      <c r="G29" s="121"/>
      <c r="H29" s="121"/>
      <c r="I29" s="121"/>
      <c r="J29" s="121"/>
      <c r="K29" s="121"/>
      <c r="L29" s="121"/>
      <c r="M29" s="121"/>
      <c r="N29" s="121"/>
      <c r="O29" s="121"/>
      <c r="P29" s="121"/>
      <c r="Q29" s="121"/>
      <c r="R29" s="220">
        <f>R14-R22</f>
        <v>55</v>
      </c>
      <c r="S29" s="121" t="s">
        <v>545</v>
      </c>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row>
    <row r="30" spans="2:41">
      <c r="B30" s="121"/>
      <c r="C30" s="121"/>
      <c r="D30" s="121"/>
      <c r="E30" s="121"/>
      <c r="F30" s="121"/>
      <c r="G30" s="121"/>
      <c r="H30" s="121"/>
      <c r="I30" s="121"/>
      <c r="J30" s="121"/>
      <c r="K30" s="121"/>
      <c r="L30" s="121"/>
      <c r="M30" s="121"/>
      <c r="N30" s="121"/>
      <c r="O30" s="121"/>
      <c r="P30" s="121"/>
      <c r="Q30" s="121"/>
      <c r="R30" s="220">
        <v>35</v>
      </c>
      <c r="S30" s="121" t="s">
        <v>555</v>
      </c>
      <c r="T30" s="121"/>
      <c r="U30" s="121" t="s">
        <v>535</v>
      </c>
      <c r="V30" s="121"/>
      <c r="W30" s="121"/>
      <c r="X30" s="121"/>
      <c r="Y30" s="121"/>
      <c r="Z30" s="121"/>
      <c r="AA30" s="121"/>
      <c r="AB30" s="121"/>
      <c r="AC30" s="121"/>
      <c r="AD30" s="121"/>
      <c r="AE30" s="121"/>
      <c r="AF30" s="121"/>
      <c r="AG30" s="121"/>
      <c r="AH30" s="121"/>
      <c r="AI30" s="121"/>
      <c r="AJ30" s="121"/>
      <c r="AK30" s="121"/>
      <c r="AL30" s="121"/>
      <c r="AM30" s="121"/>
      <c r="AN30" s="121"/>
      <c r="AO30" s="121"/>
    </row>
    <row r="31" spans="2:41">
      <c r="B31" s="121"/>
      <c r="C31" s="121"/>
      <c r="D31" s="121"/>
      <c r="E31" s="121"/>
      <c r="F31" s="121"/>
      <c r="G31" s="121"/>
      <c r="H31" s="121"/>
      <c r="I31" s="121"/>
      <c r="J31" s="121"/>
      <c r="K31" s="121"/>
      <c r="L31" s="121"/>
      <c r="M31" s="121"/>
      <c r="N31" s="121"/>
      <c r="O31" s="121"/>
      <c r="P31" s="121"/>
      <c r="Q31" s="121"/>
      <c r="R31" s="220">
        <f>R14-R22</f>
        <v>55</v>
      </c>
      <c r="S31" s="121" t="s">
        <v>544</v>
      </c>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row>
    <row r="32" spans="2:41">
      <c r="B32" s="121"/>
      <c r="C32" s="121"/>
      <c r="D32" s="121"/>
      <c r="E32" s="121"/>
      <c r="F32" s="121"/>
      <c r="G32" s="121"/>
      <c r="H32" s="121"/>
      <c r="I32" s="121"/>
      <c r="J32" s="121"/>
      <c r="K32" s="121"/>
      <c r="L32" s="121"/>
      <c r="M32" s="121"/>
      <c r="N32" s="121"/>
      <c r="O32" s="121"/>
      <c r="P32" s="121"/>
      <c r="Q32" s="121"/>
      <c r="R32" s="220"/>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row>
    <row r="33" spans="2:41">
      <c r="B33" s="121"/>
      <c r="C33" s="121"/>
      <c r="D33" s="121"/>
      <c r="E33" s="121"/>
      <c r="F33" s="121"/>
      <c r="G33" s="121"/>
      <c r="H33" s="121"/>
      <c r="I33" s="121"/>
      <c r="J33" s="121"/>
      <c r="K33" s="121"/>
      <c r="L33" s="121"/>
      <c r="M33" s="121"/>
      <c r="N33" s="121"/>
      <c r="O33" s="121"/>
      <c r="P33" s="121"/>
      <c r="Q33" s="121"/>
      <c r="R33" s="289" t="s">
        <v>558</v>
      </c>
      <c r="S33" s="289" t="s">
        <v>559</v>
      </c>
      <c r="T33" s="289" t="s">
        <v>560</v>
      </c>
      <c r="U33" s="289" t="s">
        <v>561</v>
      </c>
      <c r="V33" s="289" t="s">
        <v>562</v>
      </c>
      <c r="W33" s="121"/>
      <c r="X33" s="121"/>
      <c r="Y33" s="121"/>
      <c r="Z33" s="121"/>
      <c r="AA33" s="121"/>
      <c r="AB33" s="121"/>
      <c r="AC33" s="121"/>
      <c r="AD33" s="121"/>
      <c r="AE33" s="121"/>
      <c r="AF33" s="121"/>
      <c r="AG33" s="121"/>
      <c r="AH33" s="121"/>
      <c r="AI33" s="121"/>
      <c r="AJ33" s="121"/>
      <c r="AK33" s="121"/>
      <c r="AL33" s="121"/>
      <c r="AM33" s="121"/>
      <c r="AN33" s="121"/>
      <c r="AO33" s="121"/>
    </row>
    <row r="34" spans="2:41">
      <c r="B34" s="121"/>
      <c r="C34" s="121"/>
      <c r="D34" s="121"/>
      <c r="E34" s="121"/>
      <c r="F34" s="121"/>
      <c r="G34" s="121"/>
      <c r="H34" s="121"/>
      <c r="I34" s="121"/>
      <c r="J34" s="121"/>
      <c r="K34" s="121"/>
      <c r="L34" s="121"/>
      <c r="M34" s="121"/>
      <c r="N34" s="121"/>
      <c r="O34" s="121"/>
      <c r="P34" s="121"/>
      <c r="Q34" s="121" t="s">
        <v>552</v>
      </c>
      <c r="R34" s="227">
        <f>AVERAGE(R26:R31)</f>
        <v>52.5</v>
      </c>
      <c r="S34" s="121" t="s">
        <v>566</v>
      </c>
      <c r="T34" s="121"/>
      <c r="U34" s="228">
        <f>U23-U15</f>
        <v>6.8100000000000005</v>
      </c>
      <c r="V34" s="121"/>
      <c r="W34" s="121"/>
      <c r="X34" s="121"/>
      <c r="Y34" s="121"/>
      <c r="Z34" s="121"/>
      <c r="AA34" s="121"/>
      <c r="AB34" s="121"/>
      <c r="AC34" s="121"/>
      <c r="AD34" s="121"/>
      <c r="AE34" s="121"/>
      <c r="AF34" s="121"/>
      <c r="AG34" s="121"/>
      <c r="AH34" s="121"/>
      <c r="AI34" s="121"/>
      <c r="AJ34" s="121"/>
      <c r="AK34" s="121"/>
      <c r="AL34" s="121"/>
      <c r="AM34" s="121"/>
      <c r="AN34" s="121"/>
      <c r="AO34" s="121"/>
    </row>
    <row r="35" spans="2:41">
      <c r="B35" s="121"/>
      <c r="C35" s="121"/>
      <c r="D35" s="121"/>
      <c r="E35" s="121"/>
      <c r="F35" s="121"/>
      <c r="G35" s="121"/>
      <c r="H35" s="121"/>
      <c r="I35" s="121"/>
      <c r="J35" s="121"/>
      <c r="K35" s="121"/>
      <c r="L35" s="121"/>
      <c r="M35" s="121"/>
      <c r="N35" s="121"/>
      <c r="O35" s="121"/>
      <c r="P35" s="121"/>
      <c r="Q35" s="121" t="s">
        <v>552</v>
      </c>
      <c r="R35" s="227">
        <f>R34</f>
        <v>52.5</v>
      </c>
      <c r="S35" s="121" t="s">
        <v>567</v>
      </c>
      <c r="T35" s="121"/>
      <c r="U35" s="228">
        <f>U24-U16</f>
        <v>3.3940000000000001</v>
      </c>
      <c r="V35" s="121"/>
      <c r="W35" s="121"/>
      <c r="X35" s="121"/>
      <c r="Y35" s="121"/>
      <c r="Z35" s="121"/>
      <c r="AA35" s="121"/>
      <c r="AB35" s="121"/>
      <c r="AC35" s="121"/>
      <c r="AD35" s="121"/>
      <c r="AE35" s="121"/>
      <c r="AF35" s="121"/>
      <c r="AG35" s="121"/>
      <c r="AH35" s="121"/>
      <c r="AI35" s="121"/>
      <c r="AJ35" s="121"/>
      <c r="AK35" s="121"/>
      <c r="AL35" s="121"/>
      <c r="AM35" s="121"/>
      <c r="AN35" s="121"/>
      <c r="AO35" s="121"/>
    </row>
    <row r="36" spans="2:4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row>
    <row r="37" spans="2:4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row>
    <row r="38" spans="2:4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row>
    <row r="39" spans="2:4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row>
    <row r="40" spans="2:41">
      <c r="B40" s="121"/>
      <c r="C40" s="121"/>
      <c r="D40" s="121"/>
      <c r="E40" s="121"/>
      <c r="F40" s="121"/>
      <c r="G40" s="121"/>
      <c r="H40" s="121"/>
      <c r="I40" s="121"/>
      <c r="J40" s="121"/>
      <c r="K40" s="121"/>
      <c r="L40" s="121"/>
      <c r="M40" s="121"/>
      <c r="N40" s="121"/>
      <c r="O40" s="121"/>
      <c r="P40" s="121"/>
      <c r="Q40" s="121"/>
      <c r="R40" s="288" t="s">
        <v>606</v>
      </c>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row>
    <row r="41" spans="2:41">
      <c r="B41" s="121"/>
      <c r="C41" s="121"/>
      <c r="D41" s="121"/>
      <c r="E41" s="121"/>
      <c r="F41" s="121"/>
      <c r="G41" s="121"/>
      <c r="H41" s="121"/>
      <c r="I41" s="121"/>
      <c r="J41" s="121"/>
      <c r="K41" s="121"/>
      <c r="L41" s="121"/>
      <c r="M41" s="121"/>
      <c r="N41" s="121"/>
      <c r="O41" s="121"/>
      <c r="P41" s="121"/>
      <c r="Q41" s="121"/>
      <c r="R41" s="121" t="s">
        <v>570</v>
      </c>
      <c r="S41" s="121"/>
      <c r="T41" s="231">
        <v>15</v>
      </c>
      <c r="U41" s="121"/>
      <c r="V41" s="121" t="s">
        <v>576</v>
      </c>
      <c r="W41" s="121"/>
      <c r="X41" s="121"/>
      <c r="Y41" s="121"/>
      <c r="Z41" s="121"/>
      <c r="AA41" s="121"/>
      <c r="AB41" s="121"/>
      <c r="AC41" s="121"/>
      <c r="AD41" s="121"/>
      <c r="AE41" s="121"/>
      <c r="AF41" s="121"/>
      <c r="AG41" s="121"/>
      <c r="AH41" s="121"/>
      <c r="AI41" s="121"/>
      <c r="AJ41" s="121"/>
      <c r="AK41" s="121"/>
      <c r="AL41" s="121"/>
      <c r="AM41" s="121"/>
      <c r="AN41" s="121"/>
      <c r="AO41" s="121"/>
    </row>
    <row r="42" spans="2:41">
      <c r="B42" s="121"/>
      <c r="C42" s="121"/>
      <c r="D42" s="121"/>
      <c r="E42" s="121"/>
      <c r="F42" s="121"/>
      <c r="G42" s="121"/>
      <c r="H42" s="121"/>
      <c r="I42" s="121"/>
      <c r="J42" s="121"/>
      <c r="K42" s="121"/>
      <c r="L42" s="121"/>
      <c r="M42" s="121"/>
      <c r="N42" s="121"/>
      <c r="O42" s="121"/>
      <c r="P42" s="121"/>
      <c r="Q42" s="121"/>
      <c r="R42" s="121" t="s">
        <v>571</v>
      </c>
      <c r="S42" s="121"/>
      <c r="T42" s="231">
        <v>25</v>
      </c>
      <c r="U42" s="121"/>
      <c r="V42" s="121" t="s">
        <v>576</v>
      </c>
      <c r="W42" s="121"/>
      <c r="X42" s="121"/>
      <c r="Y42" s="121"/>
      <c r="Z42" s="121"/>
      <c r="AA42" s="121"/>
      <c r="AB42" s="121"/>
      <c r="AC42" s="121"/>
      <c r="AD42" s="121"/>
      <c r="AE42" s="121"/>
      <c r="AF42" s="121"/>
      <c r="AG42" s="121"/>
      <c r="AH42" s="121"/>
      <c r="AI42" s="121"/>
      <c r="AJ42" s="121"/>
      <c r="AK42" s="121"/>
      <c r="AL42" s="121"/>
      <c r="AM42" s="121"/>
      <c r="AN42" s="121"/>
      <c r="AO42" s="121"/>
    </row>
    <row r="43" spans="2:41">
      <c r="B43" s="121"/>
      <c r="C43" s="121"/>
      <c r="D43" s="121"/>
      <c r="E43" s="121"/>
      <c r="F43" s="121"/>
      <c r="G43" s="121"/>
      <c r="H43" s="121"/>
      <c r="I43" s="121"/>
      <c r="J43" s="121"/>
      <c r="K43" s="121"/>
      <c r="L43" s="121"/>
      <c r="M43" s="121"/>
      <c r="N43" s="121"/>
      <c r="O43" s="121"/>
      <c r="P43" s="121"/>
      <c r="Q43" s="121"/>
      <c r="R43" s="121" t="s">
        <v>575</v>
      </c>
      <c r="S43" s="121"/>
      <c r="T43" s="232">
        <v>8</v>
      </c>
      <c r="U43" s="121"/>
      <c r="V43" s="121" t="s">
        <v>576</v>
      </c>
      <c r="W43" s="121"/>
      <c r="X43" s="121"/>
      <c r="Y43" s="121"/>
      <c r="Z43" s="121"/>
      <c r="AA43" s="121"/>
      <c r="AB43" s="121"/>
      <c r="AC43" s="121"/>
      <c r="AD43" s="121"/>
      <c r="AE43" s="121"/>
      <c r="AF43" s="121"/>
      <c r="AG43" s="121"/>
      <c r="AH43" s="121"/>
      <c r="AI43" s="121"/>
      <c r="AJ43" s="121"/>
      <c r="AK43" s="121"/>
      <c r="AL43" s="121"/>
      <c r="AM43" s="121"/>
      <c r="AN43" s="121"/>
      <c r="AO43" s="121"/>
    </row>
    <row r="44" spans="2:4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row>
    <row r="45" spans="2:41">
      <c r="B45" s="121"/>
      <c r="C45" s="121"/>
      <c r="D45" s="121"/>
      <c r="E45" s="121"/>
      <c r="F45" s="121"/>
      <c r="G45" s="121"/>
      <c r="H45" s="121"/>
      <c r="I45" s="121"/>
      <c r="J45" s="121"/>
      <c r="K45" s="121"/>
      <c r="L45" s="121"/>
      <c r="M45" s="121"/>
      <c r="N45" s="121"/>
      <c r="O45" s="121"/>
      <c r="P45" s="121"/>
      <c r="Q45" s="121"/>
      <c r="R45" s="121" t="s">
        <v>572</v>
      </c>
      <c r="S45" s="121"/>
      <c r="T45" s="231">
        <v>40</v>
      </c>
      <c r="U45" s="121"/>
      <c r="V45" s="121" t="s">
        <v>576</v>
      </c>
      <c r="W45" s="121"/>
      <c r="X45" s="121"/>
      <c r="Y45" s="121"/>
      <c r="Z45" s="121"/>
      <c r="AA45" s="121"/>
      <c r="AB45" s="121"/>
      <c r="AC45" s="121"/>
      <c r="AD45" s="121"/>
      <c r="AE45" s="121"/>
      <c r="AF45" s="121"/>
      <c r="AG45" s="121"/>
      <c r="AH45" s="121"/>
      <c r="AI45" s="121"/>
      <c r="AJ45" s="121"/>
      <c r="AK45" s="121"/>
      <c r="AL45" s="121"/>
      <c r="AM45" s="121"/>
      <c r="AN45" s="121"/>
      <c r="AO45" s="121"/>
    </row>
    <row r="46" spans="2:41">
      <c r="B46" s="121"/>
      <c r="C46" s="121"/>
      <c r="D46" s="121"/>
      <c r="E46" s="121"/>
      <c r="F46" s="121"/>
      <c r="G46" s="121"/>
      <c r="H46" s="121"/>
      <c r="I46" s="121"/>
      <c r="J46" s="121"/>
      <c r="K46" s="121"/>
      <c r="L46" s="121"/>
      <c r="M46" s="121"/>
      <c r="N46" s="121"/>
      <c r="O46" s="121"/>
      <c r="P46" s="121"/>
      <c r="Q46" s="121"/>
      <c r="R46" s="121" t="s">
        <v>573</v>
      </c>
      <c r="S46" s="121"/>
      <c r="T46" s="231">
        <v>25</v>
      </c>
      <c r="U46" s="121"/>
      <c r="V46" s="121" t="s">
        <v>576</v>
      </c>
      <c r="W46" s="121"/>
      <c r="X46" s="121"/>
      <c r="Y46" s="121"/>
      <c r="Z46" s="121"/>
      <c r="AA46" s="121"/>
      <c r="AB46" s="121"/>
      <c r="AC46" s="121"/>
      <c r="AD46" s="121"/>
      <c r="AE46" s="121"/>
      <c r="AF46" s="121"/>
      <c r="AG46" s="121"/>
      <c r="AH46" s="121"/>
      <c r="AI46" s="121"/>
      <c r="AJ46" s="121"/>
      <c r="AK46" s="121"/>
      <c r="AL46" s="121"/>
      <c r="AM46" s="121"/>
      <c r="AN46" s="121"/>
      <c r="AO46" s="121"/>
    </row>
    <row r="47" spans="2:41">
      <c r="B47" s="121"/>
      <c r="C47" s="121"/>
      <c r="D47" s="121"/>
      <c r="E47" s="121"/>
      <c r="F47" s="121"/>
      <c r="G47" s="121"/>
      <c r="H47" s="121"/>
      <c r="I47" s="121"/>
      <c r="J47" s="121"/>
      <c r="K47" s="121"/>
      <c r="L47" s="121"/>
      <c r="M47" s="121"/>
      <c r="N47" s="121"/>
      <c r="O47" s="121"/>
      <c r="P47" s="121"/>
      <c r="Q47" s="121"/>
      <c r="R47" s="121" t="s">
        <v>574</v>
      </c>
      <c r="S47" s="121"/>
      <c r="T47" s="232">
        <v>5</v>
      </c>
      <c r="U47" s="121"/>
      <c r="V47" s="121" t="s">
        <v>576</v>
      </c>
      <c r="W47" s="121"/>
      <c r="X47" s="121"/>
      <c r="Y47" s="121"/>
      <c r="Z47" s="121"/>
      <c r="AA47" s="121"/>
      <c r="AB47" s="121"/>
      <c r="AC47" s="121"/>
      <c r="AD47" s="121"/>
      <c r="AE47" s="121"/>
      <c r="AF47" s="121"/>
      <c r="AG47" s="121"/>
      <c r="AH47" s="121"/>
      <c r="AI47" s="121"/>
      <c r="AJ47" s="121"/>
      <c r="AK47" s="121"/>
      <c r="AL47" s="121"/>
      <c r="AM47" s="121"/>
      <c r="AN47" s="121"/>
      <c r="AO47" s="121"/>
    </row>
    <row r="48" spans="2:4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row>
    <row r="49" spans="2:4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row>
    <row r="50" spans="2:4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row>
    <row r="51" spans="2:41">
      <c r="B51" s="121"/>
      <c r="C51" s="121"/>
      <c r="D51" s="121"/>
      <c r="E51" s="121"/>
      <c r="F51" s="121"/>
      <c r="G51" s="121"/>
      <c r="H51" s="121"/>
      <c r="I51" s="121"/>
      <c r="J51" s="121"/>
      <c r="K51" s="121"/>
      <c r="L51" s="121"/>
      <c r="M51" s="121"/>
      <c r="N51" s="121"/>
      <c r="O51" s="121"/>
      <c r="P51" s="121"/>
      <c r="Q51" s="121"/>
      <c r="R51" s="287" t="s">
        <v>605</v>
      </c>
      <c r="S51" s="286"/>
      <c r="T51" s="286"/>
      <c r="U51" s="121"/>
      <c r="V51" s="121"/>
      <c r="W51" s="121"/>
      <c r="X51" s="121"/>
      <c r="Y51" s="121"/>
      <c r="Z51" s="121"/>
      <c r="AA51" s="121"/>
      <c r="AB51" s="121"/>
      <c r="AC51" s="121"/>
      <c r="AD51" s="121"/>
      <c r="AE51" s="121"/>
      <c r="AF51" s="121"/>
      <c r="AG51" s="121"/>
      <c r="AH51" s="121"/>
      <c r="AI51" s="121"/>
      <c r="AJ51" s="121"/>
      <c r="AK51" s="121"/>
      <c r="AL51" s="121"/>
      <c r="AM51" s="121"/>
      <c r="AN51" s="121"/>
      <c r="AO51" s="121"/>
    </row>
    <row r="52" spans="2:41">
      <c r="B52" s="121"/>
      <c r="C52" s="121"/>
      <c r="D52" s="121"/>
      <c r="E52" s="121"/>
      <c r="F52" s="121"/>
      <c r="G52" s="121"/>
      <c r="H52" s="121"/>
      <c r="I52" s="121"/>
      <c r="J52" s="121"/>
      <c r="K52" s="121"/>
      <c r="L52" s="121"/>
      <c r="M52" s="121"/>
      <c r="N52" s="121"/>
      <c r="O52" s="121"/>
      <c r="P52" s="121"/>
      <c r="Q52" s="295" t="s">
        <v>566</v>
      </c>
      <c r="R52" s="121" t="s">
        <v>598</v>
      </c>
      <c r="S52" s="121"/>
      <c r="T52" s="285">
        <f>CBSA!$N$49</f>
        <v>0.70825134575255211</v>
      </c>
      <c r="U52" s="121"/>
      <c r="V52" s="121" t="s">
        <v>602</v>
      </c>
      <c r="W52" s="121"/>
      <c r="X52" s="121"/>
      <c r="Y52" s="121"/>
      <c r="Z52" s="121"/>
      <c r="AA52" s="121"/>
      <c r="AB52" s="121"/>
      <c r="AC52" s="121"/>
      <c r="AD52" s="121"/>
      <c r="AE52" s="121"/>
      <c r="AF52" s="121"/>
      <c r="AG52" s="121"/>
      <c r="AH52" s="121"/>
      <c r="AI52" s="121"/>
      <c r="AJ52" s="121"/>
      <c r="AK52" s="121"/>
      <c r="AL52" s="121"/>
      <c r="AM52" s="121"/>
      <c r="AN52" s="121"/>
      <c r="AO52" s="121"/>
    </row>
    <row r="53" spans="2:41">
      <c r="B53" s="121"/>
      <c r="C53" s="121"/>
      <c r="D53" s="121"/>
      <c r="E53" s="121"/>
      <c r="F53" s="121"/>
      <c r="G53" s="121"/>
      <c r="H53" s="121"/>
      <c r="I53" s="121"/>
      <c r="J53" s="121"/>
      <c r="K53" s="121"/>
      <c r="L53" s="121"/>
      <c r="M53" s="121"/>
      <c r="N53" s="121"/>
      <c r="O53" s="121"/>
      <c r="P53" s="121"/>
      <c r="Q53" s="295" t="s">
        <v>567</v>
      </c>
      <c r="R53" s="121" t="s">
        <v>599</v>
      </c>
      <c r="S53" s="121"/>
      <c r="T53" s="285">
        <f>CBSA!$N$48</f>
        <v>0.29174865424744784</v>
      </c>
      <c r="U53" s="121"/>
      <c r="V53" s="121" t="s">
        <v>602</v>
      </c>
      <c r="W53" s="121"/>
      <c r="X53" s="121"/>
      <c r="Y53" s="121"/>
      <c r="Z53" s="121"/>
      <c r="AA53" s="121"/>
      <c r="AB53" s="121"/>
      <c r="AC53" s="121"/>
      <c r="AD53" s="121"/>
      <c r="AE53" s="121"/>
      <c r="AF53" s="121"/>
      <c r="AG53" s="121"/>
      <c r="AH53" s="121"/>
      <c r="AI53" s="121"/>
      <c r="AJ53" s="121"/>
      <c r="AK53" s="121"/>
      <c r="AL53" s="121"/>
      <c r="AM53" s="121"/>
      <c r="AN53" s="121"/>
      <c r="AO53" s="121"/>
    </row>
    <row r="54" spans="2:41">
      <c r="B54" s="121"/>
      <c r="C54" s="121"/>
      <c r="D54" s="121"/>
      <c r="E54" s="121"/>
      <c r="F54" s="121"/>
      <c r="G54" s="121"/>
      <c r="H54" s="121"/>
      <c r="I54" s="121"/>
      <c r="J54" s="121"/>
      <c r="K54" s="121"/>
      <c r="L54" s="121"/>
      <c r="M54" s="121"/>
      <c r="N54" s="121"/>
      <c r="O54" s="121"/>
      <c r="P54" s="121"/>
      <c r="Q54" s="295" t="s">
        <v>615</v>
      </c>
      <c r="R54" s="121" t="s">
        <v>600</v>
      </c>
      <c r="S54" s="121"/>
      <c r="T54" s="285">
        <v>0.8</v>
      </c>
      <c r="U54" s="121"/>
      <c r="V54" s="121" t="s">
        <v>603</v>
      </c>
      <c r="W54" s="121"/>
      <c r="X54" s="121"/>
      <c r="Y54" s="121"/>
      <c r="Z54" s="121"/>
      <c r="AA54" s="121"/>
      <c r="AB54" s="121"/>
      <c r="AC54" s="121"/>
      <c r="AD54" s="121"/>
      <c r="AE54" s="121"/>
      <c r="AF54" s="121"/>
      <c r="AG54" s="121"/>
      <c r="AH54" s="121"/>
      <c r="AI54" s="121"/>
      <c r="AJ54" s="121"/>
      <c r="AK54" s="121"/>
      <c r="AL54" s="121"/>
      <c r="AM54" s="121"/>
      <c r="AN54" s="121"/>
      <c r="AO54" s="121"/>
    </row>
    <row r="55" spans="2:41">
      <c r="B55" s="121"/>
      <c r="C55" s="121"/>
      <c r="D55" s="121"/>
      <c r="E55" s="121"/>
      <c r="F55" s="121"/>
      <c r="G55" s="121"/>
      <c r="H55" s="121"/>
      <c r="I55" s="121"/>
      <c r="J55" s="121"/>
      <c r="K55" s="121"/>
      <c r="L55" s="121"/>
      <c r="M55" s="121"/>
      <c r="N55" s="121"/>
      <c r="O55" s="121"/>
      <c r="P55" s="121"/>
      <c r="Q55" s="295" t="s">
        <v>617</v>
      </c>
      <c r="R55" s="121" t="s">
        <v>601</v>
      </c>
      <c r="S55" s="121"/>
      <c r="T55" s="285">
        <v>0.2</v>
      </c>
      <c r="U55" s="121"/>
      <c r="V55" s="121" t="s">
        <v>603</v>
      </c>
      <c r="W55" s="121"/>
      <c r="X55" s="121"/>
      <c r="Y55" s="121"/>
      <c r="Z55" s="121"/>
      <c r="AA55" s="121"/>
      <c r="AB55" s="121"/>
      <c r="AC55" s="121"/>
      <c r="AD55" s="121"/>
      <c r="AE55" s="121"/>
      <c r="AF55" s="121"/>
      <c r="AG55" s="121"/>
      <c r="AH55" s="121"/>
      <c r="AI55" s="121"/>
      <c r="AJ55" s="121"/>
      <c r="AK55" s="121"/>
      <c r="AL55" s="121"/>
      <c r="AM55" s="121"/>
      <c r="AN55" s="121"/>
      <c r="AO55" s="121"/>
    </row>
    <row r="56" spans="2:41">
      <c r="B56" s="121"/>
      <c r="C56" s="121"/>
      <c r="D56" s="121"/>
      <c r="E56" s="121"/>
      <c r="F56" s="121"/>
      <c r="G56" s="121"/>
      <c r="H56" s="121"/>
      <c r="I56" s="121"/>
      <c r="J56" s="121"/>
      <c r="K56" s="121"/>
      <c r="L56" s="121"/>
      <c r="M56" s="121"/>
      <c r="N56" s="121"/>
      <c r="O56" s="121"/>
      <c r="P56" s="121"/>
      <c r="Q56" s="295" t="s">
        <v>616</v>
      </c>
      <c r="R56" s="121" t="s">
        <v>604</v>
      </c>
      <c r="S56" s="121"/>
      <c r="T56" s="285">
        <v>0.1</v>
      </c>
      <c r="U56" s="121"/>
      <c r="V56" s="121" t="s">
        <v>607</v>
      </c>
      <c r="W56" s="121"/>
      <c r="X56" s="121"/>
      <c r="Y56" s="121"/>
      <c r="Z56" s="121"/>
      <c r="AA56" s="121"/>
      <c r="AB56" s="121"/>
      <c r="AC56" s="121"/>
      <c r="AD56" s="121"/>
      <c r="AE56" s="121"/>
      <c r="AF56" s="121"/>
      <c r="AG56" s="121"/>
      <c r="AH56" s="121"/>
      <c r="AI56" s="121"/>
      <c r="AJ56" s="121"/>
      <c r="AK56" s="121"/>
      <c r="AL56" s="121"/>
      <c r="AM56" s="121"/>
      <c r="AN56" s="121"/>
      <c r="AO56" s="121"/>
    </row>
    <row r="57" spans="2:4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row>
    <row r="58" spans="2:4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row>
    <row r="59" spans="2:4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row>
    <row r="60" spans="2:4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row>
    <row r="61" spans="2:4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row>
    <row r="62" spans="2:4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row>
    <row r="63" spans="2:4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row>
    <row r="64" spans="2:4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row>
    <row r="65" spans="2:4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row>
    <row r="66" spans="2:4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row>
    <row r="67" spans="2:4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row>
    <row r="68" spans="2:4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row>
    <row r="69" spans="2:4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row>
    <row r="70" spans="2:4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row>
    <row r="71" spans="2:41">
      <c r="B71" s="121"/>
      <c r="C71" s="121" t="s">
        <v>233</v>
      </c>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row>
    <row r="72" spans="2:4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row>
    <row r="73" spans="2:4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row>
    <row r="74" spans="2:4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row>
    <row r="75" spans="2:4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row>
    <row r="76" spans="2:4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row>
    <row r="77" spans="2:4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row>
    <row r="78" spans="2:4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row>
    <row r="79" spans="2:4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row>
    <row r="80" spans="2:4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row>
    <row r="81" spans="2:4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row>
    <row r="82" spans="2:4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row>
    <row r="83" spans="2:4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row>
    <row r="84" spans="2:41">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row>
    <row r="85" spans="2:4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row>
    <row r="86" spans="2:4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row>
    <row r="87" spans="2:41">
      <c r="B87" s="121"/>
      <c r="C87" s="121"/>
      <c r="D87" s="121"/>
      <c r="E87" s="121"/>
      <c r="F87" s="121"/>
      <c r="G87" s="121"/>
      <c r="H87" s="121"/>
      <c r="I87" s="121"/>
      <c r="J87" s="121"/>
      <c r="K87" s="121"/>
      <c r="L87" s="121"/>
      <c r="M87" s="121"/>
      <c r="N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row>
    <row r="88" spans="2:41">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row>
    <row r="89" spans="2:41">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row>
    <row r="90" spans="2:41">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row>
    <row r="91" spans="2:4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row>
    <row r="92" spans="2:41">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row>
    <row r="93" spans="2:41">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row>
    <row r="94" spans="2:4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row>
    <row r="95" spans="2:4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row>
    <row r="96" spans="2:4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row>
    <row r="97" spans="2:4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row>
    <row r="98" spans="2:4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row>
    <row r="99" spans="2:41">
      <c r="B99" s="121"/>
      <c r="C99" s="121"/>
      <c r="D99" s="121"/>
      <c r="E99" s="121"/>
      <c r="F99" s="121"/>
      <c r="G99" s="121"/>
      <c r="H99" s="121"/>
      <c r="I99" s="121"/>
      <c r="J99" s="121"/>
      <c r="K99" s="121"/>
      <c r="L99" s="121"/>
      <c r="M99" s="121"/>
      <c r="N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row>
    <row r="100" spans="2:4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row>
    <row r="101" spans="2:4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row>
    <row r="102" spans="2:41">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row>
    <row r="103" spans="2:4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row>
    <row r="104" spans="2:4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row>
    <row r="105" spans="2:4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row>
    <row r="106" spans="2:4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row>
    <row r="107" spans="2:4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row>
    <row r="108" spans="2:4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row>
    <row r="109" spans="2:4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row>
    <row r="110" spans="2:4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row>
    <row r="111" spans="2:41">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row>
    <row r="112" spans="2:41">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row>
    <row r="113" spans="2:41">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row>
    <row r="114" spans="2:41">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row>
    <row r="115" spans="2:41">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row>
    <row r="116" spans="2:41">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row>
    <row r="117" spans="2:41">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c r="AO117" s="121"/>
    </row>
    <row r="118" spans="2:4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row>
    <row r="119" spans="2:4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21"/>
      <c r="AO119" s="121"/>
    </row>
    <row r="120" spans="2:41">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row>
    <row r="121" spans="2:41">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row>
    <row r="122" spans="2:41">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row>
    <row r="123" spans="2:4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row>
    <row r="124" spans="2:4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c r="AO124" s="121"/>
    </row>
    <row r="125" spans="2:4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c r="AO125" s="121"/>
    </row>
    <row r="126" spans="2:41">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row>
    <row r="127" spans="2:41">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row>
    <row r="128" spans="2:41">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21"/>
      <c r="AL128" s="121"/>
      <c r="AM128" s="121"/>
      <c r="AN128" s="121"/>
      <c r="AO128" s="121"/>
    </row>
    <row r="129" spans="2:41">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row>
    <row r="130" spans="2:41">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row>
    <row r="131" spans="2:41">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row>
    <row r="132" spans="2:41">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row>
    <row r="133" spans="2:41">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row>
    <row r="134" spans="2:4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row>
    <row r="135" spans="2:41">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row>
    <row r="136" spans="2:41">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c r="AN136" s="121"/>
      <c r="AO136" s="12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C3:M25"/>
  <sheetViews>
    <sheetView workbookViewId="0">
      <selection activeCell="F8" sqref="F8"/>
    </sheetView>
  </sheetViews>
  <sheetFormatPr defaultRowHeight="12.75"/>
  <cols>
    <col min="3" max="3" width="30.28515625" customWidth="1"/>
    <col min="4" max="4" width="11.28515625" bestFit="1" customWidth="1"/>
    <col min="6" max="6" width="12.28515625" customWidth="1"/>
    <col min="7" max="7" width="10.7109375" customWidth="1"/>
    <col min="8" max="8" width="11" customWidth="1"/>
    <col min="9" max="9" width="10.7109375" customWidth="1"/>
    <col min="14" max="14" width="11.7109375" customWidth="1"/>
  </cols>
  <sheetData>
    <row r="3" spans="3:13">
      <c r="J3" t="s">
        <v>295</v>
      </c>
      <c r="K3" s="158">
        <v>30</v>
      </c>
    </row>
    <row r="4" spans="3:13">
      <c r="J4" t="s">
        <v>296</v>
      </c>
      <c r="K4" s="129">
        <v>0.04</v>
      </c>
    </row>
    <row r="6" spans="3:13" ht="38.25">
      <c r="D6" s="159" t="s">
        <v>297</v>
      </c>
      <c r="E6" s="159" t="s">
        <v>298</v>
      </c>
      <c r="F6" s="159" t="s">
        <v>299</v>
      </c>
      <c r="G6" s="159" t="s">
        <v>300</v>
      </c>
      <c r="H6" s="159" t="s">
        <v>301</v>
      </c>
      <c r="I6" s="159" t="s">
        <v>302</v>
      </c>
      <c r="J6" s="159" t="s">
        <v>303</v>
      </c>
      <c r="K6" s="159" t="s">
        <v>304</v>
      </c>
      <c r="L6" s="159" t="s">
        <v>305</v>
      </c>
      <c r="M6" s="159" t="s">
        <v>306</v>
      </c>
    </row>
    <row r="7" spans="3:13">
      <c r="C7" t="s">
        <v>307</v>
      </c>
      <c r="D7" s="158">
        <v>48</v>
      </c>
      <c r="E7">
        <v>5</v>
      </c>
      <c r="F7">
        <f>E7*8760</f>
        <v>43800</v>
      </c>
      <c r="J7">
        <v>13</v>
      </c>
      <c r="K7" s="158">
        <v>40</v>
      </c>
      <c r="L7">
        <v>5</v>
      </c>
    </row>
    <row r="8" spans="3:13">
      <c r="C8" t="s">
        <v>308</v>
      </c>
      <c r="D8" s="158">
        <v>150</v>
      </c>
      <c r="E8">
        <v>0.2</v>
      </c>
      <c r="F8">
        <f>E8*8760</f>
        <v>1752</v>
      </c>
      <c r="G8" s="158">
        <f>D8-D7</f>
        <v>102</v>
      </c>
      <c r="H8" s="160">
        <f>(F7-F8)/1000</f>
        <v>42.048000000000002</v>
      </c>
      <c r="I8" s="161">
        <f>G8/H8</f>
        <v>2.4257990867579906</v>
      </c>
      <c r="J8">
        <v>20</v>
      </c>
      <c r="K8" s="158">
        <v>40</v>
      </c>
      <c r="L8">
        <v>10</v>
      </c>
      <c r="M8" s="158">
        <f>-PMT($K$4,J8,I8)*1000</f>
        <v>178.4945427492423</v>
      </c>
    </row>
    <row r="9" spans="3:13">
      <c r="C9" t="s">
        <v>309</v>
      </c>
      <c r="D9" s="158">
        <f>D8+$K$3</f>
        <v>180</v>
      </c>
      <c r="E9">
        <v>0.2</v>
      </c>
      <c r="F9">
        <f>E9*8760</f>
        <v>1752</v>
      </c>
      <c r="G9" s="158">
        <f>D9</f>
        <v>180</v>
      </c>
      <c r="H9" s="160">
        <f>(F7-F9)/1000</f>
        <v>42.048000000000002</v>
      </c>
      <c r="I9" s="161">
        <f>G9/H9</f>
        <v>4.2808219178082192</v>
      </c>
      <c r="J9">
        <v>20</v>
      </c>
      <c r="K9" s="158">
        <v>40</v>
      </c>
      <c r="L9">
        <v>10</v>
      </c>
      <c r="M9" s="158">
        <f>-PMT($K$4,J9,I9)*1000</f>
        <v>314.99036955748642</v>
      </c>
    </row>
    <row r="11" spans="3:13">
      <c r="C11" t="s">
        <v>310</v>
      </c>
      <c r="D11" s="158">
        <v>58</v>
      </c>
      <c r="E11">
        <v>10</v>
      </c>
      <c r="F11">
        <f>E11*8760</f>
        <v>87600</v>
      </c>
      <c r="G11" s="158"/>
      <c r="J11">
        <v>13</v>
      </c>
      <c r="K11" s="158">
        <v>40</v>
      </c>
      <c r="L11">
        <v>5</v>
      </c>
    </row>
    <row r="12" spans="3:13">
      <c r="C12" t="s">
        <v>311</v>
      </c>
      <c r="D12" s="158">
        <v>170</v>
      </c>
      <c r="E12">
        <v>0.4</v>
      </c>
      <c r="F12">
        <f>E12*8760</f>
        <v>3504</v>
      </c>
      <c r="G12" s="158">
        <f>D12-D11</f>
        <v>112</v>
      </c>
      <c r="H12" s="160">
        <f>(F11-F12)/1000</f>
        <v>84.096000000000004</v>
      </c>
      <c r="I12" s="161">
        <f>G12/H12</f>
        <v>1.3318112633181125</v>
      </c>
      <c r="J12">
        <v>20</v>
      </c>
      <c r="K12" s="158">
        <v>40</v>
      </c>
      <c r="L12">
        <v>10</v>
      </c>
      <c r="M12" s="158">
        <f>-PMT($K$4,J12,I12)*1000</f>
        <v>97.997003862329109</v>
      </c>
    </row>
    <row r="13" spans="3:13">
      <c r="C13" t="s">
        <v>521</v>
      </c>
      <c r="D13" s="158">
        <f>D12+$K$3</f>
        <v>200</v>
      </c>
      <c r="E13">
        <v>0.4</v>
      </c>
      <c r="F13">
        <f>E13*8760</f>
        <v>3504</v>
      </c>
      <c r="G13" s="158">
        <f>D13</f>
        <v>200</v>
      </c>
      <c r="H13" s="160">
        <f>(F11-F13)/1000</f>
        <v>84.096000000000004</v>
      </c>
      <c r="I13" s="161">
        <f>G13/H13</f>
        <v>2.378234398782344</v>
      </c>
      <c r="J13">
        <v>20</v>
      </c>
      <c r="K13" s="158">
        <v>40</v>
      </c>
      <c r="L13">
        <v>10</v>
      </c>
      <c r="M13" s="158">
        <f>-PMT($K$4,J13,I13)*1000</f>
        <v>174.99464975415916</v>
      </c>
    </row>
    <row r="20" spans="3:4">
      <c r="C20" t="s">
        <v>312</v>
      </c>
      <c r="D20" s="161">
        <v>4</v>
      </c>
    </row>
    <row r="21" spans="3:4">
      <c r="C21" t="s">
        <v>313</v>
      </c>
      <c r="D21" s="161">
        <f>(0.9/3.3)*D20</f>
        <v>1.0909090909090911</v>
      </c>
    </row>
    <row r="22" spans="3:4">
      <c r="C22" t="s">
        <v>314</v>
      </c>
      <c r="D22" s="161">
        <f>SUM(D20:D21)</f>
        <v>5.0909090909090908</v>
      </c>
    </row>
    <row r="23" spans="3:4">
      <c r="C23" t="s">
        <v>315</v>
      </c>
      <c r="D23" s="160">
        <f>0.7*H12+0.3*H9</f>
        <v>71.4816</v>
      </c>
    </row>
    <row r="24" spans="3:4">
      <c r="C24" t="s">
        <v>316</v>
      </c>
      <c r="D24" s="149">
        <f>D22*1000000*D23/1000</f>
        <v>363906.32727272727</v>
      </c>
    </row>
    <row r="25" spans="3:4">
      <c r="C25" t="s">
        <v>317</v>
      </c>
      <c r="D25" s="160">
        <f>D24/8760</f>
        <v>41.541818181818179</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forRPM</vt:lpstr>
      <vt:lpstr>7PSourceSummary</vt:lpstr>
      <vt:lpstr>SC-New</vt:lpstr>
      <vt:lpstr>SC-NR</vt:lpstr>
      <vt:lpstr>M_Input_Out</vt:lpstr>
      <vt:lpstr>M_Input</vt:lpstr>
      <vt:lpstr>MMap</vt:lpstr>
      <vt:lpstr>Sources</vt:lpstr>
      <vt:lpstr>Back of Envelope</vt:lpstr>
      <vt:lpstr>Stock</vt:lpstr>
      <vt:lpstr>CBSA</vt:lpstr>
      <vt:lpstr>LOG</vt:lpstr>
      <vt:lpstr>ExitApplic</vt:lpstr>
      <vt:lpstr>MeasOut</vt:lpstr>
      <vt:lpstr>Sources!OLE_LINK1</vt:lpstr>
      <vt:lpstr>Resid_Carryover</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2015-03-25T10:00:43Z</dcterms:modified>
</cp:coreProperties>
</file>