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omments6.xml" ContentType="application/vnd.openxmlformats-officedocument.spreadsheetml.comments+xml"/>
  <Override PartName="/xl/charts/chart2.xml" ContentType="application/vnd.openxmlformats-officedocument.drawingml.chart+xml"/>
  <Override PartName="/xl/charts/style4.xml" ContentType="application/vnd.ms-office.chartsty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Default Extension="docx" ContentType="application/vnd.openxmlformats-officedocument.wordprocessingml.document"/>
  <Override PartName="/xl/drawings/drawing3.xml" ContentType="application/vnd.openxmlformats-officedocument.drawing+xml"/>
  <Override PartName="/xl/charts/style3.xml" ContentType="application/vnd.ms-office.chartstyle+xml"/>
  <Override PartName="/xl/charts/style1.xml" ContentType="application/vnd.ms-office.chartstyle+xml"/>
  <Override PartName="/xl/charts/style2.xml" ContentType="application/vnd.ms-office.chartsty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colors4.xml" ContentType="application/vnd.ms-office.chartcolorstyle+xml"/>
  <Override PartName="/xl/worksheets/sheet19.xml" ContentType="application/vnd.openxmlformats-officedocument.spreadsheetml.worksheet+xml"/>
  <Override PartName="/xl/sharedStrings.xml" ContentType="application/vnd.openxmlformats-officedocument.spreadsheetml.sharedStrings+xml"/>
  <Override PartName="/xl/charts/colors3.xml" ContentType="application/vnd.ms-office.chartcolorstyle+xml"/>
  <Override PartName="/xl/charts/colors2.xml" ContentType="application/vnd.ms-office.chartcolorstyle+xml"/>
  <Override PartName="/xl/worksheets/sheet17.xml" ContentType="application/vnd.openxmlformats-officedocument.spreadsheetml.worksheet+xml"/>
  <Override PartName="/xl/worksheets/sheet18.xml" ContentType="application/vnd.openxmlformats-officedocument.spreadsheetml.worksheet+xml"/>
  <Override PartName="/xl/charts/colors1.xml" ContentType="application/vnd.ms-office.chartcolorstyle+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comments9.xml" ContentType="application/vnd.openxmlformats-officedocument.spreadsheetml.comments+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omments7.xml" ContentType="application/vnd.openxmlformats-officedocument.spreadsheetml.comments+xml"/>
  <Default Extension="emf" ContentType="image/x-emf"/>
  <Override PartName="/xl/charts/chart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35" windowWidth="23910" windowHeight="11145" tabRatio="844"/>
  </bookViews>
  <sheets>
    <sheet name="7PSourceSummary" sheetId="5" r:id="rId1"/>
    <sheet name="forRPM" sheetId="26" r:id="rId2"/>
    <sheet name="SC-New" sheetId="1" r:id="rId3"/>
    <sheet name="SC-NR" sheetId="2" r:id="rId4"/>
    <sheet name="SC-Retro" sheetId="3" r:id="rId5"/>
    <sheet name="M_Input_Out" sheetId="24" r:id="rId6"/>
    <sheet name="M_Input" sheetId="23" r:id="rId7"/>
    <sheet name="M_Input(Fixture)_Out" sheetId="16" r:id="rId8"/>
    <sheet name="M_Input(Fixture)" sheetId="6" r:id="rId9"/>
    <sheet name="M_Input(Fixt wo OM)_Out" sheetId="18" r:id="rId10"/>
    <sheet name="M_Input(Fixt wo OM)" sheetId="17" r:id="rId11"/>
    <sheet name="M_Weight" sheetId="21" r:id="rId12"/>
    <sheet name="Watt Allocation" sheetId="19" r:id="rId13"/>
    <sheet name="Savings and Cost Analysis" sheetId="13" r:id="rId14"/>
    <sheet name="Reference Fixtures" sheetId="11" r:id="rId15"/>
    <sheet name="DOE2014 Sales Pen" sheetId="25" r:id="rId16"/>
    <sheet name="CBSA Data" sheetId="10" r:id="rId17"/>
    <sheet name="Approach" sheetId="12" r:id="rId18"/>
    <sheet name="ETO Cost Data" sheetId="14" r:id="rId19"/>
    <sheet name="Sheet1" sheetId="15" r:id="rId20"/>
    <sheet name="References" sheetId="4" r:id="rId21"/>
    <sheet name="ToDo7P" sheetId="8" r:id="rId22"/>
  </sheets>
  <externalReferences>
    <externalReference r:id="rId23"/>
    <externalReference r:id="rId24"/>
    <externalReference r:id="rId25"/>
  </externalReferences>
  <definedNames>
    <definedName name="_xlnm._FilterDatabase" localSheetId="6" hidden="1">M_Input!$A$147:$EA$171</definedName>
    <definedName name="_xlnm._FilterDatabase" localSheetId="5" hidden="1">M_Input_Out!$A$3:$EA$27</definedName>
    <definedName name="_xlnm._FilterDatabase" localSheetId="13" hidden="1">'Savings and Cost Analysis'!$AM$12:$CW$49</definedName>
    <definedName name="_xlnm._FilterDatabase" localSheetId="19" hidden="1">Sheet1!$A$1:$G$576</definedName>
    <definedName name="_Key1" localSheetId="6" hidden="1">#REF!</definedName>
    <definedName name="_Key1" hidden="1">#REF!</definedName>
    <definedName name="_Order1" hidden="1">255</definedName>
    <definedName name="_Sort" localSheetId="6" hidden="1">#REF!</definedName>
    <definedName name="_Sort" hidden="1">#REF!</definedName>
    <definedName name="CostMatrix">'Savings and Cost Analysis'!$AM$12:$CW$49</definedName>
    <definedName name="Resid_Carryover">'SC-New'!$C$157:$Y$167</definedName>
    <definedName name="VSTOCK">[1]Lookup!$C$4:$D$12</definedName>
    <definedName name="Watt_Allocation">'Watt Allocation'!$C$38:$K$46</definedName>
    <definedName name="Watt_Class_Ext">'Reference Fixtures'!$A$10:$M$34</definedName>
  </definedNames>
  <calcPr calcId="125725"/>
</workbook>
</file>

<file path=xl/calcChain.xml><?xml version="1.0" encoding="utf-8"?>
<calcChain xmlns="http://schemas.openxmlformats.org/spreadsheetml/2006/main">
  <c r="AF11" i="26"/>
  <c r="AG11"/>
  <c r="AH11"/>
  <c r="AI11"/>
  <c r="AJ11"/>
  <c r="AK11"/>
  <c r="AL11"/>
  <c r="AM11"/>
  <c r="AN11"/>
  <c r="AO11"/>
  <c r="AP11"/>
  <c r="AQ11"/>
  <c r="AS11"/>
  <c r="AT11"/>
  <c r="AU11"/>
  <c r="AV11"/>
  <c r="AW11"/>
  <c r="AX11"/>
  <c r="AY11"/>
  <c r="AZ11"/>
  <c r="BA11"/>
  <c r="BB11"/>
  <c r="BC11"/>
  <c r="BD11"/>
  <c r="AF12"/>
  <c r="AG12"/>
  <c r="AH12"/>
  <c r="AI12"/>
  <c r="AJ12"/>
  <c r="AK12"/>
  <c r="AL12"/>
  <c r="AM12"/>
  <c r="AN12"/>
  <c r="AO12"/>
  <c r="AP12"/>
  <c r="AQ12"/>
  <c r="AS12"/>
  <c r="AT12"/>
  <c r="AU12"/>
  <c r="AV12"/>
  <c r="AW12"/>
  <c r="AX12"/>
  <c r="AY12"/>
  <c r="AZ12"/>
  <c r="BA12"/>
  <c r="BB12"/>
  <c r="BC12"/>
  <c r="BD12"/>
  <c r="AF13"/>
  <c r="AG13"/>
  <c r="AH13"/>
  <c r="AI13"/>
  <c r="AJ13"/>
  <c r="AK13"/>
  <c r="AL13"/>
  <c r="AM13"/>
  <c r="AN13"/>
  <c r="AO13"/>
  <c r="AP13"/>
  <c r="AQ13"/>
  <c r="AS13"/>
  <c r="AT13"/>
  <c r="AU13"/>
  <c r="AV13"/>
  <c r="AW13"/>
  <c r="AX13"/>
  <c r="AY13"/>
  <c r="AZ13"/>
  <c r="BA13"/>
  <c r="BB13"/>
  <c r="BC13"/>
  <c r="BD13"/>
  <c r="AF14"/>
  <c r="AG14"/>
  <c r="AH14"/>
  <c r="AI14"/>
  <c r="AJ14"/>
  <c r="AK14"/>
  <c r="AL14"/>
  <c r="AM14"/>
  <c r="AN14"/>
  <c r="AO14"/>
  <c r="AP14"/>
  <c r="AQ14"/>
  <c r="AS14"/>
  <c r="AT14"/>
  <c r="AU14"/>
  <c r="AV14"/>
  <c r="AW14"/>
  <c r="AX14"/>
  <c r="AY14"/>
  <c r="AZ14"/>
  <c r="BA14"/>
  <c r="BB14"/>
  <c r="BC14"/>
  <c r="BD14"/>
  <c r="AF15"/>
  <c r="AG15"/>
  <c r="AH15"/>
  <c r="AI15"/>
  <c r="AJ15"/>
  <c r="AK15"/>
  <c r="AL15"/>
  <c r="AM15"/>
  <c r="AN15"/>
  <c r="AO15"/>
  <c r="AP15"/>
  <c r="AQ15"/>
  <c r="AS15"/>
  <c r="AT15"/>
  <c r="AU15"/>
  <c r="AV15"/>
  <c r="AW15"/>
  <c r="AX15"/>
  <c r="AY15"/>
  <c r="AZ15"/>
  <c r="BA15"/>
  <c r="BB15"/>
  <c r="BC15"/>
  <c r="BD15"/>
  <c r="AF16"/>
  <c r="AG16"/>
  <c r="AH16"/>
  <c r="AI16"/>
  <c r="AJ16"/>
  <c r="AK16"/>
  <c r="AL16"/>
  <c r="AM16"/>
  <c r="AN16"/>
  <c r="AO16"/>
  <c r="AP16"/>
  <c r="AQ16"/>
  <c r="AS16"/>
  <c r="AT16"/>
  <c r="AU16"/>
  <c r="AV16"/>
  <c r="AW16"/>
  <c r="AX16"/>
  <c r="AY16"/>
  <c r="AZ16"/>
  <c r="BA16"/>
  <c r="BB16"/>
  <c r="BC16"/>
  <c r="BD16"/>
  <c r="AF17"/>
  <c r="AG17"/>
  <c r="AH17"/>
  <c r="AI17"/>
  <c r="AJ17"/>
  <c r="AK17"/>
  <c r="AL17"/>
  <c r="AM17"/>
  <c r="AN17"/>
  <c r="AO17"/>
  <c r="AP17"/>
  <c r="AQ17"/>
  <c r="AS17"/>
  <c r="AT17"/>
  <c r="AU17"/>
  <c r="AV17"/>
  <c r="AW17"/>
  <c r="AX17"/>
  <c r="AY17"/>
  <c r="AZ17"/>
  <c r="BA17"/>
  <c r="BB17"/>
  <c r="BC17"/>
  <c r="BD17"/>
  <c r="AF18"/>
  <c r="AG18"/>
  <c r="AH18"/>
  <c r="AI18"/>
  <c r="AJ18"/>
  <c r="AK18"/>
  <c r="AL18"/>
  <c r="AM18"/>
  <c r="AN18"/>
  <c r="AO18"/>
  <c r="AP18"/>
  <c r="AQ18"/>
  <c r="AS18"/>
  <c r="AT18"/>
  <c r="AU18"/>
  <c r="AV18"/>
  <c r="AW18"/>
  <c r="AX18"/>
  <c r="AY18"/>
  <c r="AZ18"/>
  <c r="BA18"/>
  <c r="BB18"/>
  <c r="BC18"/>
  <c r="BD18"/>
  <c r="AE11"/>
  <c r="AE12"/>
  <c r="AE13"/>
  <c r="AE14"/>
  <c r="AE15"/>
  <c r="AE16"/>
  <c r="AE17"/>
  <c r="AE18"/>
  <c r="F11"/>
  <c r="G11"/>
  <c r="H11"/>
  <c r="F12"/>
  <c r="G12"/>
  <c r="H12"/>
  <c r="F13"/>
  <c r="G13"/>
  <c r="H13"/>
  <c r="F14"/>
  <c r="G14"/>
  <c r="H14"/>
  <c r="F15"/>
  <c r="G15"/>
  <c r="H15"/>
  <c r="F16"/>
  <c r="G16"/>
  <c r="H16"/>
  <c r="F17"/>
  <c r="G17"/>
  <c r="H17"/>
  <c r="F18"/>
  <c r="G18"/>
  <c r="H18"/>
  <c r="I11"/>
  <c r="I12"/>
  <c r="I13"/>
  <c r="I14"/>
  <c r="I15"/>
  <c r="I16"/>
  <c r="I17"/>
  <c r="I18"/>
  <c r="B12"/>
  <c r="B13"/>
  <c r="A13" s="1"/>
  <c r="B14"/>
  <c r="B15"/>
  <c r="B16"/>
  <c r="B17"/>
  <c r="A17" s="1"/>
  <c r="B18"/>
  <c r="B11"/>
  <c r="A11" s="1"/>
  <c r="A16"/>
  <c r="A12"/>
  <c r="A15"/>
  <c r="A18"/>
  <c r="C18"/>
  <c r="C17"/>
  <c r="C16"/>
  <c r="C15"/>
  <c r="C14"/>
  <c r="C13"/>
  <c r="C12"/>
  <c r="C11"/>
  <c r="I2" l="1"/>
  <c r="B4"/>
  <c r="C4"/>
  <c r="B5"/>
  <c r="C5"/>
  <c r="B6"/>
  <c r="C6"/>
  <c r="B7"/>
  <c r="C7"/>
  <c r="B8"/>
  <c r="C8"/>
  <c r="B9"/>
  <c r="C9"/>
  <c r="B10"/>
  <c r="C10"/>
  <c r="I4"/>
  <c r="I5"/>
  <c r="I6"/>
  <c r="I7"/>
  <c r="I8"/>
  <c r="I9"/>
  <c r="I10"/>
  <c r="F3"/>
  <c r="I3"/>
  <c r="B3"/>
  <c r="C3"/>
  <c r="G3" l="1"/>
  <c r="AT3"/>
  <c r="BA3"/>
  <c r="AW3"/>
  <c r="AQ3"/>
  <c r="AM3"/>
  <c r="AI3"/>
  <c r="BB3"/>
  <c r="AS3"/>
  <c r="AJ3"/>
  <c r="BC3"/>
  <c r="AU3"/>
  <c r="AK3"/>
  <c r="BD3"/>
  <c r="AZ3"/>
  <c r="AV3"/>
  <c r="AP3"/>
  <c r="AL3"/>
  <c r="AH3"/>
  <c r="AX3"/>
  <c r="AN3"/>
  <c r="AF3"/>
  <c r="AY3"/>
  <c r="AO3"/>
  <c r="AG3"/>
  <c r="G8"/>
  <c r="AF8"/>
  <c r="AJ8"/>
  <c r="AN8"/>
  <c r="AS8"/>
  <c r="AW8"/>
  <c r="BA8"/>
  <c r="AM8"/>
  <c r="AQ8"/>
  <c r="AZ8"/>
  <c r="AL8"/>
  <c r="AU8"/>
  <c r="BC8"/>
  <c r="AG8"/>
  <c r="AK8"/>
  <c r="AO8"/>
  <c r="AT8"/>
  <c r="AX8"/>
  <c r="BB8"/>
  <c r="AI8"/>
  <c r="AV8"/>
  <c r="BD8"/>
  <c r="AH8"/>
  <c r="AP8"/>
  <c r="AY8"/>
  <c r="H4"/>
  <c r="AF4"/>
  <c r="AJ4"/>
  <c r="AN4"/>
  <c r="AS4"/>
  <c r="AW4"/>
  <c r="BA4"/>
  <c r="AI4"/>
  <c r="AM4"/>
  <c r="AV4"/>
  <c r="BD4"/>
  <c r="AL4"/>
  <c r="AY4"/>
  <c r="AG4"/>
  <c r="AK4"/>
  <c r="AO4"/>
  <c r="AT4"/>
  <c r="AX4"/>
  <c r="BB4"/>
  <c r="AQ4"/>
  <c r="AZ4"/>
  <c r="AH4"/>
  <c r="AP4"/>
  <c r="AU4"/>
  <c r="BC4"/>
  <c r="F9"/>
  <c r="AF9"/>
  <c r="AJ9"/>
  <c r="AN9"/>
  <c r="AS9"/>
  <c r="AW9"/>
  <c r="BA9"/>
  <c r="AI9"/>
  <c r="AQ9"/>
  <c r="AZ9"/>
  <c r="AL9"/>
  <c r="AU9"/>
  <c r="BC9"/>
  <c r="AG9"/>
  <c r="AK9"/>
  <c r="AO9"/>
  <c r="AT9"/>
  <c r="AX9"/>
  <c r="BB9"/>
  <c r="AM9"/>
  <c r="AV9"/>
  <c r="BD9"/>
  <c r="AH9"/>
  <c r="AP9"/>
  <c r="AY9"/>
  <c r="H5"/>
  <c r="AF5"/>
  <c r="AJ5"/>
  <c r="AN5"/>
  <c r="AS5"/>
  <c r="AW5"/>
  <c r="BA5"/>
  <c r="AM5"/>
  <c r="AV5"/>
  <c r="BD5"/>
  <c r="AH5"/>
  <c r="AP5"/>
  <c r="AY5"/>
  <c r="AG5"/>
  <c r="AK5"/>
  <c r="AO5"/>
  <c r="AT5"/>
  <c r="AX5"/>
  <c r="BB5"/>
  <c r="AI5"/>
  <c r="AQ5"/>
  <c r="AZ5"/>
  <c r="AL5"/>
  <c r="AU5"/>
  <c r="BC5"/>
  <c r="A4"/>
  <c r="G10"/>
  <c r="AF10"/>
  <c r="AJ10"/>
  <c r="AN10"/>
  <c r="AS10"/>
  <c r="AW10"/>
  <c r="BA10"/>
  <c r="AI10"/>
  <c r="AQ10"/>
  <c r="AZ10"/>
  <c r="AH10"/>
  <c r="AP10"/>
  <c r="AY10"/>
  <c r="AG10"/>
  <c r="AK10"/>
  <c r="AO10"/>
  <c r="AT10"/>
  <c r="AX10"/>
  <c r="BB10"/>
  <c r="AM10"/>
  <c r="AV10"/>
  <c r="BD10"/>
  <c r="AL10"/>
  <c r="AU10"/>
  <c r="BC10"/>
  <c r="F6"/>
  <c r="AF6"/>
  <c r="AJ6"/>
  <c r="AN6"/>
  <c r="AS6"/>
  <c r="AW6"/>
  <c r="BA6"/>
  <c r="AM6"/>
  <c r="AV6"/>
  <c r="BD6"/>
  <c r="AH6"/>
  <c r="AP6"/>
  <c r="AY6"/>
  <c r="AG6"/>
  <c r="AK6"/>
  <c r="AO6"/>
  <c r="AT6"/>
  <c r="AX6"/>
  <c r="BB6"/>
  <c r="AI6"/>
  <c r="AQ6"/>
  <c r="AZ6"/>
  <c r="AL6"/>
  <c r="AU6"/>
  <c r="BC6"/>
  <c r="H7"/>
  <c r="AF7"/>
  <c r="AJ7"/>
  <c r="AN7"/>
  <c r="AS7"/>
  <c r="AW7"/>
  <c r="BA7"/>
  <c r="AM7"/>
  <c r="AV7"/>
  <c r="BD7"/>
  <c r="AH7"/>
  <c r="AL7"/>
  <c r="AU7"/>
  <c r="BC7"/>
  <c r="AG7"/>
  <c r="AK7"/>
  <c r="AO7"/>
  <c r="AT7"/>
  <c r="AX7"/>
  <c r="BB7"/>
  <c r="AI7"/>
  <c r="AQ7"/>
  <c r="AZ7"/>
  <c r="AP7"/>
  <c r="AY7"/>
  <c r="A3"/>
  <c r="A10"/>
  <c r="A8"/>
  <c r="A6"/>
  <c r="A7"/>
  <c r="F7"/>
  <c r="F10"/>
  <c r="G6"/>
  <c r="A5"/>
  <c r="H3"/>
  <c r="H10"/>
  <c r="G9"/>
  <c r="H6"/>
  <c r="H8"/>
  <c r="F4"/>
  <c r="H9"/>
  <c r="G7"/>
  <c r="F5"/>
  <c r="G4"/>
  <c r="A9"/>
  <c r="F8"/>
  <c r="G5"/>
  <c r="AD2" l="1"/>
  <c r="AC2"/>
  <c r="AB2"/>
  <c r="AA2"/>
  <c r="Z2"/>
  <c r="Y2"/>
  <c r="X2"/>
  <c r="W2"/>
  <c r="V2"/>
  <c r="U2"/>
  <c r="T2"/>
  <c r="S2"/>
  <c r="R2"/>
  <c r="Q2"/>
  <c r="P2"/>
  <c r="O2"/>
  <c r="N2"/>
  <c r="M2"/>
  <c r="L2"/>
  <c r="K2"/>
  <c r="CR9" i="13" l="1"/>
  <c r="CS9"/>
  <c r="CT9"/>
  <c r="CU9"/>
  <c r="CV9"/>
  <c r="B119" i="2" l="1"/>
  <c r="B120"/>
  <c r="B121"/>
  <c r="B122"/>
  <c r="B123"/>
  <c r="B124"/>
  <c r="B125"/>
  <c r="B118"/>
  <c r="A119"/>
  <c r="A120"/>
  <c r="A121"/>
  <c r="A122"/>
  <c r="A123"/>
  <c r="A124"/>
  <c r="A125"/>
  <c r="A118"/>
  <c r="D118"/>
  <c r="D119"/>
  <c r="D120"/>
  <c r="D121"/>
  <c r="D122"/>
  <c r="D123"/>
  <c r="D124"/>
  <c r="D125"/>
  <c r="D103"/>
  <c r="D104"/>
  <c r="D105"/>
  <c r="D106"/>
  <c r="D107"/>
  <c r="D108"/>
  <c r="D109"/>
  <c r="D110"/>
  <c r="D90"/>
  <c r="D91"/>
  <c r="D92"/>
  <c r="D93"/>
  <c r="D94"/>
  <c r="D95"/>
  <c r="D96"/>
  <c r="D97"/>
  <c r="A78"/>
  <c r="A79"/>
  <c r="A80"/>
  <c r="A81"/>
  <c r="A82"/>
  <c r="A83"/>
  <c r="A84"/>
  <c r="A77"/>
  <c r="A65"/>
  <c r="A66"/>
  <c r="A67"/>
  <c r="A68"/>
  <c r="A69"/>
  <c r="A70"/>
  <c r="A71"/>
  <c r="A64"/>
  <c r="CQ11" i="13" l="1"/>
  <c r="Y86" i="2" l="1"/>
  <c r="Y85"/>
  <c r="Y80"/>
  <c r="Z80" s="1"/>
  <c r="Y78"/>
  <c r="Z78" s="1"/>
  <c r="Y68"/>
  <c r="Z68" s="1"/>
  <c r="Y67"/>
  <c r="Z67" s="1"/>
  <c r="Y66"/>
  <c r="Z66" s="1"/>
  <c r="Y65"/>
  <c r="Z65" s="1"/>
  <c r="Y77" l="1"/>
  <c r="Z77" s="1"/>
  <c r="Z86" s="1"/>
  <c r="Y81"/>
  <c r="Z81" s="1"/>
  <c r="Y79"/>
  <c r="Z79" s="1"/>
  <c r="Y64"/>
  <c r="C8"/>
  <c r="E14"/>
  <c r="E15"/>
  <c r="E16"/>
  <c r="E17"/>
  <c r="E18"/>
  <c r="E19"/>
  <c r="E20"/>
  <c r="E21"/>
  <c r="E22"/>
  <c r="E23"/>
  <c r="E24"/>
  <c r="E25"/>
  <c r="E26"/>
  <c r="E27"/>
  <c r="E28"/>
  <c r="E29"/>
  <c r="E30"/>
  <c r="E13"/>
  <c r="B127" l="1"/>
  <c r="D89"/>
  <c r="D102"/>
  <c r="Y73"/>
  <c r="Z64"/>
  <c r="Z73" s="1"/>
  <c r="F10" l="1"/>
  <c r="C9"/>
  <c r="E11" s="1"/>
  <c r="E89" s="1"/>
  <c r="C11"/>
  <c r="D168" s="1"/>
  <c r="E168" l="1"/>
  <c r="E116"/>
  <c r="E131"/>
  <c r="E76"/>
  <c r="E35"/>
  <c r="E63"/>
  <c r="E169"/>
  <c r="E117"/>
  <c r="E132"/>
  <c r="D76"/>
  <c r="D63"/>
  <c r="F14"/>
  <c r="F18"/>
  <c r="F22"/>
  <c r="F26"/>
  <c r="F30"/>
  <c r="F16"/>
  <c r="F20"/>
  <c r="F24"/>
  <c r="F28"/>
  <c r="F17"/>
  <c r="F21"/>
  <c r="F25"/>
  <c r="F29"/>
  <c r="F15"/>
  <c r="F19"/>
  <c r="F23"/>
  <c r="F27"/>
  <c r="F13"/>
  <c r="E12"/>
  <c r="F11"/>
  <c r="F89" s="1"/>
  <c r="E32"/>
  <c r="G10"/>
  <c r="C69" i="1"/>
  <c r="A69" s="1"/>
  <c r="C70"/>
  <c r="B70" s="1"/>
  <c r="C71"/>
  <c r="B71" s="1"/>
  <c r="A39"/>
  <c r="A40"/>
  <c r="A41"/>
  <c r="A42"/>
  <c r="A43"/>
  <c r="A44"/>
  <c r="A45"/>
  <c r="A38"/>
  <c r="E40" i="2" l="1"/>
  <c r="E36"/>
  <c r="E38"/>
  <c r="E37"/>
  <c r="E39"/>
  <c r="E43"/>
  <c r="E42"/>
  <c r="E41"/>
  <c r="F131"/>
  <c r="F76"/>
  <c r="F168"/>
  <c r="F116"/>
  <c r="F35"/>
  <c r="F63"/>
  <c r="A71" i="1"/>
  <c r="F132" i="2"/>
  <c r="F169"/>
  <c r="F117"/>
  <c r="G15"/>
  <c r="G19"/>
  <c r="G23"/>
  <c r="G27"/>
  <c r="G21"/>
  <c r="G25"/>
  <c r="G14"/>
  <c r="G26"/>
  <c r="G16"/>
  <c r="G20"/>
  <c r="G24"/>
  <c r="G28"/>
  <c r="G13"/>
  <c r="G17"/>
  <c r="G29"/>
  <c r="G18"/>
  <c r="G22"/>
  <c r="G30"/>
  <c r="F12"/>
  <c r="G11"/>
  <c r="G89" s="1"/>
  <c r="H10"/>
  <c r="F32"/>
  <c r="B69" i="1"/>
  <c r="A70"/>
  <c r="E45" i="2" l="1"/>
  <c r="F37"/>
  <c r="F41"/>
  <c r="F39"/>
  <c r="F38"/>
  <c r="F42"/>
  <c r="F43"/>
  <c r="F36"/>
  <c r="F40"/>
  <c r="G76"/>
  <c r="G168"/>
  <c r="G116"/>
  <c r="G131"/>
  <c r="G35"/>
  <c r="G63"/>
  <c r="G132"/>
  <c r="G169"/>
  <c r="G117"/>
  <c r="H16"/>
  <c r="H20"/>
  <c r="H24"/>
  <c r="H28"/>
  <c r="H18"/>
  <c r="H13"/>
  <c r="H17"/>
  <c r="H21"/>
  <c r="H25"/>
  <c r="H29"/>
  <c r="H14"/>
  <c r="H22"/>
  <c r="H26"/>
  <c r="H30"/>
  <c r="H15"/>
  <c r="H19"/>
  <c r="H23"/>
  <c r="H27"/>
  <c r="G32"/>
  <c r="I10"/>
  <c r="H11"/>
  <c r="H89" s="1"/>
  <c r="G12"/>
  <c r="F45" l="1"/>
  <c r="F46" s="1"/>
  <c r="G38"/>
  <c r="G42"/>
  <c r="G41"/>
  <c r="G39"/>
  <c r="G43"/>
  <c r="G36"/>
  <c r="G40"/>
  <c r="G37"/>
  <c r="H168"/>
  <c r="H116"/>
  <c r="H131"/>
  <c r="H76"/>
  <c r="H35"/>
  <c r="H63"/>
  <c r="H169"/>
  <c r="H117"/>
  <c r="H132"/>
  <c r="I13"/>
  <c r="I17"/>
  <c r="I21"/>
  <c r="I25"/>
  <c r="I29"/>
  <c r="I15"/>
  <c r="I19"/>
  <c r="I23"/>
  <c r="I27"/>
  <c r="I16"/>
  <c r="I20"/>
  <c r="I24"/>
  <c r="I28"/>
  <c r="I14"/>
  <c r="I18"/>
  <c r="I22"/>
  <c r="I26"/>
  <c r="I30"/>
  <c r="I11"/>
  <c r="I89" s="1"/>
  <c r="H12"/>
  <c r="J10"/>
  <c r="H32"/>
  <c r="G45" l="1"/>
  <c r="G46" s="1"/>
  <c r="H39"/>
  <c r="H43"/>
  <c r="H41"/>
  <c r="H38"/>
  <c r="H36"/>
  <c r="H40"/>
  <c r="H37"/>
  <c r="H42"/>
  <c r="I116"/>
  <c r="I131"/>
  <c r="I76"/>
  <c r="I168"/>
  <c r="I35"/>
  <c r="I63"/>
  <c r="I169"/>
  <c r="I117"/>
  <c r="I132"/>
  <c r="J14"/>
  <c r="J18"/>
  <c r="J22"/>
  <c r="J26"/>
  <c r="J30"/>
  <c r="J13"/>
  <c r="J15"/>
  <c r="J19"/>
  <c r="J23"/>
  <c r="J27"/>
  <c r="J16"/>
  <c r="J20"/>
  <c r="J24"/>
  <c r="J28"/>
  <c r="J17"/>
  <c r="J21"/>
  <c r="J25"/>
  <c r="J29"/>
  <c r="K10"/>
  <c r="I12"/>
  <c r="J11"/>
  <c r="J89" s="1"/>
  <c r="I32"/>
  <c r="H45" l="1"/>
  <c r="H46" s="1"/>
  <c r="I36"/>
  <c r="I40"/>
  <c r="I38"/>
  <c r="I43"/>
  <c r="I37"/>
  <c r="I41"/>
  <c r="I42"/>
  <c r="I39"/>
  <c r="J131"/>
  <c r="J76"/>
  <c r="J168"/>
  <c r="J116"/>
  <c r="J35"/>
  <c r="J63"/>
  <c r="J132"/>
  <c r="J169"/>
  <c r="J117"/>
  <c r="K15"/>
  <c r="K19"/>
  <c r="K23"/>
  <c r="K27"/>
  <c r="K13"/>
  <c r="K17"/>
  <c r="K29"/>
  <c r="K18"/>
  <c r="K22"/>
  <c r="K30"/>
  <c r="K16"/>
  <c r="K20"/>
  <c r="K24"/>
  <c r="K28"/>
  <c r="K21"/>
  <c r="K25"/>
  <c r="K14"/>
  <c r="K26"/>
  <c r="J12"/>
  <c r="K11"/>
  <c r="K89" s="1"/>
  <c r="J32"/>
  <c r="L10"/>
  <c r="I45" l="1"/>
  <c r="I46" s="1"/>
  <c r="J37"/>
  <c r="J41"/>
  <c r="J43"/>
  <c r="J36"/>
  <c r="J40"/>
  <c r="J38"/>
  <c r="J42"/>
  <c r="J39"/>
  <c r="K131"/>
  <c r="K168"/>
  <c r="K116"/>
  <c r="K76"/>
  <c r="K35"/>
  <c r="K63"/>
  <c r="K132"/>
  <c r="K169"/>
  <c r="K117"/>
  <c r="L16"/>
  <c r="L20"/>
  <c r="L24"/>
  <c r="L28"/>
  <c r="L14"/>
  <c r="L15"/>
  <c r="L19"/>
  <c r="L23"/>
  <c r="L27"/>
  <c r="L13"/>
  <c r="L17"/>
  <c r="L21"/>
  <c r="L25"/>
  <c r="L29"/>
  <c r="L18"/>
  <c r="L22"/>
  <c r="L26"/>
  <c r="L30"/>
  <c r="M10"/>
  <c r="L11"/>
  <c r="L89" s="1"/>
  <c r="K12"/>
  <c r="K32"/>
  <c r="J45" l="1"/>
  <c r="J46" s="1"/>
  <c r="K38"/>
  <c r="K42"/>
  <c r="K40"/>
  <c r="K37"/>
  <c r="K39"/>
  <c r="K43"/>
  <c r="K36"/>
  <c r="K41"/>
  <c r="L168"/>
  <c r="L116"/>
  <c r="L131"/>
  <c r="L76"/>
  <c r="L35"/>
  <c r="L63"/>
  <c r="L169"/>
  <c r="L117"/>
  <c r="L132"/>
  <c r="M13"/>
  <c r="M17"/>
  <c r="M21"/>
  <c r="M25"/>
  <c r="M29"/>
  <c r="M23"/>
  <c r="M14"/>
  <c r="M18"/>
  <c r="M22"/>
  <c r="M26"/>
  <c r="M30"/>
  <c r="M15"/>
  <c r="M19"/>
  <c r="M27"/>
  <c r="M16"/>
  <c r="M20"/>
  <c r="M24"/>
  <c r="M28"/>
  <c r="M11"/>
  <c r="M89" s="1"/>
  <c r="L12"/>
  <c r="L32"/>
  <c r="N10"/>
  <c r="K45" l="1"/>
  <c r="K46" s="1"/>
  <c r="L39"/>
  <c r="L43"/>
  <c r="L37"/>
  <c r="L42"/>
  <c r="L36"/>
  <c r="L40"/>
  <c r="L41"/>
  <c r="L38"/>
  <c r="M76"/>
  <c r="M168"/>
  <c r="M131"/>
  <c r="M116"/>
  <c r="M35"/>
  <c r="M63"/>
  <c r="M169"/>
  <c r="M117"/>
  <c r="M132"/>
  <c r="N14"/>
  <c r="N18"/>
  <c r="N22"/>
  <c r="N26"/>
  <c r="N30"/>
  <c r="N16"/>
  <c r="N20"/>
  <c r="N24"/>
  <c r="N13"/>
  <c r="N17"/>
  <c r="N21"/>
  <c r="N25"/>
  <c r="N29"/>
  <c r="N15"/>
  <c r="N19"/>
  <c r="N23"/>
  <c r="N27"/>
  <c r="N28"/>
  <c r="M32"/>
  <c r="O10"/>
  <c r="M12"/>
  <c r="N11"/>
  <c r="N89" s="1"/>
  <c r="L45" l="1"/>
  <c r="L46" s="1"/>
  <c r="M36"/>
  <c r="M40"/>
  <c r="M42"/>
  <c r="M39"/>
  <c r="M37"/>
  <c r="M41"/>
  <c r="M38"/>
  <c r="M43"/>
  <c r="N131"/>
  <c r="N76"/>
  <c r="N168"/>
  <c r="N116"/>
  <c r="N35"/>
  <c r="N63"/>
  <c r="N132"/>
  <c r="N169"/>
  <c r="N117"/>
  <c r="O15"/>
  <c r="O19"/>
  <c r="O23"/>
  <c r="O27"/>
  <c r="O21"/>
  <c r="O25"/>
  <c r="O29"/>
  <c r="O14"/>
  <c r="O22"/>
  <c r="O26"/>
  <c r="O16"/>
  <c r="O20"/>
  <c r="O24"/>
  <c r="O28"/>
  <c r="O13"/>
  <c r="O17"/>
  <c r="O18"/>
  <c r="O30"/>
  <c r="P10"/>
  <c r="N32"/>
  <c r="N12"/>
  <c r="O11"/>
  <c r="O89" s="1"/>
  <c r="M45" l="1"/>
  <c r="M46" s="1"/>
  <c r="N37"/>
  <c r="N41"/>
  <c r="N39"/>
  <c r="N38"/>
  <c r="N42"/>
  <c r="N43"/>
  <c r="N36"/>
  <c r="N40"/>
  <c r="O168"/>
  <c r="O116"/>
  <c r="O131"/>
  <c r="O76"/>
  <c r="O35"/>
  <c r="O63"/>
  <c r="O132"/>
  <c r="O169"/>
  <c r="O117"/>
  <c r="P16"/>
  <c r="P20"/>
  <c r="P24"/>
  <c r="P28"/>
  <c r="P18"/>
  <c r="P22"/>
  <c r="P30"/>
  <c r="P13"/>
  <c r="P17"/>
  <c r="P21"/>
  <c r="P25"/>
  <c r="P29"/>
  <c r="P14"/>
  <c r="P26"/>
  <c r="P15"/>
  <c r="P19"/>
  <c r="P23"/>
  <c r="P27"/>
  <c r="O12"/>
  <c r="P11"/>
  <c r="P89" s="1"/>
  <c r="O32"/>
  <c r="Q10"/>
  <c r="N45" l="1"/>
  <c r="N46" s="1"/>
  <c r="O38"/>
  <c r="O42"/>
  <c r="O41"/>
  <c r="O39"/>
  <c r="O43"/>
  <c r="O36"/>
  <c r="O40"/>
  <c r="O37"/>
  <c r="P168"/>
  <c r="P116"/>
  <c r="P131"/>
  <c r="P76"/>
  <c r="P35"/>
  <c r="P63"/>
  <c r="P169"/>
  <c r="P117"/>
  <c r="P132"/>
  <c r="P32"/>
  <c r="Q13"/>
  <c r="Q17"/>
  <c r="Q21"/>
  <c r="Q25"/>
  <c r="Q29"/>
  <c r="Q15"/>
  <c r="Q19"/>
  <c r="Q16"/>
  <c r="Q20"/>
  <c r="Q24"/>
  <c r="Q28"/>
  <c r="Q14"/>
  <c r="Q18"/>
  <c r="Q22"/>
  <c r="Q26"/>
  <c r="Q30"/>
  <c r="Q23"/>
  <c r="Q27"/>
  <c r="R10"/>
  <c r="Q11"/>
  <c r="Q89" s="1"/>
  <c r="P12"/>
  <c r="O45" l="1"/>
  <c r="O46" s="1"/>
  <c r="P39"/>
  <c r="P43"/>
  <c r="P41"/>
  <c r="P38"/>
  <c r="P36"/>
  <c r="P40"/>
  <c r="P37"/>
  <c r="P42"/>
  <c r="Q116"/>
  <c r="Q131"/>
  <c r="Q76"/>
  <c r="Q168"/>
  <c r="Q35"/>
  <c r="Q63"/>
  <c r="Q169"/>
  <c r="Q117"/>
  <c r="Q132"/>
  <c r="R14"/>
  <c r="R18"/>
  <c r="R22"/>
  <c r="R26"/>
  <c r="R30"/>
  <c r="R28"/>
  <c r="R13"/>
  <c r="R15"/>
  <c r="R19"/>
  <c r="R23"/>
  <c r="R27"/>
  <c r="R16"/>
  <c r="R20"/>
  <c r="R24"/>
  <c r="R17"/>
  <c r="R21"/>
  <c r="R25"/>
  <c r="R29"/>
  <c r="Q12"/>
  <c r="R11"/>
  <c r="R89" s="1"/>
  <c r="S10"/>
  <c r="Q32"/>
  <c r="P45" l="1"/>
  <c r="P46" s="1"/>
  <c r="Q36"/>
  <c r="Q40"/>
  <c r="Q38"/>
  <c r="Q43"/>
  <c r="Q37"/>
  <c r="Q41"/>
  <c r="Q42"/>
  <c r="Q39"/>
  <c r="R131"/>
  <c r="R76"/>
  <c r="R168"/>
  <c r="R116"/>
  <c r="R35"/>
  <c r="R63"/>
  <c r="R132"/>
  <c r="R169"/>
  <c r="R117"/>
  <c r="S15"/>
  <c r="S19"/>
  <c r="S23"/>
  <c r="S27"/>
  <c r="S17"/>
  <c r="S18"/>
  <c r="S30"/>
  <c r="S16"/>
  <c r="S20"/>
  <c r="S24"/>
  <c r="S28"/>
  <c r="S13"/>
  <c r="S21"/>
  <c r="S25"/>
  <c r="S29"/>
  <c r="S14"/>
  <c r="S22"/>
  <c r="S26"/>
  <c r="T10"/>
  <c r="R12"/>
  <c r="S11"/>
  <c r="S89" s="1"/>
  <c r="R32"/>
  <c r="Q45" l="1"/>
  <c r="Q46" s="1"/>
  <c r="R37"/>
  <c r="R41"/>
  <c r="R43"/>
  <c r="R40"/>
  <c r="R38"/>
  <c r="R42"/>
  <c r="R39"/>
  <c r="R36"/>
  <c r="S116"/>
  <c r="S131"/>
  <c r="S76"/>
  <c r="S168"/>
  <c r="S35"/>
  <c r="S63"/>
  <c r="S132"/>
  <c r="S169"/>
  <c r="S117"/>
  <c r="T16"/>
  <c r="T20"/>
  <c r="T24"/>
  <c r="T28"/>
  <c r="T14"/>
  <c r="T18"/>
  <c r="T26"/>
  <c r="T30"/>
  <c r="T15"/>
  <c r="T19"/>
  <c r="T23"/>
  <c r="T27"/>
  <c r="T13"/>
  <c r="T17"/>
  <c r="T21"/>
  <c r="T25"/>
  <c r="T29"/>
  <c r="T22"/>
  <c r="U10"/>
  <c r="T11"/>
  <c r="T89" s="1"/>
  <c r="S12"/>
  <c r="S32"/>
  <c r="R45" l="1"/>
  <c r="R46" s="1"/>
  <c r="S38"/>
  <c r="S42"/>
  <c r="S40"/>
  <c r="S37"/>
  <c r="S39"/>
  <c r="S43"/>
  <c r="S36"/>
  <c r="S41"/>
  <c r="T168"/>
  <c r="T116"/>
  <c r="T76"/>
  <c r="T131"/>
  <c r="T35"/>
  <c r="T63"/>
  <c r="T169"/>
  <c r="T117"/>
  <c r="T132"/>
  <c r="U13"/>
  <c r="U17"/>
  <c r="U21"/>
  <c r="U25"/>
  <c r="U29"/>
  <c r="U27"/>
  <c r="U14"/>
  <c r="U18"/>
  <c r="U22"/>
  <c r="U26"/>
  <c r="U30"/>
  <c r="U15"/>
  <c r="U19"/>
  <c r="U23"/>
  <c r="U16"/>
  <c r="U20"/>
  <c r="U24"/>
  <c r="U28"/>
  <c r="U11"/>
  <c r="U89" s="1"/>
  <c r="T12"/>
  <c r="V10"/>
  <c r="T32"/>
  <c r="S45" l="1"/>
  <c r="S46" s="1"/>
  <c r="T39"/>
  <c r="T43"/>
  <c r="T37"/>
  <c r="T42"/>
  <c r="T36"/>
  <c r="T40"/>
  <c r="T41"/>
  <c r="T38"/>
  <c r="U76"/>
  <c r="U168"/>
  <c r="U131"/>
  <c r="U116"/>
  <c r="U35"/>
  <c r="U63"/>
  <c r="U169"/>
  <c r="U117"/>
  <c r="U132"/>
  <c r="V14"/>
  <c r="V18"/>
  <c r="V22"/>
  <c r="V26"/>
  <c r="V30"/>
  <c r="V16"/>
  <c r="V20"/>
  <c r="V24"/>
  <c r="V28"/>
  <c r="V13"/>
  <c r="V17"/>
  <c r="V21"/>
  <c r="V25"/>
  <c r="V29"/>
  <c r="V15"/>
  <c r="V19"/>
  <c r="V23"/>
  <c r="V27"/>
  <c r="W10"/>
  <c r="U12"/>
  <c r="V11"/>
  <c r="U32"/>
  <c r="T45" l="1"/>
  <c r="T46" s="1"/>
  <c r="V76"/>
  <c r="V89"/>
  <c r="U36"/>
  <c r="U40"/>
  <c r="U42"/>
  <c r="U39"/>
  <c r="U37"/>
  <c r="U41"/>
  <c r="U38"/>
  <c r="U43"/>
  <c r="V131"/>
  <c r="V168"/>
  <c r="V116"/>
  <c r="V35"/>
  <c r="V63"/>
  <c r="V132"/>
  <c r="V169"/>
  <c r="V117"/>
  <c r="W15"/>
  <c r="W19"/>
  <c r="W23"/>
  <c r="W27"/>
  <c r="W13"/>
  <c r="W21"/>
  <c r="W25"/>
  <c r="W29"/>
  <c r="W14"/>
  <c r="W22"/>
  <c r="W26"/>
  <c r="W16"/>
  <c r="W20"/>
  <c r="W24"/>
  <c r="W28"/>
  <c r="W17"/>
  <c r="W18"/>
  <c r="W30"/>
  <c r="X10"/>
  <c r="V12"/>
  <c r="W11"/>
  <c r="V32"/>
  <c r="W168" l="1"/>
  <c r="W116"/>
  <c r="W131"/>
  <c r="W76"/>
  <c r="W89"/>
  <c r="U45"/>
  <c r="U46" s="1"/>
  <c r="V37"/>
  <c r="V41"/>
  <c r="V39"/>
  <c r="V36"/>
  <c r="V38"/>
  <c r="V42"/>
  <c r="V43"/>
  <c r="V40"/>
  <c r="W35"/>
  <c r="W63"/>
  <c r="W132"/>
  <c r="W169"/>
  <c r="W117"/>
  <c r="X16"/>
  <c r="X20"/>
  <c r="X24"/>
  <c r="X28"/>
  <c r="X22"/>
  <c r="X13"/>
  <c r="X17"/>
  <c r="X21"/>
  <c r="X25"/>
  <c r="X29"/>
  <c r="X14"/>
  <c r="X18"/>
  <c r="X26"/>
  <c r="X30"/>
  <c r="X15"/>
  <c r="X19"/>
  <c r="X23"/>
  <c r="X27"/>
  <c r="W32"/>
  <c r="X11"/>
  <c r="W12"/>
  <c r="V45" l="1"/>
  <c r="V46" s="1"/>
  <c r="X168"/>
  <c r="X116"/>
  <c r="X131"/>
  <c r="X76"/>
  <c r="X89"/>
  <c r="W38"/>
  <c r="W42"/>
  <c r="W41"/>
  <c r="W39"/>
  <c r="W43"/>
  <c r="W36"/>
  <c r="W40"/>
  <c r="W37"/>
  <c r="X35"/>
  <c r="X63"/>
  <c r="X12"/>
  <c r="X169"/>
  <c r="X117"/>
  <c r="X132"/>
  <c r="X32"/>
  <c r="W45" l="1"/>
  <c r="W46" s="1"/>
  <c r="X39"/>
  <c r="X43"/>
  <c r="X41"/>
  <c r="X38"/>
  <c r="X36"/>
  <c r="X40"/>
  <c r="X37"/>
  <c r="X42"/>
  <c r="B2" i="23"/>
  <c r="I31" i="21"/>
  <c r="G31" i="23" s="1"/>
  <c r="I30" i="21"/>
  <c r="G30" i="23" s="1"/>
  <c r="I29" i="21"/>
  <c r="G29" i="23" s="1"/>
  <c r="I28" i="21"/>
  <c r="G28" i="23" s="1"/>
  <c r="I27" i="21"/>
  <c r="G27" i="23" s="1"/>
  <c r="I26" i="21"/>
  <c r="G26" i="23" s="1"/>
  <c r="I25" i="21"/>
  <c r="G25" i="23" s="1"/>
  <c r="I24" i="21"/>
  <c r="G24" i="23" s="1"/>
  <c r="I23" i="21"/>
  <c r="G23" i="23" s="1"/>
  <c r="I22" i="21"/>
  <c r="G22" i="23" s="1"/>
  <c r="I21" i="21"/>
  <c r="G21" i="23" s="1"/>
  <c r="I20" i="21"/>
  <c r="G20" i="23" s="1"/>
  <c r="I19" i="21"/>
  <c r="G19" i="23" s="1"/>
  <c r="I18" i="21"/>
  <c r="G18" i="23" s="1"/>
  <c r="I17" i="21"/>
  <c r="G17" i="23" s="1"/>
  <c r="I16" i="21"/>
  <c r="G16" i="23" s="1"/>
  <c r="I15" i="21"/>
  <c r="G15" i="23" s="1"/>
  <c r="I14" i="21"/>
  <c r="G14" i="23" s="1"/>
  <c r="I13" i="21"/>
  <c r="G13" i="23" s="1"/>
  <c r="I12" i="21"/>
  <c r="G12" i="23" s="1"/>
  <c r="I11" i="21"/>
  <c r="G11" i="23" s="1"/>
  <c r="I10" i="21"/>
  <c r="G10" i="23" s="1"/>
  <c r="I9" i="21"/>
  <c r="G9" i="23" s="1"/>
  <c r="I8" i="21"/>
  <c r="G8" i="23" s="1"/>
  <c r="D2" i="21"/>
  <c r="X45" i="2" l="1"/>
  <c r="X46" s="1"/>
  <c r="Z46" s="1"/>
  <c r="CK9" i="13"/>
  <c r="CL9"/>
  <c r="CM9"/>
  <c r="CN9"/>
  <c r="CO9"/>
  <c r="CP9"/>
  <c r="CQ9"/>
  <c r="CW11"/>
  <c r="N36" i="19"/>
  <c r="N40"/>
  <c r="N41"/>
  <c r="N42"/>
  <c r="N43"/>
  <c r="N44"/>
  <c r="N45"/>
  <c r="N46"/>
  <c r="N39"/>
  <c r="M46"/>
  <c r="M45"/>
  <c r="M44"/>
  <c r="M43"/>
  <c r="M42"/>
  <c r="M41"/>
  <c r="M40"/>
  <c r="M39"/>
  <c r="N18"/>
  <c r="M18"/>
  <c r="N17"/>
  <c r="M17"/>
  <c r="N16"/>
  <c r="M16"/>
  <c r="N15"/>
  <c r="M15"/>
  <c r="N14"/>
  <c r="M14"/>
  <c r="N13"/>
  <c r="M13"/>
  <c r="N12"/>
  <c r="M12"/>
  <c r="N11"/>
  <c r="M11"/>
  <c r="CH9" i="13" l="1"/>
  <c r="CI9"/>
  <c r="CJ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AM9"/>
  <c r="X86" i="19"/>
  <c r="Y84"/>
  <c r="Z84"/>
  <c r="AA84"/>
  <c r="AB84"/>
  <c r="AC84"/>
  <c r="AD84"/>
  <c r="Y86"/>
  <c r="Z86"/>
  <c r="AA86"/>
  <c r="AB86"/>
  <c r="AC86"/>
  <c r="AD86"/>
  <c r="Y87"/>
  <c r="Z87"/>
  <c r="AA87"/>
  <c r="AB87"/>
  <c r="AC87"/>
  <c r="AD87"/>
  <c r="Y88"/>
  <c r="Z88"/>
  <c r="AA88"/>
  <c r="AB88"/>
  <c r="AC88"/>
  <c r="AD88"/>
  <c r="Y89"/>
  <c r="Z89"/>
  <c r="AE89" s="1"/>
  <c r="AA89"/>
  <c r="AB89"/>
  <c r="AC89"/>
  <c r="AD89"/>
  <c r="Y90"/>
  <c r="Z90"/>
  <c r="AA90"/>
  <c r="AB90"/>
  <c r="AC90"/>
  <c r="AD90"/>
  <c r="Y91"/>
  <c r="Z91"/>
  <c r="AA91"/>
  <c r="AB91"/>
  <c r="AC91"/>
  <c r="AD91"/>
  <c r="Y92"/>
  <c r="Z92"/>
  <c r="AA92"/>
  <c r="AB92"/>
  <c r="AC92"/>
  <c r="AD92"/>
  <c r="Y93"/>
  <c r="Z93"/>
  <c r="AE93" s="1"/>
  <c r="AA93"/>
  <c r="AB93"/>
  <c r="AC93"/>
  <c r="AD93"/>
  <c r="Y94"/>
  <c r="Z94"/>
  <c r="AA94"/>
  <c r="AB94"/>
  <c r="AC94"/>
  <c r="AD94"/>
  <c r="Y95"/>
  <c r="Z95"/>
  <c r="AA95"/>
  <c r="AB95"/>
  <c r="AC95"/>
  <c r="AD95"/>
  <c r="X87"/>
  <c r="X88"/>
  <c r="X89"/>
  <c r="X90"/>
  <c r="X91"/>
  <c r="X92"/>
  <c r="X93"/>
  <c r="X94"/>
  <c r="X95"/>
  <c r="X84"/>
  <c r="P96"/>
  <c r="U84" s="1"/>
  <c r="P95"/>
  <c r="U95" s="1"/>
  <c r="P94"/>
  <c r="P93"/>
  <c r="U94" s="1"/>
  <c r="P92"/>
  <c r="U93" s="1"/>
  <c r="P91"/>
  <c r="U87" s="1"/>
  <c r="P90"/>
  <c r="U92" s="1"/>
  <c r="P89"/>
  <c r="U91" s="1"/>
  <c r="P88"/>
  <c r="U90" s="1"/>
  <c r="P87"/>
  <c r="U89" s="1"/>
  <c r="P86"/>
  <c r="P85"/>
  <c r="U88" s="1"/>
  <c r="P84"/>
  <c r="U86" s="1"/>
  <c r="E32"/>
  <c r="F32"/>
  <c r="G32"/>
  <c r="H32"/>
  <c r="I32"/>
  <c r="J32"/>
  <c r="K32"/>
  <c r="D32"/>
  <c r="E25"/>
  <c r="F25"/>
  <c r="G25"/>
  <c r="H25"/>
  <c r="I25"/>
  <c r="J25"/>
  <c r="K25"/>
  <c r="E26"/>
  <c r="F26"/>
  <c r="G26"/>
  <c r="H26"/>
  <c r="I26"/>
  <c r="J26"/>
  <c r="K26"/>
  <c r="E27"/>
  <c r="F27"/>
  <c r="G27"/>
  <c r="H27"/>
  <c r="I27"/>
  <c r="J27"/>
  <c r="K27"/>
  <c r="E28"/>
  <c r="F28"/>
  <c r="G28"/>
  <c r="H28"/>
  <c r="I28"/>
  <c r="J28"/>
  <c r="K28"/>
  <c r="E29"/>
  <c r="F29"/>
  <c r="G29"/>
  <c r="H29"/>
  <c r="I29"/>
  <c r="J29"/>
  <c r="K29"/>
  <c r="E30"/>
  <c r="F30"/>
  <c r="G30"/>
  <c r="H30"/>
  <c r="I30"/>
  <c r="J30"/>
  <c r="K30"/>
  <c r="E31"/>
  <c r="F31"/>
  <c r="G31"/>
  <c r="H31"/>
  <c r="I31"/>
  <c r="J31"/>
  <c r="K31"/>
  <c r="D26"/>
  <c r="D27"/>
  <c r="D28"/>
  <c r="D29"/>
  <c r="D30"/>
  <c r="D31"/>
  <c r="D25"/>
  <c r="H58"/>
  <c r="I58"/>
  <c r="J58"/>
  <c r="K58"/>
  <c r="L58"/>
  <c r="M58"/>
  <c r="N58"/>
  <c r="O58"/>
  <c r="P58"/>
  <c r="Q58"/>
  <c r="R58"/>
  <c r="S58"/>
  <c r="T58"/>
  <c r="U58"/>
  <c r="V58"/>
  <c r="W58"/>
  <c r="X58"/>
  <c r="G58"/>
  <c r="Z52"/>
  <c r="AE94" l="1"/>
  <c r="AE90"/>
  <c r="AE86"/>
  <c r="AE84"/>
  <c r="AE92"/>
  <c r="AE88"/>
  <c r="AE95"/>
  <c r="AE91"/>
  <c r="AE87"/>
  <c r="E58"/>
  <c r="D44" s="1"/>
  <c r="K44" l="1"/>
  <c r="H42"/>
  <c r="H39"/>
  <c r="J41"/>
  <c r="G46"/>
  <c r="J42"/>
  <c r="F39"/>
  <c r="F43"/>
  <c r="I39"/>
  <c r="K41"/>
  <c r="F44"/>
  <c r="H46"/>
  <c r="F41"/>
  <c r="E44"/>
  <c r="D39"/>
  <c r="K39"/>
  <c r="F42"/>
  <c r="H44"/>
  <c r="D45"/>
  <c r="H41"/>
  <c r="G44"/>
  <c r="G42"/>
  <c r="D40"/>
  <c r="J40"/>
  <c r="E43"/>
  <c r="G45"/>
  <c r="E40"/>
  <c r="K42"/>
  <c r="F45"/>
  <c r="K46"/>
  <c r="E41"/>
  <c r="G43"/>
  <c r="I45"/>
  <c r="G40"/>
  <c r="I42"/>
  <c r="E46"/>
  <c r="I46"/>
  <c r="F46"/>
  <c r="D42"/>
  <c r="D43"/>
  <c r="J46"/>
  <c r="D46"/>
  <c r="F40"/>
  <c r="J44"/>
  <c r="I44"/>
  <c r="H40"/>
  <c r="E45"/>
  <c r="E42"/>
  <c r="H45"/>
  <c r="J39"/>
  <c r="E39"/>
  <c r="G41"/>
  <c r="I43"/>
  <c r="K45"/>
  <c r="I40"/>
  <c r="H43"/>
  <c r="J45"/>
  <c r="G39"/>
  <c r="I41"/>
  <c r="K43"/>
  <c r="D41"/>
  <c r="K40"/>
  <c r="J43"/>
  <c r="CG33" i="13" l="1"/>
  <c r="CQ33" s="1"/>
  <c r="CG30"/>
  <c r="CQ30" s="1"/>
  <c r="CG36"/>
  <c r="CQ36" s="1"/>
  <c r="CG23"/>
  <c r="CQ23" s="1"/>
  <c r="CG27"/>
  <c r="CQ27" s="1"/>
  <c r="CG25"/>
  <c r="CQ25" s="1"/>
  <c r="CG22"/>
  <c r="CQ22" s="1"/>
  <c r="CG26"/>
  <c r="CQ26" s="1"/>
  <c r="CG24"/>
  <c r="CQ24" s="1"/>
  <c r="CG35"/>
  <c r="CQ35" s="1"/>
  <c r="CG29"/>
  <c r="CQ29" s="1"/>
  <c r="CG32"/>
  <c r="CQ32" s="1"/>
  <c r="CG31"/>
  <c r="CQ31" s="1"/>
  <c r="CG34"/>
  <c r="CQ34" s="1"/>
  <c r="CG28"/>
  <c r="CQ28" s="1"/>
  <c r="CG15"/>
  <c r="CQ15" s="1"/>
  <c r="CG19"/>
  <c r="CQ19" s="1"/>
  <c r="CG21"/>
  <c r="CQ21" s="1"/>
  <c r="CG16"/>
  <c r="CQ16" s="1"/>
  <c r="CG14"/>
  <c r="CQ14" s="1"/>
  <c r="CG18"/>
  <c r="CQ18" s="1"/>
  <c r="CG17"/>
  <c r="CQ17" s="1"/>
  <c r="CG13"/>
  <c r="CQ13" s="1"/>
  <c r="CG20"/>
  <c r="CQ20" s="1"/>
  <c r="E13" i="1"/>
  <c r="E14"/>
  <c r="E15"/>
  <c r="E16"/>
  <c r="E17"/>
  <c r="E18"/>
  <c r="E19"/>
  <c r="E20"/>
  <c r="E21"/>
  <c r="E22"/>
  <c r="E23"/>
  <c r="E24"/>
  <c r="E25"/>
  <c r="E26"/>
  <c r="E27"/>
  <c r="E28"/>
  <c r="E29"/>
  <c r="E30"/>
  <c r="E32" l="1"/>
  <c r="E33" l="1"/>
  <c r="C8"/>
  <c r="D149" l="1"/>
  <c r="D150" s="1"/>
  <c r="C68"/>
  <c r="C67"/>
  <c r="C66"/>
  <c r="C65"/>
  <c r="C64"/>
  <c r="C49"/>
  <c r="C37"/>
  <c r="C11"/>
  <c r="F10"/>
  <c r="C9"/>
  <c r="C115" s="1"/>
  <c r="A65" l="1"/>
  <c r="B65"/>
  <c r="A64"/>
  <c r="B64"/>
  <c r="B68"/>
  <c r="A68"/>
  <c r="B67"/>
  <c r="A67"/>
  <c r="B66"/>
  <c r="A66"/>
  <c r="E11"/>
  <c r="E12" s="1"/>
  <c r="F14"/>
  <c r="F18"/>
  <c r="F22"/>
  <c r="F26"/>
  <c r="F30"/>
  <c r="F17"/>
  <c r="F21"/>
  <c r="F15"/>
  <c r="F19"/>
  <c r="F23"/>
  <c r="F27"/>
  <c r="F16"/>
  <c r="F20"/>
  <c r="F24"/>
  <c r="F28"/>
  <c r="F13"/>
  <c r="F25"/>
  <c r="F29"/>
  <c r="G10"/>
  <c r="F11"/>
  <c r="D48" l="1"/>
  <c r="E77"/>
  <c r="E114" s="1"/>
  <c r="E63"/>
  <c r="E49"/>
  <c r="E156"/>
  <c r="E36"/>
  <c r="E62"/>
  <c r="G15"/>
  <c r="G19"/>
  <c r="G23"/>
  <c r="G27"/>
  <c r="G29"/>
  <c r="G22"/>
  <c r="G26"/>
  <c r="G30"/>
  <c r="G16"/>
  <c r="G20"/>
  <c r="G24"/>
  <c r="G28"/>
  <c r="G13"/>
  <c r="G17"/>
  <c r="G21"/>
  <c r="G25"/>
  <c r="G14"/>
  <c r="G18"/>
  <c r="F12"/>
  <c r="B73"/>
  <c r="F32"/>
  <c r="F156"/>
  <c r="F63"/>
  <c r="F62"/>
  <c r="G11"/>
  <c r="F49"/>
  <c r="F36"/>
  <c r="F77"/>
  <c r="F114" s="1"/>
  <c r="H10"/>
  <c r="E78" l="1"/>
  <c r="E115" s="1"/>
  <c r="H16"/>
  <c r="H20"/>
  <c r="H24"/>
  <c r="H28"/>
  <c r="H19"/>
  <c r="H23"/>
  <c r="H27"/>
  <c r="H13"/>
  <c r="H17"/>
  <c r="H21"/>
  <c r="H25"/>
  <c r="H29"/>
  <c r="H14"/>
  <c r="H18"/>
  <c r="H22"/>
  <c r="H26"/>
  <c r="H30"/>
  <c r="H15"/>
  <c r="F33"/>
  <c r="G12"/>
  <c r="G32"/>
  <c r="F78"/>
  <c r="F115" s="1"/>
  <c r="I10"/>
  <c r="G156"/>
  <c r="G77"/>
  <c r="G114" s="1"/>
  <c r="G36"/>
  <c r="G63"/>
  <c r="G62"/>
  <c r="H11"/>
  <c r="G49"/>
  <c r="I13" l="1"/>
  <c r="I17"/>
  <c r="I21"/>
  <c r="I25"/>
  <c r="I29"/>
  <c r="I16"/>
  <c r="I28"/>
  <c r="I14"/>
  <c r="I18"/>
  <c r="I22"/>
  <c r="I26"/>
  <c r="I30"/>
  <c r="I15"/>
  <c r="I19"/>
  <c r="I23"/>
  <c r="I27"/>
  <c r="I20"/>
  <c r="I24"/>
  <c r="H12"/>
  <c r="G33"/>
  <c r="H32"/>
  <c r="H156"/>
  <c r="H77"/>
  <c r="H114" s="1"/>
  <c r="H36"/>
  <c r="H62"/>
  <c r="H63"/>
  <c r="I11"/>
  <c r="H49"/>
  <c r="J10"/>
  <c r="G78"/>
  <c r="G115" s="1"/>
  <c r="J14" l="1"/>
  <c r="J18"/>
  <c r="J22"/>
  <c r="J26"/>
  <c r="J30"/>
  <c r="J25"/>
  <c r="J29"/>
  <c r="J15"/>
  <c r="J19"/>
  <c r="J23"/>
  <c r="J27"/>
  <c r="J16"/>
  <c r="J20"/>
  <c r="J24"/>
  <c r="J28"/>
  <c r="J13"/>
  <c r="J17"/>
  <c r="J21"/>
  <c r="I12"/>
  <c r="H33"/>
  <c r="I32"/>
  <c r="K10"/>
  <c r="H78"/>
  <c r="H115" s="1"/>
  <c r="I156"/>
  <c r="I63"/>
  <c r="I62"/>
  <c r="J11"/>
  <c r="I77"/>
  <c r="I114" s="1"/>
  <c r="I49"/>
  <c r="I36"/>
  <c r="K15" l="1"/>
  <c r="K19"/>
  <c r="K23"/>
  <c r="K27"/>
  <c r="K18"/>
  <c r="K26"/>
  <c r="K30"/>
  <c r="K16"/>
  <c r="K20"/>
  <c r="K24"/>
  <c r="K28"/>
  <c r="K13"/>
  <c r="K17"/>
  <c r="K21"/>
  <c r="K25"/>
  <c r="K29"/>
  <c r="K14"/>
  <c r="K22"/>
  <c r="J12"/>
  <c r="I33"/>
  <c r="J32"/>
  <c r="J156"/>
  <c r="J49"/>
  <c r="J63"/>
  <c r="J62"/>
  <c r="K11"/>
  <c r="J36"/>
  <c r="J77"/>
  <c r="J114" s="1"/>
  <c r="I78"/>
  <c r="I115" s="1"/>
  <c r="L10"/>
  <c r="L16" l="1"/>
  <c r="L20"/>
  <c r="L24"/>
  <c r="L28"/>
  <c r="L30"/>
  <c r="L19"/>
  <c r="L27"/>
  <c r="L13"/>
  <c r="L17"/>
  <c r="L21"/>
  <c r="L25"/>
  <c r="L29"/>
  <c r="L14"/>
  <c r="L18"/>
  <c r="L22"/>
  <c r="L26"/>
  <c r="L15"/>
  <c r="L23"/>
  <c r="J33"/>
  <c r="K12"/>
  <c r="K32"/>
  <c r="M10"/>
  <c r="K77"/>
  <c r="K114" s="1"/>
  <c r="K36"/>
  <c r="K156"/>
  <c r="K63"/>
  <c r="K62"/>
  <c r="L11"/>
  <c r="K49"/>
  <c r="J78"/>
  <c r="J115" s="1"/>
  <c r="M13" l="1"/>
  <c r="M17"/>
  <c r="M21"/>
  <c r="M25"/>
  <c r="M29"/>
  <c r="M24"/>
  <c r="M14"/>
  <c r="M18"/>
  <c r="M22"/>
  <c r="M26"/>
  <c r="M30"/>
  <c r="M15"/>
  <c r="M19"/>
  <c r="M23"/>
  <c r="M27"/>
  <c r="M16"/>
  <c r="M20"/>
  <c r="M28"/>
  <c r="K33"/>
  <c r="L12"/>
  <c r="L32"/>
  <c r="N10"/>
  <c r="K78"/>
  <c r="K115" s="1"/>
  <c r="L156"/>
  <c r="L77"/>
  <c r="L114" s="1"/>
  <c r="L36"/>
  <c r="L62"/>
  <c r="L63"/>
  <c r="M11"/>
  <c r="L49"/>
  <c r="N14" l="1"/>
  <c r="N18"/>
  <c r="N22"/>
  <c r="N26"/>
  <c r="N30"/>
  <c r="N17"/>
  <c r="N15"/>
  <c r="N19"/>
  <c r="N23"/>
  <c r="N27"/>
  <c r="N16"/>
  <c r="N20"/>
  <c r="N24"/>
  <c r="N28"/>
  <c r="N13"/>
  <c r="N21"/>
  <c r="N25"/>
  <c r="N29"/>
  <c r="L33"/>
  <c r="M12"/>
  <c r="M32"/>
  <c r="O10"/>
  <c r="M156"/>
  <c r="M63"/>
  <c r="M62"/>
  <c r="N11"/>
  <c r="M49"/>
  <c r="M77"/>
  <c r="M114" s="1"/>
  <c r="M36"/>
  <c r="L78"/>
  <c r="L115" s="1"/>
  <c r="M33" l="1"/>
  <c r="O15"/>
  <c r="O19"/>
  <c r="O23"/>
  <c r="O27"/>
  <c r="O29"/>
  <c r="O16"/>
  <c r="O20"/>
  <c r="O24"/>
  <c r="O28"/>
  <c r="O13"/>
  <c r="O17"/>
  <c r="O21"/>
  <c r="O25"/>
  <c r="O14"/>
  <c r="O18"/>
  <c r="O22"/>
  <c r="O26"/>
  <c r="O30"/>
  <c r="N12"/>
  <c r="N32"/>
  <c r="M78"/>
  <c r="M115" s="1"/>
  <c r="P10"/>
  <c r="N156"/>
  <c r="N63"/>
  <c r="N62"/>
  <c r="O11"/>
  <c r="N49"/>
  <c r="N77"/>
  <c r="N114" s="1"/>
  <c r="N36"/>
  <c r="N33" l="1"/>
  <c r="P16"/>
  <c r="P20"/>
  <c r="P24"/>
  <c r="P28"/>
  <c r="P23"/>
  <c r="P13"/>
  <c r="P17"/>
  <c r="P21"/>
  <c r="P25"/>
  <c r="P29"/>
  <c r="P14"/>
  <c r="P18"/>
  <c r="P22"/>
  <c r="P26"/>
  <c r="P30"/>
  <c r="P15"/>
  <c r="P19"/>
  <c r="P27"/>
  <c r="O12"/>
  <c r="O32"/>
  <c r="O156"/>
  <c r="O77"/>
  <c r="O114" s="1"/>
  <c r="O36"/>
  <c r="O62"/>
  <c r="O63"/>
  <c r="P11"/>
  <c r="O49"/>
  <c r="N78"/>
  <c r="N115" s="1"/>
  <c r="Q10"/>
  <c r="O33" l="1"/>
  <c r="Q13"/>
  <c r="Q17"/>
  <c r="Q21"/>
  <c r="Q25"/>
  <c r="Q29"/>
  <c r="Q16"/>
  <c r="Q20"/>
  <c r="Q28"/>
  <c r="Q14"/>
  <c r="Q18"/>
  <c r="Q22"/>
  <c r="Q26"/>
  <c r="Q30"/>
  <c r="Q15"/>
  <c r="Q19"/>
  <c r="Q23"/>
  <c r="Q27"/>
  <c r="Q24"/>
  <c r="P12"/>
  <c r="P32"/>
  <c r="O78"/>
  <c r="O115" s="1"/>
  <c r="P156"/>
  <c r="P77"/>
  <c r="P114" s="1"/>
  <c r="P36"/>
  <c r="Q11"/>
  <c r="P62"/>
  <c r="P63"/>
  <c r="P49"/>
  <c r="R10"/>
  <c r="P33" l="1"/>
  <c r="R14"/>
  <c r="R18"/>
  <c r="R22"/>
  <c r="R26"/>
  <c r="R30"/>
  <c r="R21"/>
  <c r="R25"/>
  <c r="R29"/>
  <c r="R15"/>
  <c r="R19"/>
  <c r="R23"/>
  <c r="R27"/>
  <c r="R16"/>
  <c r="R20"/>
  <c r="R24"/>
  <c r="R28"/>
  <c r="R13"/>
  <c r="R17"/>
  <c r="Q12"/>
  <c r="Q32"/>
  <c r="Q156"/>
  <c r="Q63"/>
  <c r="Q62"/>
  <c r="R11"/>
  <c r="Q77"/>
  <c r="Q114" s="1"/>
  <c r="Q49"/>
  <c r="Q36"/>
  <c r="P78"/>
  <c r="P115" s="1"/>
  <c r="S10"/>
  <c r="Q33" l="1"/>
  <c r="S15"/>
  <c r="S19"/>
  <c r="S23"/>
  <c r="S27"/>
  <c r="S18"/>
  <c r="S22"/>
  <c r="S26"/>
  <c r="S30"/>
  <c r="S16"/>
  <c r="S20"/>
  <c r="S24"/>
  <c r="S28"/>
  <c r="S13"/>
  <c r="S17"/>
  <c r="S21"/>
  <c r="S25"/>
  <c r="S29"/>
  <c r="S14"/>
  <c r="R12"/>
  <c r="R32"/>
  <c r="R156"/>
  <c r="R49"/>
  <c r="R63"/>
  <c r="R62"/>
  <c r="S11"/>
  <c r="R77"/>
  <c r="R114" s="1"/>
  <c r="R36"/>
  <c r="T10"/>
  <c r="Q78"/>
  <c r="Q115" s="1"/>
  <c r="R33" l="1"/>
  <c r="T16"/>
  <c r="T20"/>
  <c r="T24"/>
  <c r="T28"/>
  <c r="T30"/>
  <c r="T15"/>
  <c r="T19"/>
  <c r="T27"/>
  <c r="T13"/>
  <c r="T17"/>
  <c r="T21"/>
  <c r="T25"/>
  <c r="T29"/>
  <c r="T14"/>
  <c r="T18"/>
  <c r="T22"/>
  <c r="T26"/>
  <c r="T23"/>
  <c r="S12"/>
  <c r="S32"/>
  <c r="S156"/>
  <c r="S77"/>
  <c r="S114" s="1"/>
  <c r="S36"/>
  <c r="S63"/>
  <c r="S62"/>
  <c r="T11"/>
  <c r="S49"/>
  <c r="R78"/>
  <c r="R115" s="1"/>
  <c r="U10"/>
  <c r="S33" l="1"/>
  <c r="U13"/>
  <c r="U17"/>
  <c r="U21"/>
  <c r="U25"/>
  <c r="U29"/>
  <c r="U24"/>
  <c r="U14"/>
  <c r="U18"/>
  <c r="U22"/>
  <c r="U26"/>
  <c r="U30"/>
  <c r="U15"/>
  <c r="U19"/>
  <c r="U23"/>
  <c r="U27"/>
  <c r="U16"/>
  <c r="U20"/>
  <c r="U28"/>
  <c r="T12"/>
  <c r="T32"/>
  <c r="S78"/>
  <c r="S115" s="1"/>
  <c r="V10"/>
  <c r="T156"/>
  <c r="T77"/>
  <c r="T114" s="1"/>
  <c r="T36"/>
  <c r="T63"/>
  <c r="U11"/>
  <c r="T62"/>
  <c r="T49"/>
  <c r="T33" l="1"/>
  <c r="V14"/>
  <c r="V18"/>
  <c r="V22"/>
  <c r="V26"/>
  <c r="V30"/>
  <c r="V17"/>
  <c r="V15"/>
  <c r="V19"/>
  <c r="V23"/>
  <c r="V27"/>
  <c r="V16"/>
  <c r="V20"/>
  <c r="V24"/>
  <c r="V28"/>
  <c r="V13"/>
  <c r="V21"/>
  <c r="V25"/>
  <c r="V29"/>
  <c r="U12"/>
  <c r="U32"/>
  <c r="T78"/>
  <c r="T115" s="1"/>
  <c r="U156"/>
  <c r="U63"/>
  <c r="U62"/>
  <c r="V11"/>
  <c r="U49"/>
  <c r="U77"/>
  <c r="U114" s="1"/>
  <c r="U36"/>
  <c r="W10"/>
  <c r="U33" l="1"/>
  <c r="W15"/>
  <c r="W19"/>
  <c r="W23"/>
  <c r="W27"/>
  <c r="W29"/>
  <c r="W14"/>
  <c r="W30"/>
  <c r="W16"/>
  <c r="W20"/>
  <c r="W24"/>
  <c r="W28"/>
  <c r="W13"/>
  <c r="W17"/>
  <c r="W21"/>
  <c r="W25"/>
  <c r="W18"/>
  <c r="W22"/>
  <c r="W26"/>
  <c r="V12"/>
  <c r="V32"/>
  <c r="U78"/>
  <c r="U115" s="1"/>
  <c r="V156"/>
  <c r="V63"/>
  <c r="V62"/>
  <c r="W11"/>
  <c r="V49"/>
  <c r="V77"/>
  <c r="V114" s="1"/>
  <c r="V36"/>
  <c r="X10"/>
  <c r="V33" l="1"/>
  <c r="W32"/>
  <c r="X16"/>
  <c r="Y16" s="1"/>
  <c r="X20"/>
  <c r="Y20" s="1"/>
  <c r="X24"/>
  <c r="Y24" s="1"/>
  <c r="X28"/>
  <c r="Y28" s="1"/>
  <c r="X19"/>
  <c r="Y19" s="1"/>
  <c r="X23"/>
  <c r="Y23" s="1"/>
  <c r="X13"/>
  <c r="Y13" s="1"/>
  <c r="X17"/>
  <c r="Y17" s="1"/>
  <c r="X21"/>
  <c r="Y21" s="1"/>
  <c r="X25"/>
  <c r="Y25" s="1"/>
  <c r="X29"/>
  <c r="Y29" s="1"/>
  <c r="X14"/>
  <c r="Y14" s="1"/>
  <c r="X18"/>
  <c r="Y18" s="1"/>
  <c r="X22"/>
  <c r="Y22" s="1"/>
  <c r="X26"/>
  <c r="Y26" s="1"/>
  <c r="X30"/>
  <c r="Y30" s="1"/>
  <c r="X15"/>
  <c r="Y15" s="1"/>
  <c r="X27"/>
  <c r="Y27" s="1"/>
  <c r="W12"/>
  <c r="V78"/>
  <c r="V115" s="1"/>
  <c r="W156"/>
  <c r="W77"/>
  <c r="W114" s="1"/>
  <c r="W36"/>
  <c r="W63"/>
  <c r="W62"/>
  <c r="X11"/>
  <c r="W49"/>
  <c r="W33" l="1"/>
  <c r="X32"/>
  <c r="X12"/>
  <c r="X156"/>
  <c r="X77"/>
  <c r="X114" s="1"/>
  <c r="X36"/>
  <c r="X62"/>
  <c r="X63"/>
  <c r="X49"/>
  <c r="W78"/>
  <c r="W115" s="1"/>
  <c r="Y32" l="1"/>
  <c r="Z32" s="1"/>
  <c r="X33"/>
  <c r="X78"/>
  <c r="X115" s="1"/>
  <c r="I19" i="11" l="1"/>
  <c r="I20"/>
  <c r="I28"/>
  <c r="I29"/>
  <c r="I27"/>
  <c r="I11"/>
  <c r="I12"/>
  <c r="I10"/>
  <c r="CC12" i="13"/>
  <c r="CD12"/>
  <c r="CD13"/>
  <c r="CD14"/>
  <c r="CD15"/>
  <c r="CD16"/>
  <c r="CD17"/>
  <c r="CD18"/>
  <c r="CD19"/>
  <c r="CD20"/>
  <c r="CD21"/>
  <c r="CD22"/>
  <c r="CD23"/>
  <c r="CD24"/>
  <c r="CD25"/>
  <c r="CD26"/>
  <c r="CD27"/>
  <c r="CD28"/>
  <c r="CD29"/>
  <c r="CD30"/>
  <c r="CD31"/>
  <c r="CD32"/>
  <c r="CD33"/>
  <c r="CD34"/>
  <c r="CD35"/>
  <c r="CD36"/>
  <c r="CB12"/>
  <c r="G31" i="17" l="1"/>
  <c r="G30"/>
  <c r="G29"/>
  <c r="G28"/>
  <c r="G27"/>
  <c r="G26"/>
  <c r="G25"/>
  <c r="G24"/>
  <c r="G23"/>
  <c r="G22"/>
  <c r="G21"/>
  <c r="G20"/>
  <c r="G19"/>
  <c r="G18"/>
  <c r="G17"/>
  <c r="G16"/>
  <c r="G15"/>
  <c r="G14"/>
  <c r="G13"/>
  <c r="G12"/>
  <c r="G11"/>
  <c r="G10"/>
  <c r="G9"/>
  <c r="G8"/>
  <c r="B2"/>
  <c r="I28" i="14"/>
  <c r="N4"/>
  <c r="N5"/>
  <c r="N6"/>
  <c r="N7"/>
  <c r="N8"/>
  <c r="N3"/>
  <c r="I25"/>
  <c r="I26"/>
  <c r="I27"/>
  <c r="I24"/>
  <c r="M25"/>
  <c r="M26"/>
  <c r="M27"/>
  <c r="M28"/>
  <c r="M24"/>
  <c r="L25"/>
  <c r="L26"/>
  <c r="L27"/>
  <c r="L28"/>
  <c r="L24"/>
  <c r="K25"/>
  <c r="K26"/>
  <c r="K27"/>
  <c r="K28"/>
  <c r="K24"/>
  <c r="M8" l="1"/>
  <c r="L8"/>
  <c r="M7"/>
  <c r="L7"/>
  <c r="M6"/>
  <c r="L6"/>
  <c r="F1120"/>
  <c r="F1119"/>
  <c r="F1118"/>
  <c r="F1181"/>
  <c r="F1180"/>
  <c r="F1179"/>
  <c r="F1194"/>
  <c r="F1193"/>
  <c r="F1192"/>
  <c r="G23" i="6" l="1"/>
  <c r="G24"/>
  <c r="G25"/>
  <c r="G26"/>
  <c r="G27"/>
  <c r="G28"/>
  <c r="G29"/>
  <c r="G30"/>
  <c r="G31"/>
  <c r="BP28" i="13"/>
  <c r="BP29"/>
  <c r="BP30"/>
  <c r="BO29"/>
  <c r="BO30"/>
  <c r="BO31"/>
  <c r="BO32"/>
  <c r="BO33"/>
  <c r="BO34"/>
  <c r="BP34" s="1"/>
  <c r="BO35"/>
  <c r="BP35" s="1"/>
  <c r="BO36"/>
  <c r="BP36" s="1"/>
  <c r="BO28"/>
  <c r="BN29"/>
  <c r="BS29" s="1"/>
  <c r="BN30"/>
  <c r="BS30" s="1"/>
  <c r="BN31"/>
  <c r="BS31" s="1"/>
  <c r="BN32"/>
  <c r="BS32" s="1"/>
  <c r="BN33"/>
  <c r="BS33" s="1"/>
  <c r="BN34"/>
  <c r="BS34" s="1"/>
  <c r="BN35"/>
  <c r="BS35" s="1"/>
  <c r="BN36"/>
  <c r="BS36" s="1"/>
  <c r="BN28"/>
  <c r="BS28" s="1"/>
  <c r="BW28"/>
  <c r="BW29"/>
  <c r="BW30"/>
  <c r="BW31"/>
  <c r="BW32"/>
  <c r="BW33"/>
  <c r="BW34"/>
  <c r="BW35"/>
  <c r="BW36"/>
  <c r="AS36"/>
  <c r="AS35"/>
  <c r="AS33"/>
  <c r="AS32"/>
  <c r="AS30"/>
  <c r="AS29"/>
  <c r="N63"/>
  <c r="N58"/>
  <c r="U65"/>
  <c r="AN36"/>
  <c r="AN34"/>
  <c r="AN35"/>
  <c r="AO30"/>
  <c r="AO33" s="1"/>
  <c r="AM33" s="1"/>
  <c r="A28" i="21" s="1"/>
  <c r="AO29" i="13"/>
  <c r="AO32" s="1"/>
  <c r="AM32" s="1"/>
  <c r="A27" i="21" s="1"/>
  <c r="AO28" i="13"/>
  <c r="AO31" s="1"/>
  <c r="AM31" s="1"/>
  <c r="A26" i="21" s="1"/>
  <c r="AN29" i="13"/>
  <c r="AN30"/>
  <c r="AN31"/>
  <c r="AN32"/>
  <c r="AN33"/>
  <c r="AR29" l="1"/>
  <c r="AW29" s="1"/>
  <c r="AZ29" s="1"/>
  <c r="CB29"/>
  <c r="Q29" i="17"/>
  <c r="Q29" i="23"/>
  <c r="S29" i="21"/>
  <c r="Q25" i="17"/>
  <c r="Q25" i="23"/>
  <c r="S25" i="21"/>
  <c r="Q30" i="17"/>
  <c r="Q30" i="23"/>
  <c r="S30" i="21"/>
  <c r="Q26" i="17"/>
  <c r="Q26" i="23"/>
  <c r="S26" i="21"/>
  <c r="Q31" i="17"/>
  <c r="Q31" i="23"/>
  <c r="S31" i="21"/>
  <c r="Q27" i="17"/>
  <c r="Q27" i="23"/>
  <c r="S27" i="21"/>
  <c r="Q23" i="17"/>
  <c r="Q23" i="23"/>
  <c r="S23" i="21"/>
  <c r="Q28" i="17"/>
  <c r="S28" i="21"/>
  <c r="Q28" i="23"/>
  <c r="Q24" i="17"/>
  <c r="Q24" i="23"/>
  <c r="S24" i="21"/>
  <c r="AR28" i="13"/>
  <c r="N65"/>
  <c r="AQ29"/>
  <c r="A24" i="6" s="1"/>
  <c r="AR30" i="13"/>
  <c r="BH30" s="1"/>
  <c r="BJ30" s="1"/>
  <c r="BU30" s="1"/>
  <c r="AM28"/>
  <c r="A23" i="21" s="1"/>
  <c r="CC28" i="13"/>
  <c r="CB30"/>
  <c r="AM30"/>
  <c r="A25" i="21" s="1"/>
  <c r="CC30" i="13"/>
  <c r="AM29"/>
  <c r="A24" i="21" s="1"/>
  <c r="CC29" i="13"/>
  <c r="AQ30"/>
  <c r="A25" i="6" s="1"/>
  <c r="AO35" i="13"/>
  <c r="AM35" s="1"/>
  <c r="A30" i="21" s="1"/>
  <c r="CC32" i="13"/>
  <c r="CB32"/>
  <c r="AO36"/>
  <c r="AM36" s="1"/>
  <c r="A31" i="21" s="1"/>
  <c r="CB33" i="13"/>
  <c r="CC33"/>
  <c r="AQ31"/>
  <c r="CC31"/>
  <c r="CB31"/>
  <c r="AO34"/>
  <c r="AM34" s="1"/>
  <c r="A29" i="21" s="1"/>
  <c r="Q31" i="6"/>
  <c r="Q23"/>
  <c r="AR31" i="13"/>
  <c r="Q24" i="6"/>
  <c r="AR32" i="13"/>
  <c r="Q27" i="6"/>
  <c r="Q28"/>
  <c r="AQ32" i="13"/>
  <c r="C27" i="21" s="1"/>
  <c r="A27" i="23" s="1"/>
  <c r="AR33" i="13"/>
  <c r="Q29" i="6"/>
  <c r="Q25"/>
  <c r="AQ33" i="13"/>
  <c r="C28" i="21" s="1"/>
  <c r="A28" i="23" s="1"/>
  <c r="Q30" i="6"/>
  <c r="Q26"/>
  <c r="AN28" i="13"/>
  <c r="M5" i="14"/>
  <c r="L5"/>
  <c r="F982"/>
  <c r="F981"/>
  <c r="F980"/>
  <c r="M4"/>
  <c r="F907"/>
  <c r="M3"/>
  <c r="F709"/>
  <c r="F708"/>
  <c r="L4"/>
  <c r="F906"/>
  <c r="F905"/>
  <c r="L3"/>
  <c r="F707"/>
  <c r="G17" i="6"/>
  <c r="G18"/>
  <c r="G19"/>
  <c r="G20"/>
  <c r="G21"/>
  <c r="G22"/>
  <c r="BW22" i="13"/>
  <c r="BW23"/>
  <c r="BW24"/>
  <c r="BW25"/>
  <c r="BW26"/>
  <c r="BW27"/>
  <c r="BP22"/>
  <c r="BP23"/>
  <c r="Z62"/>
  <c r="Z57"/>
  <c r="BH28" s="1"/>
  <c r="BJ28" s="1"/>
  <c r="BU28" s="1"/>
  <c r="Z48"/>
  <c r="Z43"/>
  <c r="Z35"/>
  <c r="Z30"/>
  <c r="N42"/>
  <c r="N30"/>
  <c r="AO23"/>
  <c r="AO25" s="1"/>
  <c r="AM25" s="1"/>
  <c r="A20" i="21" s="1"/>
  <c r="AO22" i="13"/>
  <c r="AM22" s="1"/>
  <c r="A17" i="21" s="1"/>
  <c r="AN23" i="13"/>
  <c r="AN24"/>
  <c r="AN25"/>
  <c r="AN26"/>
  <c r="AN27"/>
  <c r="AN22"/>
  <c r="BW14"/>
  <c r="BW15"/>
  <c r="BW16"/>
  <c r="BW17"/>
  <c r="BW18"/>
  <c r="BW19"/>
  <c r="BW20"/>
  <c r="BW21"/>
  <c r="BW13"/>
  <c r="G9" i="6"/>
  <c r="G10"/>
  <c r="G11"/>
  <c r="G12"/>
  <c r="G13"/>
  <c r="G14"/>
  <c r="G15"/>
  <c r="G16"/>
  <c r="G8"/>
  <c r="AT29" i="13" l="1"/>
  <c r="D24" i="21" s="1"/>
  <c r="B24" i="23" s="1"/>
  <c r="BH29" i="13"/>
  <c r="BJ29" s="1"/>
  <c r="BU29" s="1"/>
  <c r="J24" i="6" s="1"/>
  <c r="AW30" i="13"/>
  <c r="AZ30" s="1"/>
  <c r="AQ36"/>
  <c r="C31" i="21" s="1"/>
  <c r="A31" i="23" s="1"/>
  <c r="CH33" i="13"/>
  <c r="CI33" s="1"/>
  <c r="CH32"/>
  <c r="CI32" s="1"/>
  <c r="CH28"/>
  <c r="CI28" s="1"/>
  <c r="CH29"/>
  <c r="CI29" s="1"/>
  <c r="CH31"/>
  <c r="CI31" s="1"/>
  <c r="CH30"/>
  <c r="CI30" s="1"/>
  <c r="AT30"/>
  <c r="D25" i="21" s="1"/>
  <c r="B25" i="23" s="1"/>
  <c r="Q14" i="17"/>
  <c r="Q14" i="23"/>
  <c r="S14" i="21"/>
  <c r="Q16" i="17"/>
  <c r="S16" i="21"/>
  <c r="Q16" i="23"/>
  <c r="Q12" i="17"/>
  <c r="Q12" i="23"/>
  <c r="S12" i="21"/>
  <c r="Q20" i="17"/>
  <c r="S20" i="21"/>
  <c r="Q20" i="23"/>
  <c r="Q8" i="17"/>
  <c r="Q8" i="23"/>
  <c r="S8" i="21"/>
  <c r="Q13" i="17"/>
  <c r="S13" i="21"/>
  <c r="Q13" i="23"/>
  <c r="Q9" i="17"/>
  <c r="Q9" i="23"/>
  <c r="S9" i="21"/>
  <c r="Q21" i="17"/>
  <c r="S21" i="21"/>
  <c r="Q21" i="23"/>
  <c r="Q17" i="17"/>
  <c r="S17" i="21"/>
  <c r="Q17" i="23"/>
  <c r="L24" i="21"/>
  <c r="J24" i="23" s="1"/>
  <c r="A26" i="17"/>
  <c r="C26" i="21"/>
  <c r="A26" i="23" s="1"/>
  <c r="A24" i="17"/>
  <c r="C24" i="21"/>
  <c r="A24" i="23" s="1"/>
  <c r="J23" i="6"/>
  <c r="L23" i="21"/>
  <c r="J23" i="23" s="1"/>
  <c r="Q22" i="17"/>
  <c r="S22" i="21"/>
  <c r="Q22" i="23"/>
  <c r="Q18" i="17"/>
  <c r="S18" i="21"/>
  <c r="Q18" i="23"/>
  <c r="A25" i="17"/>
  <c r="C25" i="21"/>
  <c r="A25" i="23" s="1"/>
  <c r="J25" i="6"/>
  <c r="L25" i="21"/>
  <c r="J25" i="23" s="1"/>
  <c r="Q10" i="17"/>
  <c r="Q10" i="23"/>
  <c r="S10" i="21"/>
  <c r="Q15" i="17"/>
  <c r="Q15" i="23"/>
  <c r="S15" i="21"/>
  <c r="Q11" i="17"/>
  <c r="Q11" i="23"/>
  <c r="S11" i="21"/>
  <c r="Q19" i="17"/>
  <c r="Q19" i="23"/>
  <c r="S19" i="21"/>
  <c r="A26" i="6"/>
  <c r="CB23" i="13"/>
  <c r="AR23"/>
  <c r="BH23" s="1"/>
  <c r="BJ23" s="1"/>
  <c r="BU23" s="1"/>
  <c r="AM23"/>
  <c r="A18" i="21" s="1"/>
  <c r="CC23" i="13"/>
  <c r="CB28"/>
  <c r="AQ28"/>
  <c r="C23" i="21" s="1"/>
  <c r="A23" i="23" s="1"/>
  <c r="CB25" i="13"/>
  <c r="AQ35"/>
  <c r="A30" i="6" s="1"/>
  <c r="AR35" i="13"/>
  <c r="CC35"/>
  <c r="CB35"/>
  <c r="AR22"/>
  <c r="BH22" s="1"/>
  <c r="BJ22" s="1"/>
  <c r="BU22" s="1"/>
  <c r="CC22"/>
  <c r="AR34"/>
  <c r="BH34" s="1"/>
  <c r="BJ34" s="1"/>
  <c r="BU34" s="1"/>
  <c r="CB34"/>
  <c r="CC34"/>
  <c r="AR25"/>
  <c r="BH25" s="1"/>
  <c r="BJ25" s="1"/>
  <c r="CC25"/>
  <c r="AR36"/>
  <c r="CC36"/>
  <c r="CB36"/>
  <c r="CB22"/>
  <c r="AQ22"/>
  <c r="AO24"/>
  <c r="BH31"/>
  <c r="BJ31" s="1"/>
  <c r="AQ25"/>
  <c r="AW32"/>
  <c r="AZ32" s="1"/>
  <c r="AQ34"/>
  <c r="BH32"/>
  <c r="BJ32" s="1"/>
  <c r="BU32" s="1"/>
  <c r="AT32"/>
  <c r="D27" i="21" s="1"/>
  <c r="B27" i="23" s="1"/>
  <c r="AO27" i="13"/>
  <c r="A28" i="17"/>
  <c r="A28" i="6"/>
  <c r="AT33" i="13"/>
  <c r="D28" i="21" s="1"/>
  <c r="B28" i="23" s="1"/>
  <c r="AW33" i="13"/>
  <c r="AZ33" s="1"/>
  <c r="BH33"/>
  <c r="BJ33" s="1"/>
  <c r="BU33" s="1"/>
  <c r="Q11" i="6"/>
  <c r="Q9"/>
  <c r="Q20"/>
  <c r="B24" i="17"/>
  <c r="Q15" i="6"/>
  <c r="Q22"/>
  <c r="Q18"/>
  <c r="Q16"/>
  <c r="Q12"/>
  <c r="Q13"/>
  <c r="Q8"/>
  <c r="Q14"/>
  <c r="Q10"/>
  <c r="Q21"/>
  <c r="Q17"/>
  <c r="A27" i="17"/>
  <c r="A27" i="6"/>
  <c r="Q19"/>
  <c r="AQ23" i="13"/>
  <c r="C18" i="21" s="1"/>
  <c r="A18" i="23" s="1"/>
  <c r="A31" i="17" l="1"/>
  <c r="B24" i="6"/>
  <c r="A31"/>
  <c r="B25"/>
  <c r="CH25" i="13"/>
  <c r="CI25" s="1"/>
  <c r="CH35"/>
  <c r="CI35" s="1"/>
  <c r="CH36"/>
  <c r="CI36" s="1"/>
  <c r="CH34"/>
  <c r="CI34" s="1"/>
  <c r="CH23"/>
  <c r="CI23" s="1"/>
  <c r="CH22"/>
  <c r="CI22" s="1"/>
  <c r="B25" i="17"/>
  <c r="BU31" i="13"/>
  <c r="J26" i="6" s="1"/>
  <c r="CT31" i="13"/>
  <c r="CT32" s="1"/>
  <c r="BU25"/>
  <c r="L20" i="21" s="1"/>
  <c r="J20" i="23" s="1"/>
  <c r="CT25" i="13"/>
  <c r="A29" i="17"/>
  <c r="C29" i="21"/>
  <c r="A29" i="23" s="1"/>
  <c r="J28" i="6"/>
  <c r="L28" i="21"/>
  <c r="J28" i="23" s="1"/>
  <c r="J18" i="6"/>
  <c r="L18" i="21"/>
  <c r="J18" i="23" s="1"/>
  <c r="J27" i="6"/>
  <c r="L27" i="21"/>
  <c r="J27" i="23" s="1"/>
  <c r="A20" i="17"/>
  <c r="C20" i="21"/>
  <c r="A20" i="23" s="1"/>
  <c r="A17" i="17"/>
  <c r="C17" i="21"/>
  <c r="A17" i="23" s="1"/>
  <c r="J17" i="6"/>
  <c r="L17" i="21"/>
  <c r="J17" i="23" s="1"/>
  <c r="A30" i="17"/>
  <c r="C30" i="21"/>
  <c r="A30" i="23" s="1"/>
  <c r="J29" i="6"/>
  <c r="L29" i="21"/>
  <c r="J29" i="23" s="1"/>
  <c r="A20" i="6"/>
  <c r="A29"/>
  <c r="A17"/>
  <c r="CB24" i="13"/>
  <c r="AM24"/>
  <c r="A19" i="21" s="1"/>
  <c r="CB27" i="13"/>
  <c r="AM27"/>
  <c r="A22" i="21" s="1"/>
  <c r="A23" i="17"/>
  <c r="A23" i="6"/>
  <c r="AR24" i="13"/>
  <c r="BH24" s="1"/>
  <c r="BJ24" s="1"/>
  <c r="BH36"/>
  <c r="BJ36" s="1"/>
  <c r="BU36" s="1"/>
  <c r="AW36"/>
  <c r="AZ36" s="1"/>
  <c r="AT36"/>
  <c r="D31" i="21" s="1"/>
  <c r="B31" i="23" s="1"/>
  <c r="AT35" i="13"/>
  <c r="D30" i="21" s="1"/>
  <c r="B30" i="23" s="1"/>
  <c r="BH35" i="13"/>
  <c r="BJ35" s="1"/>
  <c r="BU35" s="1"/>
  <c r="AW35"/>
  <c r="AZ35" s="1"/>
  <c r="AO26"/>
  <c r="AM26" s="1"/>
  <c r="A21" i="21" s="1"/>
  <c r="CC24" i="13"/>
  <c r="AR27"/>
  <c r="CC27"/>
  <c r="AQ24"/>
  <c r="AQ27"/>
  <c r="B27" i="17"/>
  <c r="B27" i="6"/>
  <c r="A18"/>
  <c r="A18" i="17"/>
  <c r="B28"/>
  <c r="B28" i="6"/>
  <c r="K4" i="14"/>
  <c r="K5"/>
  <c r="K6"/>
  <c r="K7"/>
  <c r="K8"/>
  <c r="K3"/>
  <c r="J20" i="6" l="1"/>
  <c r="L26" i="21"/>
  <c r="J26" i="23" s="1"/>
  <c r="CH24" i="13"/>
  <c r="CI24" s="1"/>
  <c r="CH27"/>
  <c r="CI27" s="1"/>
  <c r="BU24"/>
  <c r="L19" i="21" s="1"/>
  <c r="J19" i="23" s="1"/>
  <c r="CT24" i="13"/>
  <c r="J30" i="6"/>
  <c r="L30" i="21"/>
  <c r="J30" i="23" s="1"/>
  <c r="J31" i="6"/>
  <c r="L31" i="21"/>
  <c r="J31" i="23" s="1"/>
  <c r="A19" i="17"/>
  <c r="C19" i="21"/>
  <c r="A19" i="23" s="1"/>
  <c r="A22" i="17"/>
  <c r="C22" i="21"/>
  <c r="A22" i="23" s="1"/>
  <c r="A22" i="6"/>
  <c r="AQ26" i="13"/>
  <c r="C21" i="21" s="1"/>
  <c r="A21" i="23" s="1"/>
  <c r="CC26" i="13"/>
  <c r="CB26"/>
  <c r="AR26"/>
  <c r="BH26" s="1"/>
  <c r="BJ26" s="1"/>
  <c r="BU26" s="1"/>
  <c r="B30" i="6"/>
  <c r="B30" i="17"/>
  <c r="BH27" i="13"/>
  <c r="BJ27" s="1"/>
  <c r="BU27" s="1"/>
  <c r="B31" i="6"/>
  <c r="B31" i="17"/>
  <c r="A19" i="6"/>
  <c r="BP14" i="13"/>
  <c r="BP15"/>
  <c r="BP13"/>
  <c r="BN5"/>
  <c r="BO21" s="1"/>
  <c r="BP21" s="1"/>
  <c r="AN16"/>
  <c r="AN17"/>
  <c r="AN18"/>
  <c r="AN19"/>
  <c r="AN20"/>
  <c r="AN21"/>
  <c r="CH26" l="1"/>
  <c r="CI26" s="1"/>
  <c r="J19" i="6"/>
  <c r="J21"/>
  <c r="L21" i="21"/>
  <c r="J21" i="23" s="1"/>
  <c r="J22" i="6"/>
  <c r="L22" i="21"/>
  <c r="J22" i="23" s="1"/>
  <c r="BO15" i="13"/>
  <c r="BN14"/>
  <c r="BS14" s="1"/>
  <c r="BN13"/>
  <c r="BS13" s="1"/>
  <c r="BN16"/>
  <c r="BS16" s="1"/>
  <c r="BN18"/>
  <c r="BS18" s="1"/>
  <c r="BO19"/>
  <c r="BP19" s="1"/>
  <c r="BN20"/>
  <c r="BS20" s="1"/>
  <c r="BO16"/>
  <c r="BP16" s="1"/>
  <c r="BO24"/>
  <c r="BN22"/>
  <c r="BS22" s="1"/>
  <c r="BN26"/>
  <c r="BS26" s="1"/>
  <c r="BO23"/>
  <c r="BO27"/>
  <c r="BP27" s="1"/>
  <c r="BN25"/>
  <c r="BS25" s="1"/>
  <c r="BO22"/>
  <c r="BN24"/>
  <c r="BS24" s="1"/>
  <c r="BO26"/>
  <c r="BP26" s="1"/>
  <c r="BO25"/>
  <c r="BP25" s="1"/>
  <c r="BN23"/>
  <c r="BS23" s="1"/>
  <c r="BN27"/>
  <c r="BS27" s="1"/>
  <c r="BO17"/>
  <c r="A21" i="17"/>
  <c r="A21" i="6"/>
  <c r="BN21" i="13"/>
  <c r="BS21" s="1"/>
  <c r="BN17"/>
  <c r="BS17" s="1"/>
  <c r="BO13"/>
  <c r="BO18"/>
  <c r="BO14"/>
  <c r="BN19"/>
  <c r="BS19" s="1"/>
  <c r="BN15"/>
  <c r="BS15" s="1"/>
  <c r="BO20"/>
  <c r="BP20" s="1"/>
  <c r="AS14"/>
  <c r="AS15"/>
  <c r="AS13"/>
  <c r="AO14"/>
  <c r="AM14" s="1"/>
  <c r="A9" i="21" s="1"/>
  <c r="AO15" i="13"/>
  <c r="AM15" s="1"/>
  <c r="A10" i="21" s="1"/>
  <c r="AO13" i="13"/>
  <c r="AM13" s="1"/>
  <c r="A8" i="21" l="1"/>
  <c r="BP18" i="13"/>
  <c r="BP17"/>
  <c r="BP24"/>
  <c r="AR13"/>
  <c r="AW13" s="1"/>
  <c r="CC13"/>
  <c r="AR14"/>
  <c r="BE14" s="1"/>
  <c r="CC14"/>
  <c r="AR15"/>
  <c r="BE15" s="1"/>
  <c r="CC15"/>
  <c r="N27" i="14"/>
  <c r="N26"/>
  <c r="N28"/>
  <c r="AV13" i="13"/>
  <c r="BI13"/>
  <c r="BK13" s="1"/>
  <c r="F8" i="21" s="1"/>
  <c r="D8" i="23" s="1"/>
  <c r="AS16" i="13"/>
  <c r="BI15"/>
  <c r="BK15" s="1"/>
  <c r="F10" i="21" s="1"/>
  <c r="D10" i="23" s="1"/>
  <c r="AV15" i="13"/>
  <c r="AS18"/>
  <c r="AV14"/>
  <c r="AS17"/>
  <c r="BI14"/>
  <c r="BK14" s="1"/>
  <c r="F9" i="21" s="1"/>
  <c r="D9" i="23" s="1"/>
  <c r="AO16" i="13"/>
  <c r="AM16" s="1"/>
  <c r="A11" i="21" s="1"/>
  <c r="AO18" i="13"/>
  <c r="AM18" s="1"/>
  <c r="A13" i="21" s="1"/>
  <c r="AO17" i="13"/>
  <c r="AM17" s="1"/>
  <c r="A12" i="21" s="1"/>
  <c r="AN14" i="13"/>
  <c r="AN15"/>
  <c r="AQ15" s="1"/>
  <c r="C10" i="21" s="1"/>
  <c r="A10" i="23" s="1"/>
  <c r="AN13" i="13"/>
  <c r="CH15" l="1"/>
  <c r="CI15" s="1"/>
  <c r="CH13"/>
  <c r="CI13" s="1"/>
  <c r="CH14"/>
  <c r="CI14" s="1"/>
  <c r="E40" i="1"/>
  <c r="E52" s="1"/>
  <c r="F40"/>
  <c r="F52" s="1"/>
  <c r="F159" s="1"/>
  <c r="G40"/>
  <c r="G52" s="1"/>
  <c r="G159" s="1"/>
  <c r="H40"/>
  <c r="H52" s="1"/>
  <c r="H159" s="1"/>
  <c r="I40"/>
  <c r="I52" s="1"/>
  <c r="I159" s="1"/>
  <c r="J40"/>
  <c r="J52" s="1"/>
  <c r="J159" s="1"/>
  <c r="K40"/>
  <c r="K52" s="1"/>
  <c r="K159" s="1"/>
  <c r="L40"/>
  <c r="L52" s="1"/>
  <c r="L159" s="1"/>
  <c r="M40"/>
  <c r="M52" s="1"/>
  <c r="M159" s="1"/>
  <c r="N40"/>
  <c r="N52" s="1"/>
  <c r="N159" s="1"/>
  <c r="O40"/>
  <c r="O52" s="1"/>
  <c r="O159" s="1"/>
  <c r="P40"/>
  <c r="P52" s="1"/>
  <c r="P159" s="1"/>
  <c r="Q40"/>
  <c r="Q52" s="1"/>
  <c r="Q159" s="1"/>
  <c r="R40"/>
  <c r="R52" s="1"/>
  <c r="R159" s="1"/>
  <c r="S40"/>
  <c r="S52" s="1"/>
  <c r="S159" s="1"/>
  <c r="T40"/>
  <c r="T52" s="1"/>
  <c r="T159" s="1"/>
  <c r="U40"/>
  <c r="U52" s="1"/>
  <c r="U159" s="1"/>
  <c r="V40"/>
  <c r="V52" s="1"/>
  <c r="V159" s="1"/>
  <c r="W40"/>
  <c r="W52" s="1"/>
  <c r="W159" s="1"/>
  <c r="X40"/>
  <c r="X52" s="1"/>
  <c r="X159" s="1"/>
  <c r="AT14" i="13"/>
  <c r="D9" i="21" s="1"/>
  <c r="B9" i="23" s="1"/>
  <c r="BC14" i="13"/>
  <c r="BR14" s="1"/>
  <c r="BT14" s="1"/>
  <c r="I9" i="6" s="1"/>
  <c r="BC13" i="13"/>
  <c r="BR13" s="1"/>
  <c r="BT13" s="1"/>
  <c r="I8" i="6" s="1"/>
  <c r="AW14" i="13"/>
  <c r="AZ14" s="1"/>
  <c r="AW15"/>
  <c r="BH14"/>
  <c r="BJ14" s="1"/>
  <c r="BU14" s="1"/>
  <c r="BE13"/>
  <c r="BC15"/>
  <c r="BR15" s="1"/>
  <c r="BT15" s="1"/>
  <c r="I10" i="6" s="1"/>
  <c r="BH13" i="13"/>
  <c r="BJ13" s="1"/>
  <c r="BU13" s="1"/>
  <c r="AT13"/>
  <c r="D8" i="21" s="1"/>
  <c r="B8" i="23" s="1"/>
  <c r="CB13" i="13"/>
  <c r="BH15"/>
  <c r="BJ15" s="1"/>
  <c r="BU15" s="1"/>
  <c r="CB15"/>
  <c r="CB14"/>
  <c r="AR16"/>
  <c r="BH16" s="1"/>
  <c r="BJ16" s="1"/>
  <c r="CC16"/>
  <c r="CB16"/>
  <c r="AR17"/>
  <c r="BC17" s="1"/>
  <c r="BR17" s="1"/>
  <c r="BT17" s="1"/>
  <c r="I12" i="6" s="1"/>
  <c r="CB17" i="13"/>
  <c r="CC17"/>
  <c r="AR18"/>
  <c r="AW18" s="1"/>
  <c r="CB18"/>
  <c r="CC18"/>
  <c r="A10" i="6"/>
  <c r="A10" i="17"/>
  <c r="D10" i="6"/>
  <c r="D10" i="17"/>
  <c r="D8" i="6"/>
  <c r="D8" i="17"/>
  <c r="D9" i="6"/>
  <c r="D9" i="17"/>
  <c r="AQ13" i="13"/>
  <c r="C8" i="21" s="1"/>
  <c r="A8" i="23" s="1"/>
  <c r="BC18" i="13"/>
  <c r="BR18" s="1"/>
  <c r="BT18" s="1"/>
  <c r="I13" i="6" s="1"/>
  <c r="AV17" i="13"/>
  <c r="AS20"/>
  <c r="BI17"/>
  <c r="BK17" s="1"/>
  <c r="F12" i="21" s="1"/>
  <c r="D12" i="23" s="1"/>
  <c r="AZ15" i="13"/>
  <c r="AV18"/>
  <c r="AS21"/>
  <c r="BI18"/>
  <c r="BK18" s="1"/>
  <c r="F13" i="21" s="1"/>
  <c r="D13" i="23" s="1"/>
  <c r="AZ13" i="13"/>
  <c r="AS19"/>
  <c r="BI16"/>
  <c r="BK16" s="1"/>
  <c r="F11" i="21" s="1"/>
  <c r="D11" i="23" s="1"/>
  <c r="AV16" i="13"/>
  <c r="AT15"/>
  <c r="D10" i="21" s="1"/>
  <c r="B10" i="23" s="1"/>
  <c r="AQ14" i="13"/>
  <c r="C9" i="21" s="1"/>
  <c r="A9" i="23" s="1"/>
  <c r="AO20" i="13"/>
  <c r="AM20" s="1"/>
  <c r="A15" i="21" s="1"/>
  <c r="AQ17" i="13"/>
  <c r="C12" i="21" s="1"/>
  <c r="A12" i="23" s="1"/>
  <c r="AQ18" i="13"/>
  <c r="C13" i="21" s="1"/>
  <c r="A13" i="23" s="1"/>
  <c r="AO21" i="13"/>
  <c r="AM21" s="1"/>
  <c r="A16" i="21" s="1"/>
  <c r="AO19" i="13"/>
  <c r="AM19" s="1"/>
  <c r="AQ16"/>
  <c r="C11" i="21" s="1"/>
  <c r="A11" i="23" s="1"/>
  <c r="AG65" i="13"/>
  <c r="AT18" l="1"/>
  <c r="D13" i="21" s="1"/>
  <c r="B13" i="23" s="1"/>
  <c r="C71" i="2"/>
  <c r="E71" s="1"/>
  <c r="C69"/>
  <c r="G69" s="1"/>
  <c r="C70"/>
  <c r="E70" s="1"/>
  <c r="C81"/>
  <c r="C80"/>
  <c r="C82"/>
  <c r="CH18" i="13"/>
  <c r="CI18" s="1"/>
  <c r="CH17"/>
  <c r="CI17" s="1"/>
  <c r="C83" i="2"/>
  <c r="C67"/>
  <c r="CH16" i="13"/>
  <c r="CI16" s="1"/>
  <c r="C84" i="2"/>
  <c r="C68"/>
  <c r="BU16" i="13"/>
  <c r="J11" i="6" s="1"/>
  <c r="CT16" i="13"/>
  <c r="E44" i="1"/>
  <c r="F44"/>
  <c r="F56" s="1"/>
  <c r="F163" s="1"/>
  <c r="G44"/>
  <c r="G56" s="1"/>
  <c r="G163" s="1"/>
  <c r="H44"/>
  <c r="H56" s="1"/>
  <c r="H163" s="1"/>
  <c r="I44"/>
  <c r="I56" s="1"/>
  <c r="I163" s="1"/>
  <c r="J44"/>
  <c r="J56" s="1"/>
  <c r="J163" s="1"/>
  <c r="K44"/>
  <c r="K56" s="1"/>
  <c r="K163" s="1"/>
  <c r="L44"/>
  <c r="L56" s="1"/>
  <c r="L163" s="1"/>
  <c r="M44"/>
  <c r="M56" s="1"/>
  <c r="M163" s="1"/>
  <c r="N44"/>
  <c r="N56" s="1"/>
  <c r="N163" s="1"/>
  <c r="O44"/>
  <c r="O56" s="1"/>
  <c r="O163" s="1"/>
  <c r="P44"/>
  <c r="P56" s="1"/>
  <c r="P163" s="1"/>
  <c r="Q44"/>
  <c r="Q56" s="1"/>
  <c r="Q163" s="1"/>
  <c r="R44"/>
  <c r="R56" s="1"/>
  <c r="R163" s="1"/>
  <c r="S44"/>
  <c r="S56" s="1"/>
  <c r="S163" s="1"/>
  <c r="T44"/>
  <c r="T56" s="1"/>
  <c r="T163" s="1"/>
  <c r="U44"/>
  <c r="U56" s="1"/>
  <c r="U163" s="1"/>
  <c r="V44"/>
  <c r="V56" s="1"/>
  <c r="V163" s="1"/>
  <c r="W44"/>
  <c r="W56" s="1"/>
  <c r="W163" s="1"/>
  <c r="X44"/>
  <c r="X56" s="1"/>
  <c r="X163" s="1"/>
  <c r="U66"/>
  <c r="AA5" i="26" s="1"/>
  <c r="Q66" i="1"/>
  <c r="W5" i="26" s="1"/>
  <c r="M66" i="1"/>
  <c r="S5" i="26" s="1"/>
  <c r="I66" i="1"/>
  <c r="O5" i="26" s="1"/>
  <c r="E66" i="1"/>
  <c r="K5" i="26" s="1"/>
  <c r="E159" i="1"/>
  <c r="V66"/>
  <c r="AB5" i="26" s="1"/>
  <c r="R66" i="1"/>
  <c r="X5" i="26" s="1"/>
  <c r="N66" i="1"/>
  <c r="T5" i="26" s="1"/>
  <c r="J66" i="1"/>
  <c r="P5" i="26" s="1"/>
  <c r="F66" i="1"/>
  <c r="L5" i="26" s="1"/>
  <c r="E39" i="1"/>
  <c r="E51" s="1"/>
  <c r="F39"/>
  <c r="F51" s="1"/>
  <c r="F158" s="1"/>
  <c r="G39"/>
  <c r="G51" s="1"/>
  <c r="G158" s="1"/>
  <c r="H39"/>
  <c r="H51" s="1"/>
  <c r="H158" s="1"/>
  <c r="I39"/>
  <c r="I51" s="1"/>
  <c r="I158" s="1"/>
  <c r="J39"/>
  <c r="J51" s="1"/>
  <c r="J158" s="1"/>
  <c r="K39"/>
  <c r="K51" s="1"/>
  <c r="K158" s="1"/>
  <c r="L39"/>
  <c r="L51" s="1"/>
  <c r="L158" s="1"/>
  <c r="M39"/>
  <c r="M51" s="1"/>
  <c r="M158" s="1"/>
  <c r="N39"/>
  <c r="N51" s="1"/>
  <c r="N158" s="1"/>
  <c r="O39"/>
  <c r="O51" s="1"/>
  <c r="O158" s="1"/>
  <c r="P39"/>
  <c r="P51" s="1"/>
  <c r="P158" s="1"/>
  <c r="Q39"/>
  <c r="Q51" s="1"/>
  <c r="Q158" s="1"/>
  <c r="R39"/>
  <c r="R51" s="1"/>
  <c r="R158" s="1"/>
  <c r="S39"/>
  <c r="S51" s="1"/>
  <c r="S158" s="1"/>
  <c r="T39"/>
  <c r="T51" s="1"/>
  <c r="T158" s="1"/>
  <c r="U39"/>
  <c r="U51" s="1"/>
  <c r="U158" s="1"/>
  <c r="V39"/>
  <c r="V51" s="1"/>
  <c r="V158" s="1"/>
  <c r="W39"/>
  <c r="W51" s="1"/>
  <c r="W158" s="1"/>
  <c r="X39"/>
  <c r="X51" s="1"/>
  <c r="X158" s="1"/>
  <c r="W66"/>
  <c r="AC5" i="26" s="1"/>
  <c r="S66" i="1"/>
  <c r="Y5" i="26" s="1"/>
  <c r="O66" i="1"/>
  <c r="U5" i="26" s="1"/>
  <c r="K66" i="1"/>
  <c r="Q5" i="26" s="1"/>
  <c r="G66" i="1"/>
  <c r="M5" i="26" s="1"/>
  <c r="X66" i="1"/>
  <c r="AD5" i="26" s="1"/>
  <c r="T66" i="1"/>
  <c r="Z5" i="26" s="1"/>
  <c r="P66" i="1"/>
  <c r="V5" i="26" s="1"/>
  <c r="L66" i="1"/>
  <c r="R5" i="26" s="1"/>
  <c r="H66" i="1"/>
  <c r="N5" i="26" s="1"/>
  <c r="B9" i="6"/>
  <c r="B9" i="17"/>
  <c r="J9" i="6"/>
  <c r="L9" i="21"/>
  <c r="J9" i="23" s="1"/>
  <c r="J10" i="6"/>
  <c r="L10" i="21"/>
  <c r="J10" i="23" s="1"/>
  <c r="B8" i="6"/>
  <c r="A14" i="21"/>
  <c r="J8" i="6"/>
  <c r="L8" i="21"/>
  <c r="J8" i="23" s="1"/>
  <c r="B8" i="17"/>
  <c r="BH18" i="13"/>
  <c r="BJ18" s="1"/>
  <c r="AT17"/>
  <c r="D12" i="21" s="1"/>
  <c r="B12" i="23" s="1"/>
  <c r="BE18" i="13"/>
  <c r="AW17"/>
  <c r="AZ17" s="1"/>
  <c r="BH17"/>
  <c r="BJ17" s="1"/>
  <c r="AT16"/>
  <c r="D11" i="21" s="1"/>
  <c r="B11" i="23" s="1"/>
  <c r="BE17" i="13"/>
  <c r="BE16"/>
  <c r="BC16"/>
  <c r="BR16" s="1"/>
  <c r="BT16" s="1"/>
  <c r="I11" i="6" s="1"/>
  <c r="BC29" i="13"/>
  <c r="BR29" s="1"/>
  <c r="BT29" s="1"/>
  <c r="I24" i="6" s="1"/>
  <c r="BC32" i="13"/>
  <c r="BR32" s="1"/>
  <c r="BT32" s="1"/>
  <c r="I27" i="6" s="1"/>
  <c r="BC35" i="13"/>
  <c r="BR35" s="1"/>
  <c r="BT35" s="1"/>
  <c r="I30" i="6" s="1"/>
  <c r="AW16" i="13"/>
  <c r="AZ16" s="1"/>
  <c r="CC20"/>
  <c r="CB20"/>
  <c r="CB21"/>
  <c r="CC21"/>
  <c r="CC19"/>
  <c r="CB19"/>
  <c r="AQ19"/>
  <c r="C14" i="21" s="1"/>
  <c r="A14" i="23" s="1"/>
  <c r="AR19" i="13"/>
  <c r="BC19" s="1"/>
  <c r="BR19" s="1"/>
  <c r="BT19" s="1"/>
  <c r="I14" i="6" s="1"/>
  <c r="A9"/>
  <c r="A9" i="17"/>
  <c r="A11" i="6"/>
  <c r="A11" i="17"/>
  <c r="A13" i="6"/>
  <c r="A13" i="17"/>
  <c r="AQ20" i="13"/>
  <c r="C15" i="21" s="1"/>
  <c r="A15" i="23" s="1"/>
  <c r="AR20" i="13"/>
  <c r="BE20" s="1"/>
  <c r="A8" i="6"/>
  <c r="A8" i="17"/>
  <c r="AQ21" i="13"/>
  <c r="C16" i="21" s="1"/>
  <c r="A16" i="23" s="1"/>
  <c r="AR21" i="13"/>
  <c r="BH21" s="1"/>
  <c r="BJ21" s="1"/>
  <c r="BU21" s="1"/>
  <c r="A12" i="6"/>
  <c r="A12" i="17"/>
  <c r="B10" i="6"/>
  <c r="B10" i="17"/>
  <c r="D11" i="6"/>
  <c r="D11" i="17"/>
  <c r="D13" i="6"/>
  <c r="D13" i="17"/>
  <c r="D12" i="6"/>
  <c r="D12" i="17"/>
  <c r="BI20" i="13"/>
  <c r="BK20" s="1"/>
  <c r="F15" i="21" s="1"/>
  <c r="D15" i="23" s="1"/>
  <c r="AV20" i="13"/>
  <c r="AV21"/>
  <c r="BI21"/>
  <c r="BK21" s="1"/>
  <c r="F16" i="21" s="1"/>
  <c r="D16" i="23" s="1"/>
  <c r="BI19" i="13"/>
  <c r="BK19" s="1"/>
  <c r="F14" i="21" s="1"/>
  <c r="D14" i="23" s="1"/>
  <c r="AV19" i="13"/>
  <c r="AZ18"/>
  <c r="T3"/>
  <c r="T67" s="1"/>
  <c r="B13" i="6" l="1"/>
  <c r="B13" i="17"/>
  <c r="W71" i="2"/>
  <c r="H71"/>
  <c r="O71"/>
  <c r="S71"/>
  <c r="L71"/>
  <c r="X71"/>
  <c r="R71"/>
  <c r="J71"/>
  <c r="T71"/>
  <c r="N71"/>
  <c r="G71"/>
  <c r="L11" i="21"/>
  <c r="J11" i="23" s="1"/>
  <c r="V71" i="2"/>
  <c r="P71"/>
  <c r="K71"/>
  <c r="F71"/>
  <c r="U71"/>
  <c r="Q71"/>
  <c r="M71"/>
  <c r="I71"/>
  <c r="T69"/>
  <c r="V70"/>
  <c r="F70"/>
  <c r="N70"/>
  <c r="L69"/>
  <c r="J70"/>
  <c r="X69"/>
  <c r="H69"/>
  <c r="R70"/>
  <c r="P69"/>
  <c r="W70"/>
  <c r="S70"/>
  <c r="O70"/>
  <c r="K70"/>
  <c r="G70"/>
  <c r="U69"/>
  <c r="Q69"/>
  <c r="M69"/>
  <c r="I69"/>
  <c r="E69"/>
  <c r="X70"/>
  <c r="T70"/>
  <c r="P70"/>
  <c r="L70"/>
  <c r="H70"/>
  <c r="V69"/>
  <c r="R69"/>
  <c r="N69"/>
  <c r="J69"/>
  <c r="F69"/>
  <c r="U70"/>
  <c r="Q70"/>
  <c r="M70"/>
  <c r="I70"/>
  <c r="W69"/>
  <c r="S69"/>
  <c r="O69"/>
  <c r="K69"/>
  <c r="CH21" i="13"/>
  <c r="CI21" s="1"/>
  <c r="E68" i="2"/>
  <c r="F68"/>
  <c r="G68"/>
  <c r="H68"/>
  <c r="I68"/>
  <c r="J68"/>
  <c r="K68"/>
  <c r="L68"/>
  <c r="M68"/>
  <c r="N68"/>
  <c r="O68"/>
  <c r="P68"/>
  <c r="Q68"/>
  <c r="R68"/>
  <c r="S68"/>
  <c r="T68"/>
  <c r="U68"/>
  <c r="V68"/>
  <c r="W68"/>
  <c r="X68"/>
  <c r="E67"/>
  <c r="F67"/>
  <c r="G67"/>
  <c r="H67"/>
  <c r="I67"/>
  <c r="J67"/>
  <c r="K67"/>
  <c r="L67"/>
  <c r="M67"/>
  <c r="N67"/>
  <c r="O67"/>
  <c r="P67"/>
  <c r="Q67"/>
  <c r="R67"/>
  <c r="S67"/>
  <c r="T67"/>
  <c r="U67"/>
  <c r="V67"/>
  <c r="W67"/>
  <c r="X67"/>
  <c r="CH19" i="13"/>
  <c r="CI19" s="1"/>
  <c r="CH20"/>
  <c r="CI20" s="1"/>
  <c r="C64" i="2"/>
  <c r="C77"/>
  <c r="BU17" i="13"/>
  <c r="L12" i="21" s="1"/>
  <c r="J12" i="23" s="1"/>
  <c r="CT17" i="13"/>
  <c r="BU18"/>
  <c r="J13" i="6" s="1"/>
  <c r="CT18" i="13"/>
  <c r="E42" i="1"/>
  <c r="E54" s="1"/>
  <c r="F42"/>
  <c r="F54" s="1"/>
  <c r="F161" s="1"/>
  <c r="G42"/>
  <c r="G54" s="1"/>
  <c r="G161" s="1"/>
  <c r="H42"/>
  <c r="H54" s="1"/>
  <c r="H161" s="1"/>
  <c r="I42"/>
  <c r="I54" s="1"/>
  <c r="I161" s="1"/>
  <c r="J42"/>
  <c r="J54" s="1"/>
  <c r="J161" s="1"/>
  <c r="K42"/>
  <c r="K54" s="1"/>
  <c r="K161" s="1"/>
  <c r="L42"/>
  <c r="L54" s="1"/>
  <c r="L161" s="1"/>
  <c r="M42"/>
  <c r="M54" s="1"/>
  <c r="M161" s="1"/>
  <c r="N42"/>
  <c r="N54" s="1"/>
  <c r="N161" s="1"/>
  <c r="O42"/>
  <c r="O54" s="1"/>
  <c r="O161" s="1"/>
  <c r="P42"/>
  <c r="P54" s="1"/>
  <c r="P161" s="1"/>
  <c r="Q42"/>
  <c r="Q54" s="1"/>
  <c r="Q161" s="1"/>
  <c r="R42"/>
  <c r="R54" s="1"/>
  <c r="R161" s="1"/>
  <c r="S42"/>
  <c r="S54" s="1"/>
  <c r="S161" s="1"/>
  <c r="T42"/>
  <c r="T54" s="1"/>
  <c r="T161" s="1"/>
  <c r="U42"/>
  <c r="U54" s="1"/>
  <c r="U161" s="1"/>
  <c r="V42"/>
  <c r="V54" s="1"/>
  <c r="V161" s="1"/>
  <c r="W42"/>
  <c r="W54" s="1"/>
  <c r="W161" s="1"/>
  <c r="X42"/>
  <c r="X54" s="1"/>
  <c r="X161" s="1"/>
  <c r="W70"/>
  <c r="AC9" i="26" s="1"/>
  <c r="K70" i="1"/>
  <c r="Q9" i="26" s="1"/>
  <c r="W65" i="1"/>
  <c r="AC4" i="26" s="1"/>
  <c r="S65" i="1"/>
  <c r="Y4" i="26" s="1"/>
  <c r="O65" i="1"/>
  <c r="U4" i="26" s="1"/>
  <c r="K65" i="1"/>
  <c r="Q4" i="26" s="1"/>
  <c r="G65" i="1"/>
  <c r="M4" i="26" s="1"/>
  <c r="U70" i="1"/>
  <c r="AA9" i="26" s="1"/>
  <c r="Q70" i="1"/>
  <c r="W9" i="26" s="1"/>
  <c r="M70" i="1"/>
  <c r="S9" i="26" s="1"/>
  <c r="I70" i="1"/>
  <c r="O9" i="26" s="1"/>
  <c r="E56" i="1"/>
  <c r="Y44"/>
  <c r="BC20" i="13"/>
  <c r="BR20" s="1"/>
  <c r="BT20" s="1"/>
  <c r="I15" i="6" s="1"/>
  <c r="B12" i="17"/>
  <c r="U65" i="1"/>
  <c r="AA4" i="26" s="1"/>
  <c r="M65" i="1"/>
  <c r="S4" i="26" s="1"/>
  <c r="I65" i="1"/>
  <c r="O4" i="26" s="1"/>
  <c r="E158" i="1"/>
  <c r="E65"/>
  <c r="K4" i="26" s="1"/>
  <c r="S70" i="1"/>
  <c r="Y9" i="26" s="1"/>
  <c r="O70" i="1"/>
  <c r="U9" i="26" s="1"/>
  <c r="G70" i="1"/>
  <c r="M9" i="26" s="1"/>
  <c r="E43" i="1"/>
  <c r="F43"/>
  <c r="F55" s="1"/>
  <c r="F162" s="1"/>
  <c r="G43"/>
  <c r="G55" s="1"/>
  <c r="G162" s="1"/>
  <c r="H43"/>
  <c r="H55" s="1"/>
  <c r="H162" s="1"/>
  <c r="I43"/>
  <c r="I55" s="1"/>
  <c r="I162" s="1"/>
  <c r="J43"/>
  <c r="J55" s="1"/>
  <c r="J162" s="1"/>
  <c r="K43"/>
  <c r="K55" s="1"/>
  <c r="K162" s="1"/>
  <c r="L43"/>
  <c r="L55" s="1"/>
  <c r="L162" s="1"/>
  <c r="M43"/>
  <c r="M55" s="1"/>
  <c r="M162" s="1"/>
  <c r="N43"/>
  <c r="N55" s="1"/>
  <c r="N162" s="1"/>
  <c r="O43"/>
  <c r="O55" s="1"/>
  <c r="O162" s="1"/>
  <c r="P43"/>
  <c r="P55" s="1"/>
  <c r="P162" s="1"/>
  <c r="Q43"/>
  <c r="Q55" s="1"/>
  <c r="Q162" s="1"/>
  <c r="R43"/>
  <c r="R55" s="1"/>
  <c r="R162" s="1"/>
  <c r="S43"/>
  <c r="S55" s="1"/>
  <c r="S162" s="1"/>
  <c r="T43"/>
  <c r="T55" s="1"/>
  <c r="T162" s="1"/>
  <c r="U43"/>
  <c r="U55" s="1"/>
  <c r="U162" s="1"/>
  <c r="V43"/>
  <c r="V55" s="1"/>
  <c r="V162" s="1"/>
  <c r="W43"/>
  <c r="W55" s="1"/>
  <c r="W162" s="1"/>
  <c r="X43"/>
  <c r="X55" s="1"/>
  <c r="X162" s="1"/>
  <c r="X65"/>
  <c r="AD4" i="26" s="1"/>
  <c r="T65" i="1"/>
  <c r="Z4" i="26" s="1"/>
  <c r="P65" i="1"/>
  <c r="V4" i="26" s="1"/>
  <c r="L65" i="1"/>
  <c r="R4" i="26" s="1"/>
  <c r="H65" i="1"/>
  <c r="N4" i="26" s="1"/>
  <c r="V70" i="1"/>
  <c r="AB9" i="26" s="1"/>
  <c r="R70" i="1"/>
  <c r="X9" i="26" s="1"/>
  <c r="N70" i="1"/>
  <c r="T9" i="26" s="1"/>
  <c r="J70" i="1"/>
  <c r="P9" i="26" s="1"/>
  <c r="F70" i="1"/>
  <c r="L9" i="26" s="1"/>
  <c r="B11" i="6"/>
  <c r="Q65" i="1"/>
  <c r="W4" i="26" s="1"/>
  <c r="E45" i="1"/>
  <c r="F45"/>
  <c r="F57" s="1"/>
  <c r="F164" s="1"/>
  <c r="G45"/>
  <c r="G57" s="1"/>
  <c r="G164" s="1"/>
  <c r="H45"/>
  <c r="H57" s="1"/>
  <c r="H164" s="1"/>
  <c r="I45"/>
  <c r="I57" s="1"/>
  <c r="I164" s="1"/>
  <c r="J45"/>
  <c r="J57" s="1"/>
  <c r="J164" s="1"/>
  <c r="K45"/>
  <c r="K57" s="1"/>
  <c r="K164" s="1"/>
  <c r="L45"/>
  <c r="L57" s="1"/>
  <c r="L164" s="1"/>
  <c r="M45"/>
  <c r="M57" s="1"/>
  <c r="M164" s="1"/>
  <c r="N45"/>
  <c r="N57" s="1"/>
  <c r="N164" s="1"/>
  <c r="O45"/>
  <c r="O57" s="1"/>
  <c r="O164" s="1"/>
  <c r="P45"/>
  <c r="P57" s="1"/>
  <c r="P164" s="1"/>
  <c r="Q45"/>
  <c r="Q57" s="1"/>
  <c r="Q164" s="1"/>
  <c r="R45"/>
  <c r="R57" s="1"/>
  <c r="R164" s="1"/>
  <c r="S45"/>
  <c r="S57" s="1"/>
  <c r="S164" s="1"/>
  <c r="T45"/>
  <c r="T57" s="1"/>
  <c r="T164" s="1"/>
  <c r="U45"/>
  <c r="U57" s="1"/>
  <c r="U164" s="1"/>
  <c r="V45"/>
  <c r="V57" s="1"/>
  <c r="V164" s="1"/>
  <c r="W45"/>
  <c r="W57" s="1"/>
  <c r="W164" s="1"/>
  <c r="X45"/>
  <c r="X57" s="1"/>
  <c r="X164" s="1"/>
  <c r="V65"/>
  <c r="AB4" i="26" s="1"/>
  <c r="R65" i="1"/>
  <c r="X4" i="26" s="1"/>
  <c r="N65" i="1"/>
  <c r="T4" i="26" s="1"/>
  <c r="J65" i="1"/>
  <c r="P4" i="26" s="1"/>
  <c r="F65" i="1"/>
  <c r="L4" i="26" s="1"/>
  <c r="E41" i="1"/>
  <c r="E53" s="1"/>
  <c r="F41"/>
  <c r="F53" s="1"/>
  <c r="F160" s="1"/>
  <c r="G41"/>
  <c r="G53" s="1"/>
  <c r="G160" s="1"/>
  <c r="H41"/>
  <c r="H53" s="1"/>
  <c r="H160" s="1"/>
  <c r="I41"/>
  <c r="I53" s="1"/>
  <c r="I160" s="1"/>
  <c r="J41"/>
  <c r="J53" s="1"/>
  <c r="J160" s="1"/>
  <c r="K41"/>
  <c r="K53" s="1"/>
  <c r="K160" s="1"/>
  <c r="L41"/>
  <c r="L53" s="1"/>
  <c r="L160" s="1"/>
  <c r="M41"/>
  <c r="M53" s="1"/>
  <c r="M160" s="1"/>
  <c r="N41"/>
  <c r="N53" s="1"/>
  <c r="N160" s="1"/>
  <c r="O41"/>
  <c r="O53" s="1"/>
  <c r="O160" s="1"/>
  <c r="P41"/>
  <c r="P53" s="1"/>
  <c r="P160" s="1"/>
  <c r="Q41"/>
  <c r="Q53" s="1"/>
  <c r="Q160" s="1"/>
  <c r="R41"/>
  <c r="R53" s="1"/>
  <c r="R160" s="1"/>
  <c r="S41"/>
  <c r="S53" s="1"/>
  <c r="S160" s="1"/>
  <c r="T41"/>
  <c r="T53" s="1"/>
  <c r="T160" s="1"/>
  <c r="U41"/>
  <c r="U53" s="1"/>
  <c r="U160" s="1"/>
  <c r="V41"/>
  <c r="V53" s="1"/>
  <c r="V160" s="1"/>
  <c r="W41"/>
  <c r="W53" s="1"/>
  <c r="W160" s="1"/>
  <c r="X41"/>
  <c r="X53" s="1"/>
  <c r="X160" s="1"/>
  <c r="X70"/>
  <c r="AD9" i="26" s="1"/>
  <c r="T70" i="1"/>
  <c r="Z9" i="26" s="1"/>
  <c r="P70" i="1"/>
  <c r="V9" i="26" s="1"/>
  <c r="L70" i="1"/>
  <c r="R9" i="26" s="1"/>
  <c r="H70" i="1"/>
  <c r="N9" i="26" s="1"/>
  <c r="L13" i="21"/>
  <c r="J13" i="23" s="1"/>
  <c r="E38" i="1"/>
  <c r="F38"/>
  <c r="F50" s="1"/>
  <c r="F157" s="1"/>
  <c r="G38"/>
  <c r="G50" s="1"/>
  <c r="G157" s="1"/>
  <c r="H38"/>
  <c r="H50" s="1"/>
  <c r="H157" s="1"/>
  <c r="I38"/>
  <c r="I50" s="1"/>
  <c r="I157" s="1"/>
  <c r="J38"/>
  <c r="J50" s="1"/>
  <c r="J157" s="1"/>
  <c r="K38"/>
  <c r="K50" s="1"/>
  <c r="K157" s="1"/>
  <c r="L38"/>
  <c r="L50" s="1"/>
  <c r="L157" s="1"/>
  <c r="M38"/>
  <c r="M50" s="1"/>
  <c r="M157" s="1"/>
  <c r="N38"/>
  <c r="N50" s="1"/>
  <c r="N157" s="1"/>
  <c r="O38"/>
  <c r="O50" s="1"/>
  <c r="O157" s="1"/>
  <c r="P38"/>
  <c r="P50" s="1"/>
  <c r="P157" s="1"/>
  <c r="Q38"/>
  <c r="Q50" s="1"/>
  <c r="Q157" s="1"/>
  <c r="R38"/>
  <c r="R50" s="1"/>
  <c r="R157" s="1"/>
  <c r="S38"/>
  <c r="S50" s="1"/>
  <c r="S157" s="1"/>
  <c r="T38"/>
  <c r="T50" s="1"/>
  <c r="T157" s="1"/>
  <c r="U38"/>
  <c r="U50" s="1"/>
  <c r="U157" s="1"/>
  <c r="V38"/>
  <c r="V50" s="1"/>
  <c r="V157" s="1"/>
  <c r="W38"/>
  <c r="W50" s="1"/>
  <c r="W157" s="1"/>
  <c r="X38"/>
  <c r="X50" s="1"/>
  <c r="X157" s="1"/>
  <c r="J16" i="6"/>
  <c r="L16" i="21"/>
  <c r="J16" i="23" s="1"/>
  <c r="B11" i="17"/>
  <c r="B12" i="6"/>
  <c r="AW20" i="13"/>
  <c r="AZ20" s="1"/>
  <c r="AT20"/>
  <c r="B15" i="6" s="1"/>
  <c r="BC21" i="13"/>
  <c r="BR21" s="1"/>
  <c r="BT21" s="1"/>
  <c r="I16" i="6" s="1"/>
  <c r="BE21" i="13"/>
  <c r="BH19"/>
  <c r="BJ19" s="1"/>
  <c r="BU19" s="1"/>
  <c r="AT21"/>
  <c r="AW21"/>
  <c r="AZ21" s="1"/>
  <c r="BH20"/>
  <c r="BJ20" s="1"/>
  <c r="BU20" s="1"/>
  <c r="A14" i="6"/>
  <c r="A14" i="17"/>
  <c r="BE19" i="13"/>
  <c r="AW19"/>
  <c r="AZ19" s="1"/>
  <c r="AT19"/>
  <c r="D14" i="21" s="1"/>
  <c r="B14" i="23" s="1"/>
  <c r="A16" i="6"/>
  <c r="A16" i="17"/>
  <c r="A15" i="6"/>
  <c r="A15" i="17"/>
  <c r="D16" i="6"/>
  <c r="D16" i="17"/>
  <c r="D14" i="6"/>
  <c r="D14" i="17"/>
  <c r="D15" i="6"/>
  <c r="D15" i="17"/>
  <c r="O67" i="13"/>
  <c r="C65" i="2" l="1"/>
  <c r="C78"/>
  <c r="E64"/>
  <c r="F64"/>
  <c r="G64"/>
  <c r="H64"/>
  <c r="I64"/>
  <c r="J64"/>
  <c r="K64"/>
  <c r="L64"/>
  <c r="M64"/>
  <c r="N64"/>
  <c r="O64"/>
  <c r="P64"/>
  <c r="Q64"/>
  <c r="R64"/>
  <c r="S64"/>
  <c r="T64"/>
  <c r="U64"/>
  <c r="V64"/>
  <c r="W64"/>
  <c r="X64"/>
  <c r="C66"/>
  <c r="C79"/>
  <c r="J12" i="6"/>
  <c r="X67" i="1"/>
  <c r="AD6" i="26" s="1"/>
  <c r="H67" i="1"/>
  <c r="N6" i="26" s="1"/>
  <c r="J71" i="1"/>
  <c r="P10" i="26" s="1"/>
  <c r="U68" i="1"/>
  <c r="AA7" i="26" s="1"/>
  <c r="Q68" i="1"/>
  <c r="W7" i="26" s="1"/>
  <c r="M68" i="1"/>
  <c r="S7" i="26" s="1"/>
  <c r="I68" i="1"/>
  <c r="O7" i="26" s="1"/>
  <c r="E161" i="1"/>
  <c r="E68"/>
  <c r="K7" i="26" s="1"/>
  <c r="U67" i="1"/>
  <c r="AA6" i="26" s="1"/>
  <c r="Q67" i="1"/>
  <c r="W6" i="26" s="1"/>
  <c r="M67" i="1"/>
  <c r="S6" i="26" s="1"/>
  <c r="I67" i="1"/>
  <c r="O6" i="26" s="1"/>
  <c r="E67" i="1"/>
  <c r="K6" i="26" s="1"/>
  <c r="E160" i="1"/>
  <c r="W71"/>
  <c r="AC10" i="26" s="1"/>
  <c r="S71" i="1"/>
  <c r="Y10" i="26" s="1"/>
  <c r="O71" i="1"/>
  <c r="U10" i="26" s="1"/>
  <c r="K71" i="1"/>
  <c r="Q10" i="26" s="1"/>
  <c r="G71" i="1"/>
  <c r="M10" i="26" s="1"/>
  <c r="V69" i="1"/>
  <c r="AB8" i="26" s="1"/>
  <c r="R69" i="1"/>
  <c r="X8" i="26" s="1"/>
  <c r="N69" i="1"/>
  <c r="T8" i="26" s="1"/>
  <c r="J69" i="1"/>
  <c r="P8" i="26" s="1"/>
  <c r="F69" i="1"/>
  <c r="L8" i="26" s="1"/>
  <c r="V68" i="1"/>
  <c r="AB7" i="26" s="1"/>
  <c r="R68" i="1"/>
  <c r="X7" i="26" s="1"/>
  <c r="N68" i="1"/>
  <c r="T7" i="26" s="1"/>
  <c r="J68" i="1"/>
  <c r="P7" i="26" s="1"/>
  <c r="F68" i="1"/>
  <c r="L7" i="26" s="1"/>
  <c r="P67" i="1"/>
  <c r="V6" i="26" s="1"/>
  <c r="R71" i="1"/>
  <c r="X10" i="26" s="1"/>
  <c r="U69" i="1"/>
  <c r="AA8" i="26" s="1"/>
  <c r="M69" i="1"/>
  <c r="S8" i="26" s="1"/>
  <c r="E55" i="1"/>
  <c r="Y43"/>
  <c r="V67"/>
  <c r="AB6" i="26" s="1"/>
  <c r="R67" i="1"/>
  <c r="X6" i="26" s="1"/>
  <c r="N67" i="1"/>
  <c r="T6" i="26" s="1"/>
  <c r="J67" i="1"/>
  <c r="P6" i="26" s="1"/>
  <c r="F67" i="1"/>
  <c r="L6" i="26" s="1"/>
  <c r="X71" i="1"/>
  <c r="AD10" i="26" s="1"/>
  <c r="T71" i="1"/>
  <c r="Z10" i="26" s="1"/>
  <c r="P71" i="1"/>
  <c r="V10" i="26" s="1"/>
  <c r="L71" i="1"/>
  <c r="R10" i="26" s="1"/>
  <c r="H71" i="1"/>
  <c r="N10" i="26" s="1"/>
  <c r="W69" i="1"/>
  <c r="AC8" i="26" s="1"/>
  <c r="S69" i="1"/>
  <c r="Y8" i="26" s="1"/>
  <c r="O69" i="1"/>
  <c r="U8" i="26" s="1"/>
  <c r="K69" i="1"/>
  <c r="Q8" i="26" s="1"/>
  <c r="G69" i="1"/>
  <c r="M8" i="26" s="1"/>
  <c r="E70" i="1"/>
  <c r="E163"/>
  <c r="Y56"/>
  <c r="W68"/>
  <c r="AC7" i="26" s="1"/>
  <c r="S68" i="1"/>
  <c r="Y7" i="26" s="1"/>
  <c r="O68" i="1"/>
  <c r="U7" i="26" s="1"/>
  <c r="K68" i="1"/>
  <c r="Q7" i="26" s="1"/>
  <c r="G68" i="1"/>
  <c r="M7" i="26" s="1"/>
  <c r="T67" i="1"/>
  <c r="Z6" i="26" s="1"/>
  <c r="L67" i="1"/>
  <c r="R6" i="26" s="1"/>
  <c r="V71" i="1"/>
  <c r="AB10" i="26" s="1"/>
  <c r="N71" i="1"/>
  <c r="T10" i="26" s="1"/>
  <c r="F71" i="1"/>
  <c r="L10" i="26" s="1"/>
  <c r="Q69" i="1"/>
  <c r="W8" i="26" s="1"/>
  <c r="I69" i="1"/>
  <c r="O8" i="26" s="1"/>
  <c r="W67" i="1"/>
  <c r="AC6" i="26" s="1"/>
  <c r="S67" i="1"/>
  <c r="Y6" i="26" s="1"/>
  <c r="O67" i="1"/>
  <c r="U6" i="26" s="1"/>
  <c r="K67" i="1"/>
  <c r="Q6" i="26" s="1"/>
  <c r="G67" i="1"/>
  <c r="M6" i="26" s="1"/>
  <c r="U71" i="1"/>
  <c r="AA10" i="26" s="1"/>
  <c r="Q71" i="1"/>
  <c r="W10" i="26" s="1"/>
  <c r="M71" i="1"/>
  <c r="S10" i="26" s="1"/>
  <c r="I71" i="1"/>
  <c r="O10" i="26" s="1"/>
  <c r="E57" i="1"/>
  <c r="Y45"/>
  <c r="X69"/>
  <c r="AD8" i="26" s="1"/>
  <c r="T69" i="1"/>
  <c r="Z8" i="26" s="1"/>
  <c r="P69" i="1"/>
  <c r="V8" i="26" s="1"/>
  <c r="L69" i="1"/>
  <c r="R8" i="26" s="1"/>
  <c r="H69" i="1"/>
  <c r="N8" i="26" s="1"/>
  <c r="X68" i="1"/>
  <c r="AD7" i="26" s="1"/>
  <c r="T68" i="1"/>
  <c r="Z7" i="26" s="1"/>
  <c r="P68" i="1"/>
  <c r="V7" i="26" s="1"/>
  <c r="L68" i="1"/>
  <c r="R7" i="26" s="1"/>
  <c r="H68" i="1"/>
  <c r="N7" i="26" s="1"/>
  <c r="F59" i="1"/>
  <c r="F64"/>
  <c r="L3" i="26" s="1"/>
  <c r="J14" i="6"/>
  <c r="L14" i="21"/>
  <c r="J14" i="23" s="1"/>
  <c r="U64" i="1"/>
  <c r="AA3" i="26" s="1"/>
  <c r="U59" i="1"/>
  <c r="Q64"/>
  <c r="W3" i="26" s="1"/>
  <c r="Q59" i="1"/>
  <c r="M59"/>
  <c r="M64"/>
  <c r="S3" i="26" s="1"/>
  <c r="I64" i="1"/>
  <c r="O3" i="26" s="1"/>
  <c r="I59" i="1"/>
  <c r="B16" i="17"/>
  <c r="D16" i="21"/>
  <c r="B16" i="23" s="1"/>
  <c r="R64" i="1"/>
  <c r="X3" i="26" s="1"/>
  <c r="R59" i="1"/>
  <c r="W59"/>
  <c r="W64"/>
  <c r="AC3" i="26" s="1"/>
  <c r="S64" i="1"/>
  <c r="Y3" i="26" s="1"/>
  <c r="S59" i="1"/>
  <c r="O59"/>
  <c r="O64"/>
  <c r="U3" i="26" s="1"/>
  <c r="K64" i="1"/>
  <c r="Q3" i="26" s="1"/>
  <c r="K59" i="1"/>
  <c r="G64"/>
  <c r="M3" i="26" s="1"/>
  <c r="G59" i="1"/>
  <c r="B15" i="17"/>
  <c r="D15" i="21"/>
  <c r="B15" i="23" s="1"/>
  <c r="V64" i="1"/>
  <c r="AB3" i="26" s="1"/>
  <c r="V59" i="1"/>
  <c r="N59"/>
  <c r="N64"/>
  <c r="T3" i="26" s="1"/>
  <c r="J64" i="1"/>
  <c r="P3" i="26" s="1"/>
  <c r="J59" i="1"/>
  <c r="J15" i="6"/>
  <c r="L15" i="21"/>
  <c r="J15" i="23" s="1"/>
  <c r="X64" i="1"/>
  <c r="AD3" i="26" s="1"/>
  <c r="X59" i="1"/>
  <c r="T64"/>
  <c r="Z3" i="26" s="1"/>
  <c r="T59" i="1"/>
  <c r="P64"/>
  <c r="V3" i="26" s="1"/>
  <c r="P59" i="1"/>
  <c r="L64"/>
  <c r="R3" i="26" s="1"/>
  <c r="L59" i="1"/>
  <c r="H64"/>
  <c r="N3" i="26" s="1"/>
  <c r="H59" i="1"/>
  <c r="B16" i="6"/>
  <c r="B14"/>
  <c r="B14" i="17"/>
  <c r="R67" i="13"/>
  <c r="Q67" s="1"/>
  <c r="Y70" i="1" l="1"/>
  <c r="AE9" i="26" s="1"/>
  <c r="K9"/>
  <c r="E66" i="2"/>
  <c r="F66"/>
  <c r="G66"/>
  <c r="H66"/>
  <c r="I66"/>
  <c r="J66"/>
  <c r="K66"/>
  <c r="L66"/>
  <c r="M66"/>
  <c r="N66"/>
  <c r="O66"/>
  <c r="P66"/>
  <c r="Q66"/>
  <c r="R66"/>
  <c r="S66"/>
  <c r="T66"/>
  <c r="U66"/>
  <c r="V66"/>
  <c r="W66"/>
  <c r="X66"/>
  <c r="E65"/>
  <c r="F65"/>
  <c r="G65"/>
  <c r="H65"/>
  <c r="I65"/>
  <c r="J65"/>
  <c r="K65"/>
  <c r="L65"/>
  <c r="M65"/>
  <c r="N65"/>
  <c r="O65"/>
  <c r="P65"/>
  <c r="Q65"/>
  <c r="R65"/>
  <c r="S65"/>
  <c r="T65"/>
  <c r="U65"/>
  <c r="V65"/>
  <c r="W65"/>
  <c r="X65"/>
  <c r="H89" i="1"/>
  <c r="H105"/>
  <c r="H86"/>
  <c r="H102"/>
  <c r="H88"/>
  <c r="H104"/>
  <c r="H85"/>
  <c r="H101"/>
  <c r="H82"/>
  <c r="H98"/>
  <c r="H84"/>
  <c r="H100"/>
  <c r="H103"/>
  <c r="H83"/>
  <c r="H81"/>
  <c r="H97"/>
  <c r="H110"/>
  <c r="H94"/>
  <c r="H80"/>
  <c r="H96"/>
  <c r="H87"/>
  <c r="H107"/>
  <c r="H93"/>
  <c r="H109"/>
  <c r="H90"/>
  <c r="H106"/>
  <c r="H92"/>
  <c r="H108"/>
  <c r="H91"/>
  <c r="H95"/>
  <c r="H79"/>
  <c r="H99"/>
  <c r="J87"/>
  <c r="J103"/>
  <c r="J88"/>
  <c r="J104"/>
  <c r="J90"/>
  <c r="J106"/>
  <c r="J105"/>
  <c r="J110"/>
  <c r="J97"/>
  <c r="J94"/>
  <c r="J85"/>
  <c r="J83"/>
  <c r="J99"/>
  <c r="J84"/>
  <c r="J100"/>
  <c r="J86"/>
  <c r="J102"/>
  <c r="J109"/>
  <c r="J93"/>
  <c r="J79"/>
  <c r="J95"/>
  <c r="J80"/>
  <c r="J96"/>
  <c r="J82"/>
  <c r="J98"/>
  <c r="J101"/>
  <c r="J91"/>
  <c r="J107"/>
  <c r="J92"/>
  <c r="J108"/>
  <c r="J81"/>
  <c r="J89"/>
  <c r="O88"/>
  <c r="O104"/>
  <c r="O85"/>
  <c r="O101"/>
  <c r="O87"/>
  <c r="O103"/>
  <c r="O110"/>
  <c r="O102"/>
  <c r="O93"/>
  <c r="O90"/>
  <c r="O105"/>
  <c r="O82"/>
  <c r="O84"/>
  <c r="O100"/>
  <c r="O81"/>
  <c r="O97"/>
  <c r="O83"/>
  <c r="O99"/>
  <c r="O106"/>
  <c r="O86"/>
  <c r="O80"/>
  <c r="O96"/>
  <c r="O109"/>
  <c r="O79"/>
  <c r="O95"/>
  <c r="O94"/>
  <c r="O92"/>
  <c r="O108"/>
  <c r="O89"/>
  <c r="O91"/>
  <c r="O107"/>
  <c r="O98"/>
  <c r="W88"/>
  <c r="W104"/>
  <c r="W89"/>
  <c r="W105"/>
  <c r="W87"/>
  <c r="W103"/>
  <c r="W110"/>
  <c r="W94"/>
  <c r="W108"/>
  <c r="W91"/>
  <c r="W86"/>
  <c r="W106"/>
  <c r="W84"/>
  <c r="W100"/>
  <c r="W85"/>
  <c r="W101"/>
  <c r="W83"/>
  <c r="W99"/>
  <c r="W98"/>
  <c r="W90"/>
  <c r="W80"/>
  <c r="W96"/>
  <c r="W81"/>
  <c r="W97"/>
  <c r="W79"/>
  <c r="W95"/>
  <c r="W82"/>
  <c r="W102"/>
  <c r="W92"/>
  <c r="W93"/>
  <c r="W109"/>
  <c r="W107"/>
  <c r="M90"/>
  <c r="M106"/>
  <c r="M83"/>
  <c r="M99"/>
  <c r="M89"/>
  <c r="M105"/>
  <c r="M100"/>
  <c r="M109"/>
  <c r="M91"/>
  <c r="M96"/>
  <c r="M110"/>
  <c r="M93"/>
  <c r="M104"/>
  <c r="M86"/>
  <c r="M102"/>
  <c r="M79"/>
  <c r="M95"/>
  <c r="M85"/>
  <c r="M101"/>
  <c r="M84"/>
  <c r="M108"/>
  <c r="M82"/>
  <c r="M98"/>
  <c r="M107"/>
  <c r="M81"/>
  <c r="M97"/>
  <c r="M92"/>
  <c r="M94"/>
  <c r="M87"/>
  <c r="M103"/>
  <c r="M80"/>
  <c r="M88"/>
  <c r="F91"/>
  <c r="F107"/>
  <c r="F88"/>
  <c r="F104"/>
  <c r="F94"/>
  <c r="F93"/>
  <c r="F110"/>
  <c r="F109"/>
  <c r="F83"/>
  <c r="F99"/>
  <c r="F80"/>
  <c r="F86"/>
  <c r="F102"/>
  <c r="F81"/>
  <c r="F79"/>
  <c r="F108"/>
  <c r="F92"/>
  <c r="F98"/>
  <c r="F87"/>
  <c r="F103"/>
  <c r="F84"/>
  <c r="F100"/>
  <c r="F90"/>
  <c r="F106"/>
  <c r="F97"/>
  <c r="F101"/>
  <c r="F96"/>
  <c r="F105"/>
  <c r="F95"/>
  <c r="F82"/>
  <c r="F85"/>
  <c r="F89"/>
  <c r="X89"/>
  <c r="X105"/>
  <c r="X90"/>
  <c r="X106"/>
  <c r="X88"/>
  <c r="X104"/>
  <c r="X91"/>
  <c r="X99"/>
  <c r="X109"/>
  <c r="X85"/>
  <c r="X101"/>
  <c r="X86"/>
  <c r="X102"/>
  <c r="X84"/>
  <c r="X100"/>
  <c r="X95"/>
  <c r="X83"/>
  <c r="X81"/>
  <c r="X97"/>
  <c r="X82"/>
  <c r="X98"/>
  <c r="X80"/>
  <c r="X96"/>
  <c r="X103"/>
  <c r="X79"/>
  <c r="X93"/>
  <c r="X94"/>
  <c r="X110"/>
  <c r="X92"/>
  <c r="X87"/>
  <c r="X107"/>
  <c r="X108"/>
  <c r="V91"/>
  <c r="V107"/>
  <c r="V88"/>
  <c r="V104"/>
  <c r="V94"/>
  <c r="V93"/>
  <c r="V97"/>
  <c r="V105"/>
  <c r="V89"/>
  <c r="V83"/>
  <c r="V99"/>
  <c r="V80"/>
  <c r="V86"/>
  <c r="V102"/>
  <c r="V85"/>
  <c r="V79"/>
  <c r="V108"/>
  <c r="V82"/>
  <c r="V98"/>
  <c r="V110"/>
  <c r="V87"/>
  <c r="V103"/>
  <c r="V84"/>
  <c r="V100"/>
  <c r="V90"/>
  <c r="V106"/>
  <c r="V81"/>
  <c r="V96"/>
  <c r="V109"/>
  <c r="V95"/>
  <c r="V92"/>
  <c r="V101"/>
  <c r="L89"/>
  <c r="L105"/>
  <c r="L90"/>
  <c r="L106"/>
  <c r="L88"/>
  <c r="L104"/>
  <c r="L99"/>
  <c r="L87"/>
  <c r="L91"/>
  <c r="L93"/>
  <c r="L110"/>
  <c r="L79"/>
  <c r="L103"/>
  <c r="L85"/>
  <c r="L101"/>
  <c r="L86"/>
  <c r="L102"/>
  <c r="L84"/>
  <c r="L100"/>
  <c r="L107"/>
  <c r="L83"/>
  <c r="L81"/>
  <c r="L97"/>
  <c r="L82"/>
  <c r="L98"/>
  <c r="L80"/>
  <c r="L96"/>
  <c r="L95"/>
  <c r="L109"/>
  <c r="L94"/>
  <c r="L92"/>
  <c r="L108"/>
  <c r="T93"/>
  <c r="T109"/>
  <c r="T90"/>
  <c r="T106"/>
  <c r="T92"/>
  <c r="T83"/>
  <c r="T103"/>
  <c r="T91"/>
  <c r="T89"/>
  <c r="T105"/>
  <c r="T86"/>
  <c r="T102"/>
  <c r="T88"/>
  <c r="T104"/>
  <c r="T95"/>
  <c r="T85"/>
  <c r="T101"/>
  <c r="T82"/>
  <c r="T98"/>
  <c r="T84"/>
  <c r="T100"/>
  <c r="T107"/>
  <c r="T79"/>
  <c r="T81"/>
  <c r="T97"/>
  <c r="T110"/>
  <c r="T94"/>
  <c r="T80"/>
  <c r="T96"/>
  <c r="T99"/>
  <c r="T108"/>
  <c r="T87"/>
  <c r="K88"/>
  <c r="K104"/>
  <c r="K89"/>
  <c r="K105"/>
  <c r="K87"/>
  <c r="K103"/>
  <c r="K90"/>
  <c r="K82"/>
  <c r="K79"/>
  <c r="K86"/>
  <c r="K84"/>
  <c r="K100"/>
  <c r="K85"/>
  <c r="K101"/>
  <c r="K83"/>
  <c r="K99"/>
  <c r="K102"/>
  <c r="K110"/>
  <c r="K80"/>
  <c r="K96"/>
  <c r="K81"/>
  <c r="K97"/>
  <c r="K95"/>
  <c r="K94"/>
  <c r="K92"/>
  <c r="K108"/>
  <c r="K93"/>
  <c r="K109"/>
  <c r="K91"/>
  <c r="K107"/>
  <c r="K106"/>
  <c r="K98"/>
  <c r="S92"/>
  <c r="S108"/>
  <c r="S89"/>
  <c r="S105"/>
  <c r="S91"/>
  <c r="S107"/>
  <c r="S98"/>
  <c r="S110"/>
  <c r="S88"/>
  <c r="S104"/>
  <c r="S85"/>
  <c r="S87"/>
  <c r="S82"/>
  <c r="S106"/>
  <c r="S84"/>
  <c r="S100"/>
  <c r="S81"/>
  <c r="S97"/>
  <c r="S83"/>
  <c r="S99"/>
  <c r="S86"/>
  <c r="S90"/>
  <c r="S80"/>
  <c r="S96"/>
  <c r="S109"/>
  <c r="S93"/>
  <c r="S79"/>
  <c r="S95"/>
  <c r="S94"/>
  <c r="S102"/>
  <c r="S101"/>
  <c r="S103"/>
  <c r="R91"/>
  <c r="R107"/>
  <c r="R92"/>
  <c r="R108"/>
  <c r="R94"/>
  <c r="R89"/>
  <c r="R81"/>
  <c r="R97"/>
  <c r="R87"/>
  <c r="R88"/>
  <c r="R104"/>
  <c r="R93"/>
  <c r="R83"/>
  <c r="R99"/>
  <c r="R84"/>
  <c r="R100"/>
  <c r="R86"/>
  <c r="R102"/>
  <c r="R109"/>
  <c r="R101"/>
  <c r="R79"/>
  <c r="R95"/>
  <c r="R80"/>
  <c r="R96"/>
  <c r="R82"/>
  <c r="R98"/>
  <c r="R105"/>
  <c r="R85"/>
  <c r="R103"/>
  <c r="R90"/>
  <c r="R106"/>
  <c r="R110"/>
  <c r="I94"/>
  <c r="I110"/>
  <c r="I91"/>
  <c r="I107"/>
  <c r="I93"/>
  <c r="I92"/>
  <c r="I109"/>
  <c r="I104"/>
  <c r="I90"/>
  <c r="I106"/>
  <c r="I89"/>
  <c r="I96"/>
  <c r="I86"/>
  <c r="I102"/>
  <c r="I83"/>
  <c r="I99"/>
  <c r="I85"/>
  <c r="I101"/>
  <c r="I80"/>
  <c r="I100"/>
  <c r="I82"/>
  <c r="I98"/>
  <c r="I79"/>
  <c r="I95"/>
  <c r="I81"/>
  <c r="I97"/>
  <c r="I108"/>
  <c r="I84"/>
  <c r="I87"/>
  <c r="I103"/>
  <c r="I105"/>
  <c r="I88"/>
  <c r="Q94"/>
  <c r="Q110"/>
  <c r="Q91"/>
  <c r="Q107"/>
  <c r="Q93"/>
  <c r="Q84"/>
  <c r="Q104"/>
  <c r="Q96"/>
  <c r="Q86"/>
  <c r="Q102"/>
  <c r="Q83"/>
  <c r="Q99"/>
  <c r="Q101"/>
  <c r="Q108"/>
  <c r="Q82"/>
  <c r="Q79"/>
  <c r="Q95"/>
  <c r="Q81"/>
  <c r="Q100"/>
  <c r="Q109"/>
  <c r="Q90"/>
  <c r="Q106"/>
  <c r="Q87"/>
  <c r="Q103"/>
  <c r="Q89"/>
  <c r="Q105"/>
  <c r="Q88"/>
  <c r="Q80"/>
  <c r="Q85"/>
  <c r="Q92"/>
  <c r="Q98"/>
  <c r="Q97"/>
  <c r="P89"/>
  <c r="P105"/>
  <c r="P82"/>
  <c r="P98"/>
  <c r="P88"/>
  <c r="P104"/>
  <c r="P87"/>
  <c r="P91"/>
  <c r="P80"/>
  <c r="P79"/>
  <c r="P109"/>
  <c r="P107"/>
  <c r="P85"/>
  <c r="P101"/>
  <c r="P110"/>
  <c r="P94"/>
  <c r="P84"/>
  <c r="P100"/>
  <c r="P95"/>
  <c r="P99"/>
  <c r="P81"/>
  <c r="P97"/>
  <c r="P106"/>
  <c r="P90"/>
  <c r="P96"/>
  <c r="P83"/>
  <c r="P93"/>
  <c r="P86"/>
  <c r="P102"/>
  <c r="P92"/>
  <c r="P108"/>
  <c r="P103"/>
  <c r="G92"/>
  <c r="G108"/>
  <c r="G89"/>
  <c r="G105"/>
  <c r="G91"/>
  <c r="G107"/>
  <c r="G90"/>
  <c r="G94"/>
  <c r="G106"/>
  <c r="G84"/>
  <c r="G100"/>
  <c r="G97"/>
  <c r="G98"/>
  <c r="G102"/>
  <c r="G96"/>
  <c r="G93"/>
  <c r="G79"/>
  <c r="G95"/>
  <c r="G82"/>
  <c r="G86"/>
  <c r="G88"/>
  <c r="G104"/>
  <c r="G85"/>
  <c r="G101"/>
  <c r="G87"/>
  <c r="G103"/>
  <c r="G110"/>
  <c r="G81"/>
  <c r="G83"/>
  <c r="G99"/>
  <c r="G80"/>
  <c r="G109"/>
  <c r="U90"/>
  <c r="U106"/>
  <c r="U83"/>
  <c r="U99"/>
  <c r="U89"/>
  <c r="U105"/>
  <c r="U92"/>
  <c r="U100"/>
  <c r="U96"/>
  <c r="U110"/>
  <c r="U93"/>
  <c r="U109"/>
  <c r="U86"/>
  <c r="U102"/>
  <c r="U79"/>
  <c r="U95"/>
  <c r="U85"/>
  <c r="U101"/>
  <c r="U108"/>
  <c r="U84"/>
  <c r="U82"/>
  <c r="U98"/>
  <c r="U107"/>
  <c r="U91"/>
  <c r="U81"/>
  <c r="U97"/>
  <c r="U104"/>
  <c r="U94"/>
  <c r="U87"/>
  <c r="U103"/>
  <c r="U88"/>
  <c r="U80"/>
  <c r="N91"/>
  <c r="N107"/>
  <c r="N88"/>
  <c r="N104"/>
  <c r="N94"/>
  <c r="N85"/>
  <c r="N109"/>
  <c r="N97"/>
  <c r="N80"/>
  <c r="N96"/>
  <c r="N102"/>
  <c r="N105"/>
  <c r="N79"/>
  <c r="N108"/>
  <c r="N82"/>
  <c r="N98"/>
  <c r="N89"/>
  <c r="N87"/>
  <c r="N103"/>
  <c r="N84"/>
  <c r="N100"/>
  <c r="N90"/>
  <c r="N106"/>
  <c r="N93"/>
  <c r="N81"/>
  <c r="N83"/>
  <c r="N99"/>
  <c r="N86"/>
  <c r="N110"/>
  <c r="N95"/>
  <c r="N92"/>
  <c r="N101"/>
  <c r="I73"/>
  <c r="X73"/>
  <c r="V73"/>
  <c r="P73"/>
  <c r="N73"/>
  <c r="K73"/>
  <c r="W73"/>
  <c r="R73"/>
  <c r="Q73"/>
  <c r="T73"/>
  <c r="J73"/>
  <c r="S73"/>
  <c r="M73"/>
  <c r="U73"/>
  <c r="E69"/>
  <c r="E162"/>
  <c r="Y55"/>
  <c r="E164"/>
  <c r="E71"/>
  <c r="Y57"/>
  <c r="H73"/>
  <c r="G73"/>
  <c r="O73"/>
  <c r="F73"/>
  <c r="L73"/>
  <c r="Q15" i="13"/>
  <c r="Q16"/>
  <c r="Q14"/>
  <c r="O15"/>
  <c r="O16"/>
  <c r="O14"/>
  <c r="L15"/>
  <c r="L16"/>
  <c r="L14"/>
  <c r="AH48"/>
  <c r="AB42"/>
  <c r="AB38"/>
  <c r="AB30"/>
  <c r="AB57"/>
  <c r="AA56"/>
  <c r="Y71" i="1" l="1"/>
  <c r="AE10" i="26" s="1"/>
  <c r="K10"/>
  <c r="Y69" i="1"/>
  <c r="AE8" i="26" s="1"/>
  <c r="K8"/>
  <c r="AB62" i="13"/>
  <c r="AW34"/>
  <c r="AZ34" s="1"/>
  <c r="AW28"/>
  <c r="AZ28" s="1"/>
  <c r="AW31"/>
  <c r="AZ31" s="1"/>
  <c r="AB43"/>
  <c r="AB35"/>
  <c r="AW22"/>
  <c r="AZ22" s="1"/>
  <c r="AW24"/>
  <c r="AZ24" s="1"/>
  <c r="AW26"/>
  <c r="AZ26" s="1"/>
  <c r="T2"/>
  <c r="O61"/>
  <c r="O62"/>
  <c r="L61"/>
  <c r="S5"/>
  <c r="S67" s="1"/>
  <c r="AB48" l="1"/>
  <c r="AW23"/>
  <c r="AZ23" s="1"/>
  <c r="AW25"/>
  <c r="AZ25" s="1"/>
  <c r="AW27"/>
  <c r="AZ27" s="1"/>
  <c r="L62"/>
  <c r="K57"/>
  <c r="O57" s="1"/>
  <c r="L57" l="1"/>
  <c r="O56"/>
  <c r="L56"/>
  <c r="O55"/>
  <c r="L55"/>
  <c r="O54"/>
  <c r="L54"/>
  <c r="O53"/>
  <c r="L53"/>
  <c r="O52"/>
  <c r="L52"/>
  <c r="O41" l="1"/>
  <c r="L41"/>
  <c r="O40"/>
  <c r="L40"/>
  <c r="O39"/>
  <c r="L39"/>
  <c r="L38"/>
  <c r="O38"/>
  <c r="S4"/>
  <c r="T1"/>
  <c r="T16" l="1"/>
  <c r="T15"/>
  <c r="T14"/>
  <c r="S15"/>
  <c r="S16"/>
  <c r="S14"/>
  <c r="T55"/>
  <c r="T61"/>
  <c r="T62"/>
  <c r="T52"/>
  <c r="T56"/>
  <c r="T40"/>
  <c r="T57"/>
  <c r="T54"/>
  <c r="T53"/>
  <c r="T41"/>
  <c r="T38"/>
  <c r="T39"/>
  <c r="Q8"/>
  <c r="M15" i="14" l="1"/>
  <c r="M17"/>
  <c r="M19"/>
  <c r="K18"/>
  <c r="M14"/>
  <c r="K14"/>
  <c r="L15"/>
  <c r="L17"/>
  <c r="L19"/>
  <c r="K17"/>
  <c r="M18"/>
  <c r="L14"/>
  <c r="L16"/>
  <c r="L18"/>
  <c r="K15"/>
  <c r="K19"/>
  <c r="M16"/>
  <c r="K16"/>
  <c r="BF14" i="13"/>
  <c r="BG14" s="1"/>
  <c r="BQ14" s="1"/>
  <c r="BF17"/>
  <c r="BG17" s="1"/>
  <c r="BQ17" s="1"/>
  <c r="BF20"/>
  <c r="BG20" s="1"/>
  <c r="BQ20" s="1"/>
  <c r="AX13"/>
  <c r="BZ13" s="1"/>
  <c r="AX16"/>
  <c r="BZ16" s="1"/>
  <c r="AX19"/>
  <c r="BZ19" s="1"/>
  <c r="BF13"/>
  <c r="BG13" s="1"/>
  <c r="BQ13" s="1"/>
  <c r="BF16"/>
  <c r="BG16" s="1"/>
  <c r="BQ16" s="1"/>
  <c r="BF19"/>
  <c r="BG19" s="1"/>
  <c r="BQ19" s="1"/>
  <c r="AX14"/>
  <c r="BZ14" s="1"/>
  <c r="AX17"/>
  <c r="BZ17" s="1"/>
  <c r="AX20"/>
  <c r="BZ20" s="1"/>
  <c r="BF15"/>
  <c r="BG15" s="1"/>
  <c r="BQ15" s="1"/>
  <c r="BF18"/>
  <c r="BG18" s="1"/>
  <c r="BQ18" s="1"/>
  <c r="BF21"/>
  <c r="BG21" s="1"/>
  <c r="BQ21" s="1"/>
  <c r="AX15"/>
  <c r="BZ15" s="1"/>
  <c r="AX18"/>
  <c r="BZ18" s="1"/>
  <c r="AX21"/>
  <c r="BZ21" s="1"/>
  <c r="AG66"/>
  <c r="AG60"/>
  <c r="AG47"/>
  <c r="AG59"/>
  <c r="AG46"/>
  <c r="AG34"/>
  <c r="AG29"/>
  <c r="AG53"/>
  <c r="AG40"/>
  <c r="AG52"/>
  <c r="AG61"/>
  <c r="AG32"/>
  <c r="AG56"/>
  <c r="AG55"/>
  <c r="AG38"/>
  <c r="AG54"/>
  <c r="AG39"/>
  <c r="AG45"/>
  <c r="AG33"/>
  <c r="AG42"/>
  <c r="AG41"/>
  <c r="AG26"/>
  <c r="AG28"/>
  <c r="AG27"/>
  <c r="AG25"/>
  <c r="R62"/>
  <c r="S62" s="1"/>
  <c r="R61"/>
  <c r="S61" s="1"/>
  <c r="T58"/>
  <c r="Q61"/>
  <c r="Q62"/>
  <c r="Q57"/>
  <c r="R57"/>
  <c r="S57" s="1"/>
  <c r="R54"/>
  <c r="S54" s="1"/>
  <c r="Q56"/>
  <c r="Q53"/>
  <c r="R56"/>
  <c r="S56" s="1"/>
  <c r="R55"/>
  <c r="S55" s="1"/>
  <c r="R53"/>
  <c r="S53" s="1"/>
  <c r="R52"/>
  <c r="S52" s="1"/>
  <c r="Q55"/>
  <c r="Q54"/>
  <c r="Q52"/>
  <c r="Q41"/>
  <c r="Q40"/>
  <c r="Q39"/>
  <c r="R28"/>
  <c r="S28" s="1"/>
  <c r="Q27"/>
  <c r="Q38"/>
  <c r="R25"/>
  <c r="R27"/>
  <c r="S27" s="1"/>
  <c r="R41"/>
  <c r="S41" s="1"/>
  <c r="R40"/>
  <c r="S40" s="1"/>
  <c r="R39"/>
  <c r="S39" s="1"/>
  <c r="R38"/>
  <c r="R29"/>
  <c r="S29" s="1"/>
  <c r="Q28"/>
  <c r="R26"/>
  <c r="S26" s="1"/>
  <c r="Q29"/>
  <c r="Q26"/>
  <c r="Q25"/>
  <c r="T42"/>
  <c r="L26"/>
  <c r="T26" s="1"/>
  <c r="L27"/>
  <c r="T27" s="1"/>
  <c r="L28"/>
  <c r="T28" s="1"/>
  <c r="L29"/>
  <c r="T29" s="1"/>
  <c r="L25"/>
  <c r="T25" s="1"/>
  <c r="O29"/>
  <c r="O28"/>
  <c r="O27"/>
  <c r="O26"/>
  <c r="BY19" l="1"/>
  <c r="BY14"/>
  <c r="BY18"/>
  <c r="BY17"/>
  <c r="BY16"/>
  <c r="BY15"/>
  <c r="BY21"/>
  <c r="BY13"/>
  <c r="BY20"/>
  <c r="S38"/>
  <c r="R42"/>
  <c r="N25" i="14" s="1"/>
  <c r="BC30" i="13"/>
  <c r="BR30" s="1"/>
  <c r="BT30" s="1"/>
  <c r="I25" i="6" s="1"/>
  <c r="BC33" i="13"/>
  <c r="BR33" s="1"/>
  <c r="BT33" s="1"/>
  <c r="I28" i="6" s="1"/>
  <c r="BC36" i="13"/>
  <c r="BR36" s="1"/>
  <c r="BT36" s="1"/>
  <c r="I31" i="6" s="1"/>
  <c r="S25" i="13"/>
  <c r="S30" s="1"/>
  <c r="R30"/>
  <c r="N24" i="14" s="1"/>
  <c r="E11" i="6"/>
  <c r="BX16" i="13"/>
  <c r="E11" i="17"/>
  <c r="E16" i="6"/>
  <c r="BX21" i="13"/>
  <c r="E16" i="17"/>
  <c r="E8" i="6"/>
  <c r="BX13" i="13"/>
  <c r="E8" i="17"/>
  <c r="E15" i="6"/>
  <c r="BX20" i="13"/>
  <c r="E15" i="17"/>
  <c r="E13" i="6"/>
  <c r="E13" i="17"/>
  <c r="BX18" i="13"/>
  <c r="E12" i="6"/>
  <c r="BX17" i="13"/>
  <c r="E12" i="17"/>
  <c r="E10" i="6"/>
  <c r="BX15" i="13"/>
  <c r="E10" i="17"/>
  <c r="E14" i="6"/>
  <c r="BX19" i="13"/>
  <c r="E14" i="17"/>
  <c r="E9" i="6"/>
  <c r="E9" i="17"/>
  <c r="BX14" i="13"/>
  <c r="J42"/>
  <c r="AS23"/>
  <c r="T63"/>
  <c r="J63" s="1"/>
  <c r="J58"/>
  <c r="BA15"/>
  <c r="BB15" s="1"/>
  <c r="CN15" s="1"/>
  <c r="AY15"/>
  <c r="CA15" s="1"/>
  <c r="CJ15" s="1"/>
  <c r="BA20"/>
  <c r="BB20" s="1"/>
  <c r="CN20" s="1"/>
  <c r="AY20"/>
  <c r="CA20" s="1"/>
  <c r="CJ20" s="1"/>
  <c r="BA13"/>
  <c r="BB13" s="1"/>
  <c r="CN13" s="1"/>
  <c r="AY13"/>
  <c r="CA13" s="1"/>
  <c r="CJ13" s="1"/>
  <c r="BA17"/>
  <c r="BB17" s="1"/>
  <c r="CN17" s="1"/>
  <c r="AY17"/>
  <c r="CA17" s="1"/>
  <c r="CJ17" s="1"/>
  <c r="BA21"/>
  <c r="BB21" s="1"/>
  <c r="CN21" s="1"/>
  <c r="AY21"/>
  <c r="CA21" s="1"/>
  <c r="CJ21" s="1"/>
  <c r="BA14"/>
  <c r="BB14" s="1"/>
  <c r="CN14" s="1"/>
  <c r="AY14"/>
  <c r="CA14" s="1"/>
  <c r="CJ14" s="1"/>
  <c r="BA19"/>
  <c r="BB19" s="1"/>
  <c r="CN19" s="1"/>
  <c r="AY19"/>
  <c r="CA19" s="1"/>
  <c r="CJ19" s="1"/>
  <c r="BA18"/>
  <c r="BB18" s="1"/>
  <c r="CN18" s="1"/>
  <c r="AY18"/>
  <c r="CA18" s="1"/>
  <c r="CJ18" s="1"/>
  <c r="BA16"/>
  <c r="BB16" s="1"/>
  <c r="CN16" s="1"/>
  <c r="AY16"/>
  <c r="CA16" s="1"/>
  <c r="CJ16" s="1"/>
  <c r="AG35"/>
  <c r="AG43"/>
  <c r="AG62"/>
  <c r="AG48"/>
  <c r="AG57"/>
  <c r="AG30"/>
  <c r="S58"/>
  <c r="S42"/>
  <c r="T30"/>
  <c r="O25"/>
  <c r="CL17" l="1"/>
  <c r="CP17" s="1"/>
  <c r="CL15"/>
  <c r="CL13"/>
  <c r="CK16"/>
  <c r="CK19"/>
  <c r="CS19" s="1"/>
  <c r="B14" i="21"/>
  <c r="CK21" i="13"/>
  <c r="CS21" s="1"/>
  <c r="B16" i="21"/>
  <c r="CK13" i="13"/>
  <c r="CS13" s="1"/>
  <c r="B8" i="21"/>
  <c r="CK15" i="13"/>
  <c r="CS15" s="1"/>
  <c r="B10" i="21"/>
  <c r="CK18" i="13"/>
  <c r="CK14"/>
  <c r="CS14" s="1"/>
  <c r="B9" i="21"/>
  <c r="CK17" i="13"/>
  <c r="CK20"/>
  <c r="CS20" s="1"/>
  <c r="B15" i="21"/>
  <c r="CL21" i="13"/>
  <c r="CL16"/>
  <c r="CL14"/>
  <c r="CL19"/>
  <c r="CL18"/>
  <c r="CL20"/>
  <c r="BC34"/>
  <c r="BR34" s="1"/>
  <c r="BT34" s="1"/>
  <c r="I29" i="6" s="1"/>
  <c r="BC31" i="13"/>
  <c r="BR31" s="1"/>
  <c r="BT31" s="1"/>
  <c r="I26" i="6" s="1"/>
  <c r="BC28" i="13"/>
  <c r="BR28" s="1"/>
  <c r="BT28" s="1"/>
  <c r="I23" i="6" s="1"/>
  <c r="BE31" i="13"/>
  <c r="BE28"/>
  <c r="BE34"/>
  <c r="BE23"/>
  <c r="BE25"/>
  <c r="BE27"/>
  <c r="BC23"/>
  <c r="BR23" s="1"/>
  <c r="BT23" s="1"/>
  <c r="I18" i="6" s="1"/>
  <c r="BC25" i="13"/>
  <c r="BR25" s="1"/>
  <c r="BT25" s="1"/>
  <c r="I20" i="6" s="1"/>
  <c r="BC27" i="13"/>
  <c r="BR27" s="1"/>
  <c r="BT27" s="1"/>
  <c r="I22" i="6" s="1"/>
  <c r="BE22" i="13"/>
  <c r="BE26"/>
  <c r="BE24"/>
  <c r="BC22"/>
  <c r="BR22" s="1"/>
  <c r="BT22" s="1"/>
  <c r="I17" i="6" s="1"/>
  <c r="BC24" i="13"/>
  <c r="BR24" s="1"/>
  <c r="BT24" s="1"/>
  <c r="I19" i="6" s="1"/>
  <c r="BC26" i="13"/>
  <c r="BR26" s="1"/>
  <c r="BT26" s="1"/>
  <c r="I21" i="6" s="1"/>
  <c r="C11"/>
  <c r="C11" i="17"/>
  <c r="C14" i="6"/>
  <c r="C14" i="17"/>
  <c r="C16" i="6"/>
  <c r="C16" i="17"/>
  <c r="C8" i="6"/>
  <c r="C8" i="17"/>
  <c r="C10" i="6"/>
  <c r="C10" i="17"/>
  <c r="C13" i="6"/>
  <c r="C13" i="17"/>
  <c r="C9" i="6"/>
  <c r="C9" i="17"/>
  <c r="C12" i="6"/>
  <c r="C12" i="17"/>
  <c r="C15" i="6"/>
  <c r="C15" i="17"/>
  <c r="T65" i="13"/>
  <c r="J65" s="1"/>
  <c r="AS31" s="1"/>
  <c r="S63"/>
  <c r="BD34" s="1"/>
  <c r="AS25"/>
  <c r="BF23"/>
  <c r="BI23"/>
  <c r="BK23" s="1"/>
  <c r="F18" i="21" s="1"/>
  <c r="D18" i="23" s="1"/>
  <c r="AX23" i="13"/>
  <c r="BZ23" s="1"/>
  <c r="AV23"/>
  <c r="AT23"/>
  <c r="D18" i="21" s="1"/>
  <c r="B18" i="23" s="1"/>
  <c r="AS22" i="13"/>
  <c r="J30"/>
  <c r="AS28"/>
  <c r="AA55"/>
  <c r="AA54"/>
  <c r="AA53"/>
  <c r="AA52"/>
  <c r="CR16" l="1"/>
  <c r="CS16"/>
  <c r="B11" i="21" s="1"/>
  <c r="CR17" i="13"/>
  <c r="CS17"/>
  <c r="B12" i="21" s="1"/>
  <c r="CR18" i="13"/>
  <c r="CS18"/>
  <c r="B13" i="21" s="1"/>
  <c r="K13" s="1"/>
  <c r="I13" i="23" s="1"/>
  <c r="CO13" i="13"/>
  <c r="CR13"/>
  <c r="CO19"/>
  <c r="CR19"/>
  <c r="CO20"/>
  <c r="CR20"/>
  <c r="CO14"/>
  <c r="CR14"/>
  <c r="CO15"/>
  <c r="CR15"/>
  <c r="CO21"/>
  <c r="CR21"/>
  <c r="BG23"/>
  <c r="BQ23" s="1"/>
  <c r="BY23" s="1"/>
  <c r="CM15"/>
  <c r="CP15"/>
  <c r="CM13"/>
  <c r="CP13"/>
  <c r="CM19"/>
  <c r="CP19"/>
  <c r="CW17"/>
  <c r="CO17"/>
  <c r="CW18"/>
  <c r="CO18"/>
  <c r="CW16"/>
  <c r="CO16"/>
  <c r="CM18"/>
  <c r="CP18"/>
  <c r="CM21"/>
  <c r="CP21"/>
  <c r="K12" i="21"/>
  <c r="I12" i="23" s="1"/>
  <c r="G12" i="21"/>
  <c r="E12" i="23" s="1"/>
  <c r="E12" i="21"/>
  <c r="C12" i="23" s="1"/>
  <c r="G13" i="21"/>
  <c r="E13" i="23" s="1"/>
  <c r="E13" i="21"/>
  <c r="C13" i="23" s="1"/>
  <c r="K10" i="21"/>
  <c r="I10" i="23" s="1"/>
  <c r="E10" i="21"/>
  <c r="C10" i="23" s="1"/>
  <c r="G10" i="21"/>
  <c r="E10" i="23" s="1"/>
  <c r="K16" i="21"/>
  <c r="I16" i="23" s="1"/>
  <c r="G16" i="21"/>
  <c r="E16" i="23" s="1"/>
  <c r="E16" i="21"/>
  <c r="C16" i="23" s="1"/>
  <c r="K11" i="21"/>
  <c r="I11" i="23" s="1"/>
  <c r="G11" i="21"/>
  <c r="E11" i="23" s="1"/>
  <c r="E11" i="21"/>
  <c r="C11" i="23" s="1"/>
  <c r="CM20" i="13"/>
  <c r="CP20"/>
  <c r="CM16"/>
  <c r="CP16"/>
  <c r="CM17"/>
  <c r="CM14"/>
  <c r="CP14"/>
  <c r="K15" i="21"/>
  <c r="I15" i="23" s="1"/>
  <c r="G15" i="21"/>
  <c r="E15" i="23" s="1"/>
  <c r="E15" i="21"/>
  <c r="C15" i="23" s="1"/>
  <c r="K9" i="21"/>
  <c r="I9" i="23" s="1"/>
  <c r="G9" i="21"/>
  <c r="E9" i="23" s="1"/>
  <c r="E9" i="21"/>
  <c r="C9" i="23" s="1"/>
  <c r="K8" i="21"/>
  <c r="I8" i="23" s="1"/>
  <c r="G8" i="21"/>
  <c r="E8" i="23" s="1"/>
  <c r="E8" i="21"/>
  <c r="C8" i="23" s="1"/>
  <c r="G14" i="21"/>
  <c r="E14" i="23" s="1"/>
  <c r="K14" i="21"/>
  <c r="I14" i="23" s="1"/>
  <c r="E14" i="21"/>
  <c r="C14" i="23" s="1"/>
  <c r="BD31" i="13"/>
  <c r="S65"/>
  <c r="BD30"/>
  <c r="BG30" s="1"/>
  <c r="BQ30" s="1"/>
  <c r="AV33"/>
  <c r="AX30"/>
  <c r="BZ30" s="1"/>
  <c r="AS34"/>
  <c r="AX34" s="1"/>
  <c r="BZ34" s="1"/>
  <c r="BI33"/>
  <c r="BK33" s="1"/>
  <c r="F28" i="21" s="1"/>
  <c r="D28" i="23" s="1"/>
  <c r="AX29" i="13"/>
  <c r="BZ29" s="1"/>
  <c r="AV30"/>
  <c r="E18" i="17"/>
  <c r="BD35" i="13"/>
  <c r="BG35" s="1"/>
  <c r="BQ35" s="1"/>
  <c r="BI32"/>
  <c r="BK32" s="1"/>
  <c r="F27" i="21" s="1"/>
  <c r="D27" i="23" s="1"/>
  <c r="AX36" i="13"/>
  <c r="BA36" s="1"/>
  <c r="BB36" s="1"/>
  <c r="D18" i="6"/>
  <c r="D18" i="17"/>
  <c r="BD29" i="13"/>
  <c r="BG29" s="1"/>
  <c r="BQ29" s="1"/>
  <c r="BI36"/>
  <c r="BK36" s="1"/>
  <c r="F31" i="21" s="1"/>
  <c r="D31" i="23" s="1"/>
  <c r="BI29" i="13"/>
  <c r="BK29" s="1"/>
  <c r="F24" i="21" s="1"/>
  <c r="D24" i="23" s="1"/>
  <c r="B18" i="6"/>
  <c r="B18" i="17"/>
  <c r="AV29" i="13"/>
  <c r="AX33"/>
  <c r="AV36"/>
  <c r="BD36"/>
  <c r="BG36" s="1"/>
  <c r="BQ36" s="1"/>
  <c r="BD32"/>
  <c r="BG32" s="1"/>
  <c r="BQ32" s="1"/>
  <c r="AX32"/>
  <c r="BI35"/>
  <c r="BK35" s="1"/>
  <c r="F30" i="21" s="1"/>
  <c r="D30" i="23" s="1"/>
  <c r="AV35" i="13"/>
  <c r="AX35"/>
  <c r="AY35" s="1"/>
  <c r="CA35" s="1"/>
  <c r="CJ35" s="1"/>
  <c r="AV32"/>
  <c r="BI30"/>
  <c r="BK30" s="1"/>
  <c r="F25" i="21" s="1"/>
  <c r="D25" i="23" s="1"/>
  <c r="BD33" i="13"/>
  <c r="BG33" s="1"/>
  <c r="BQ33" s="1"/>
  <c r="AS27"/>
  <c r="AV25"/>
  <c r="AX25"/>
  <c r="BZ25" s="1"/>
  <c r="BF25"/>
  <c r="BG25" s="1"/>
  <c r="BQ25" s="1"/>
  <c r="BI25"/>
  <c r="BK25" s="1"/>
  <c r="F20" i="21" s="1"/>
  <c r="D20" i="23" s="1"/>
  <c r="AT25" i="13"/>
  <c r="D20" i="21" s="1"/>
  <c r="B20" i="23" s="1"/>
  <c r="AT28" i="13"/>
  <c r="D23" i="21" s="1"/>
  <c r="B23" i="23" s="1"/>
  <c r="BF28" i="13"/>
  <c r="BG28" s="1"/>
  <c r="BQ28" s="1"/>
  <c r="BF34"/>
  <c r="BG34" s="1"/>
  <c r="BQ34" s="1"/>
  <c r="BI28"/>
  <c r="BK28" s="1"/>
  <c r="F23" i="21" s="1"/>
  <c r="D23" i="23" s="1"/>
  <c r="BF31" i="13"/>
  <c r="BG31" s="1"/>
  <c r="BQ31" s="1"/>
  <c r="AV28"/>
  <c r="AX28"/>
  <c r="BZ28" s="1"/>
  <c r="BA23"/>
  <c r="BB23" s="1"/>
  <c r="CN23" s="1"/>
  <c r="AY23"/>
  <c r="CA23" s="1"/>
  <c r="CJ23" s="1"/>
  <c r="BI31"/>
  <c r="BK31" s="1"/>
  <c r="F26" i="21" s="1"/>
  <c r="D26" i="23" s="1"/>
  <c r="AV31" i="13"/>
  <c r="AT31"/>
  <c r="D26" i="21" s="1"/>
  <c r="B26" i="23" s="1"/>
  <c r="AX31" i="13"/>
  <c r="BZ31" s="1"/>
  <c r="BF22"/>
  <c r="BG22" s="1"/>
  <c r="BQ22" s="1"/>
  <c r="AS24"/>
  <c r="BI22"/>
  <c r="BK22" s="1"/>
  <c r="F17" i="21" s="1"/>
  <c r="D17" i="23" s="1"/>
  <c r="AX22" i="13"/>
  <c r="BZ22" s="1"/>
  <c r="AV22"/>
  <c r="AT22"/>
  <c r="D17" i="21" s="1"/>
  <c r="B17" i="23" s="1"/>
  <c r="AT34" i="13"/>
  <c r="D29" i="21" s="1"/>
  <c r="B29" i="23" s="1"/>
  <c r="BE12" i="10"/>
  <c r="BE16"/>
  <c r="BE17"/>
  <c r="BM29"/>
  <c r="BM33"/>
  <c r="BM38"/>
  <c r="E60"/>
  <c r="E59"/>
  <c r="E58"/>
  <c r="E57"/>
  <c r="E56"/>
  <c r="E55"/>
  <c r="E54"/>
  <c r="E53"/>
  <c r="E52"/>
  <c r="E51"/>
  <c r="E50"/>
  <c r="B17" i="8"/>
  <c r="B18"/>
  <c r="B19"/>
  <c r="B20"/>
  <c r="B21"/>
  <c r="B22"/>
  <c r="B23"/>
  <c r="B24"/>
  <c r="B25"/>
  <c r="B26"/>
  <c r="B27"/>
  <c r="B4"/>
  <c r="B5"/>
  <c r="B6"/>
  <c r="B7"/>
  <c r="B8"/>
  <c r="B9"/>
  <c r="B10"/>
  <c r="B11"/>
  <c r="B12"/>
  <c r="B13"/>
  <c r="B14"/>
  <c r="B15"/>
  <c r="B16"/>
  <c r="B3"/>
  <c r="B2" i="6"/>
  <c r="BI34" i="13" l="1"/>
  <c r="BK34" s="1"/>
  <c r="F29" i="21" s="1"/>
  <c r="D29" i="23" s="1"/>
  <c r="AY29" i="13"/>
  <c r="CA29" s="1"/>
  <c r="CJ29" s="1"/>
  <c r="E18" i="6"/>
  <c r="BX23" i="13"/>
  <c r="CL23" s="1"/>
  <c r="BX30"/>
  <c r="D28" i="6"/>
  <c r="D28" i="17"/>
  <c r="BA29" i="13"/>
  <c r="BB29" s="1"/>
  <c r="CN29" s="1"/>
  <c r="CK23"/>
  <c r="CS23" s="1"/>
  <c r="B18" i="21" s="1"/>
  <c r="CK35" i="13"/>
  <c r="BY31"/>
  <c r="BY29"/>
  <c r="BY32"/>
  <c r="BY35"/>
  <c r="BY28"/>
  <c r="BY30"/>
  <c r="BY34"/>
  <c r="BY33"/>
  <c r="BY36"/>
  <c r="CN36"/>
  <c r="AY30"/>
  <c r="CA30" s="1"/>
  <c r="CJ30" s="1"/>
  <c r="BA30"/>
  <c r="BB30" s="1"/>
  <c r="C25" i="17" s="1"/>
  <c r="AV34" i="13"/>
  <c r="E25" i="17"/>
  <c r="E25" i="6"/>
  <c r="E17" i="17"/>
  <c r="BY22" i="13"/>
  <c r="BA33"/>
  <c r="BB33" s="1"/>
  <c r="C28" i="17" s="1"/>
  <c r="BZ33" i="13"/>
  <c r="BA32"/>
  <c r="BB32" s="1"/>
  <c r="C27" i="17" s="1"/>
  <c r="BZ32" i="13"/>
  <c r="E20" i="17"/>
  <c r="BY25" i="13"/>
  <c r="AY36"/>
  <c r="CA36" s="1"/>
  <c r="CJ36" s="1"/>
  <c r="BZ36"/>
  <c r="BA35"/>
  <c r="BB35" s="1"/>
  <c r="C30" i="17" s="1"/>
  <c r="BZ35" i="13"/>
  <c r="D17" i="6"/>
  <c r="D17" i="17"/>
  <c r="D26" i="6"/>
  <c r="D26" i="17"/>
  <c r="E23" i="6"/>
  <c r="E23" i="17"/>
  <c r="BX28" i="13"/>
  <c r="B20" i="6"/>
  <c r="B20" i="17"/>
  <c r="C31" i="6"/>
  <c r="C31" i="17"/>
  <c r="D25" i="6"/>
  <c r="D25" i="17"/>
  <c r="D30" i="6"/>
  <c r="D30" i="17"/>
  <c r="D31" i="6"/>
  <c r="D31" i="17"/>
  <c r="B17" i="6"/>
  <c r="B17" i="17"/>
  <c r="E26" i="6"/>
  <c r="E26" i="17"/>
  <c r="BX31" i="13"/>
  <c r="B23" i="6"/>
  <c r="B23" i="17"/>
  <c r="D20" i="6"/>
  <c r="D20" i="17"/>
  <c r="C28" i="6"/>
  <c r="E24"/>
  <c r="BX29" i="13"/>
  <c r="E24" i="17"/>
  <c r="D27" i="6"/>
  <c r="D27" i="17"/>
  <c r="B26" i="6"/>
  <c r="B26" i="17"/>
  <c r="C18" i="6"/>
  <c r="C18" i="17"/>
  <c r="D23" i="6"/>
  <c r="D23" i="17"/>
  <c r="AY32" i="13"/>
  <c r="CA32" s="1"/>
  <c r="CJ32" s="1"/>
  <c r="E27" i="6"/>
  <c r="E27" i="17"/>
  <c r="BX32" i="13"/>
  <c r="E30" i="6"/>
  <c r="E30" i="17"/>
  <c r="BX35" i="13"/>
  <c r="CL35" s="1"/>
  <c r="B29" i="6"/>
  <c r="B29" i="17"/>
  <c r="E29" i="6"/>
  <c r="E29" i="17"/>
  <c r="BX34" i="13"/>
  <c r="E28" i="6"/>
  <c r="BX33" i="13"/>
  <c r="E28" i="17"/>
  <c r="E31" i="6"/>
  <c r="E31" i="17"/>
  <c r="BX36" i="13"/>
  <c r="D24" i="6"/>
  <c r="D24" i="17"/>
  <c r="E20" i="6"/>
  <c r="BX25" i="13"/>
  <c r="E17" i="6"/>
  <c r="BX22" i="13"/>
  <c r="AY33"/>
  <c r="CA33" s="1"/>
  <c r="CJ33" s="1"/>
  <c r="BA22"/>
  <c r="BB22" s="1"/>
  <c r="CN22" s="1"/>
  <c r="AY22"/>
  <c r="CA22" s="1"/>
  <c r="CJ22" s="1"/>
  <c r="AY31"/>
  <c r="CA31" s="1"/>
  <c r="CJ31" s="1"/>
  <c r="BA31"/>
  <c r="BB31" s="1"/>
  <c r="CN31" s="1"/>
  <c r="AX27"/>
  <c r="BZ27" s="1"/>
  <c r="BF27"/>
  <c r="BG27" s="1"/>
  <c r="BQ27" s="1"/>
  <c r="BI27"/>
  <c r="BK27" s="1"/>
  <c r="F22" i="21" s="1"/>
  <c r="D22" i="23" s="1"/>
  <c r="AV27" i="13"/>
  <c r="AT27"/>
  <c r="D22" i="21" s="1"/>
  <c r="B22" i="23" s="1"/>
  <c r="BA34" i="13"/>
  <c r="BB34" s="1"/>
  <c r="CN34" s="1"/>
  <c r="AY34"/>
  <c r="CA34" s="1"/>
  <c r="CJ34" s="1"/>
  <c r="BI24"/>
  <c r="BK24" s="1"/>
  <c r="F19" i="21" s="1"/>
  <c r="D19" i="23" s="1"/>
  <c r="AV24" i="13"/>
  <c r="AX24"/>
  <c r="BZ24" s="1"/>
  <c r="AS26"/>
  <c r="BF24"/>
  <c r="BG24" s="1"/>
  <c r="BQ24" s="1"/>
  <c r="AT24"/>
  <c r="D19" i="21" s="1"/>
  <c r="B19" i="23" s="1"/>
  <c r="BA28" i="13"/>
  <c r="BB28" s="1"/>
  <c r="CN28" s="1"/>
  <c r="AY28"/>
  <c r="CA28" s="1"/>
  <c r="CJ28" s="1"/>
  <c r="BA25"/>
  <c r="BB25" s="1"/>
  <c r="CN25" s="1"/>
  <c r="AY25"/>
  <c r="CA25" s="1"/>
  <c r="CJ25" s="1"/>
  <c r="B24" i="21" l="1"/>
  <c r="E24" s="1"/>
  <c r="C24" i="23" s="1"/>
  <c r="CS35" i="13"/>
  <c r="B30" i="21" s="1"/>
  <c r="CR35" i="13"/>
  <c r="CO23"/>
  <c r="CR23"/>
  <c r="D29" i="17"/>
  <c r="D29" i="6"/>
  <c r="CL30" i="13"/>
  <c r="CP30" s="1"/>
  <c r="CL29"/>
  <c r="CP29" s="1"/>
  <c r="CK29"/>
  <c r="CS29" s="1"/>
  <c r="C24" i="17"/>
  <c r="CN32" i="13"/>
  <c r="C24" i="6"/>
  <c r="CO35" i="13"/>
  <c r="CK33"/>
  <c r="CK22"/>
  <c r="CS22" s="1"/>
  <c r="CM35"/>
  <c r="CP35"/>
  <c r="CK32"/>
  <c r="CK36"/>
  <c r="CS36" s="1"/>
  <c r="B31" i="21"/>
  <c r="CK28" i="13"/>
  <c r="CS28" s="1"/>
  <c r="CK34"/>
  <c r="CS34" s="1"/>
  <c r="CK31"/>
  <c r="CM23"/>
  <c r="CP23"/>
  <c r="K18" i="21"/>
  <c r="I18" i="23" s="1"/>
  <c r="E18" i="21"/>
  <c r="C18" i="23" s="1"/>
  <c r="G18" i="21"/>
  <c r="E18" i="23" s="1"/>
  <c r="K30" i="21"/>
  <c r="I30" i="23" s="1"/>
  <c r="G30" i="21"/>
  <c r="E30" i="23" s="1"/>
  <c r="E30" i="21"/>
  <c r="C30" i="23" s="1"/>
  <c r="CK25" i="13"/>
  <c r="CK30"/>
  <c r="CS30" s="1"/>
  <c r="B25" i="21" s="1"/>
  <c r="CL36" i="13"/>
  <c r="K24" i="21"/>
  <c r="I24" i="23" s="1"/>
  <c r="G24" i="21"/>
  <c r="E24" i="23" s="1"/>
  <c r="CL22" i="13"/>
  <c r="CL32"/>
  <c r="CN33"/>
  <c r="CN30"/>
  <c r="CN35"/>
  <c r="CL34"/>
  <c r="CL31"/>
  <c r="CL28"/>
  <c r="CL25"/>
  <c r="CL33"/>
  <c r="C25" i="6"/>
  <c r="C30"/>
  <c r="C27"/>
  <c r="E19" i="17"/>
  <c r="BY24" i="13"/>
  <c r="E22" i="17"/>
  <c r="BY27" i="13"/>
  <c r="C23" i="6"/>
  <c r="C23" i="17"/>
  <c r="C29" i="6"/>
  <c r="C29" i="17"/>
  <c r="B19" i="6"/>
  <c r="B19" i="17"/>
  <c r="B22" i="6"/>
  <c r="B22" i="17"/>
  <c r="C17" i="6"/>
  <c r="C17" i="17"/>
  <c r="C20" i="6"/>
  <c r="C20" i="17"/>
  <c r="D19" i="6"/>
  <c r="D19" i="17"/>
  <c r="C26" i="6"/>
  <c r="C26" i="17"/>
  <c r="D22" i="6"/>
  <c r="D22" i="17"/>
  <c r="E22" i="6"/>
  <c r="BX27" i="13"/>
  <c r="E19" i="6"/>
  <c r="BX24" i="13"/>
  <c r="BF26"/>
  <c r="BG26" s="1"/>
  <c r="BQ26" s="1"/>
  <c r="BI26"/>
  <c r="BK26" s="1"/>
  <c r="F21" i="21" s="1"/>
  <c r="D21" i="23" s="1"/>
  <c r="AX26" i="13"/>
  <c r="BZ26" s="1"/>
  <c r="AV26"/>
  <c r="AT26"/>
  <c r="D21" i="21" s="1"/>
  <c r="B21" i="23" s="1"/>
  <c r="BA24" i="13"/>
  <c r="BB24" s="1"/>
  <c r="CN24" s="1"/>
  <c r="AY24"/>
  <c r="CA24" s="1"/>
  <c r="CJ24" s="1"/>
  <c r="BA27"/>
  <c r="BB27" s="1"/>
  <c r="CN27" s="1"/>
  <c r="AY27"/>
  <c r="CA27" s="1"/>
  <c r="CJ27" s="1"/>
  <c r="CR31" l="1"/>
  <c r="CS31"/>
  <c r="CR32"/>
  <c r="CS32"/>
  <c r="B27" i="21" s="1"/>
  <c r="E27" s="1"/>
  <c r="C27" i="23" s="1"/>
  <c r="CR25" i="13"/>
  <c r="CS25"/>
  <c r="B20" i="21" s="1"/>
  <c r="CR33" i="13"/>
  <c r="CS33"/>
  <c r="B28" i="21" s="1"/>
  <c r="G28" s="1"/>
  <c r="E28" i="23" s="1"/>
  <c r="CO36" i="13"/>
  <c r="CR36"/>
  <c r="CO29"/>
  <c r="CR29"/>
  <c r="CO34"/>
  <c r="CR34"/>
  <c r="CO30"/>
  <c r="CR30"/>
  <c r="CO28"/>
  <c r="CR28"/>
  <c r="CO22"/>
  <c r="CR22"/>
  <c r="CM29"/>
  <c r="CK27"/>
  <c r="CS27" s="1"/>
  <c r="B22" i="21"/>
  <c r="CM25" i="13"/>
  <c r="CP25"/>
  <c r="CM22"/>
  <c r="CP22"/>
  <c r="CM36"/>
  <c r="CP36"/>
  <c r="CW25"/>
  <c r="CO25"/>
  <c r="CW32"/>
  <c r="CO32"/>
  <c r="CW33"/>
  <c r="CO33"/>
  <c r="CM33"/>
  <c r="CP33"/>
  <c r="CM34"/>
  <c r="CP34"/>
  <c r="CM32"/>
  <c r="CP32"/>
  <c r="K20" i="21"/>
  <c r="I20" i="23" s="1"/>
  <c r="G20" i="21"/>
  <c r="E20" i="23" s="1"/>
  <c r="E20" i="21"/>
  <c r="C20" i="23" s="1"/>
  <c r="K31" i="21"/>
  <c r="I31" i="23" s="1"/>
  <c r="G31" i="21"/>
  <c r="E31" i="23" s="1"/>
  <c r="E31" i="21"/>
  <c r="C31" i="23" s="1"/>
  <c r="K27" i="21"/>
  <c r="I27" i="23" s="1"/>
  <c r="B17" i="21"/>
  <c r="B23"/>
  <c r="E28"/>
  <c r="C28" i="23" s="1"/>
  <c r="CM31" i="13"/>
  <c r="CP31"/>
  <c r="CW31"/>
  <c r="CO31"/>
  <c r="CM30"/>
  <c r="CK24"/>
  <c r="CM28"/>
  <c r="CP28"/>
  <c r="K25" i="21"/>
  <c r="I25" i="23" s="1"/>
  <c r="G25" i="21"/>
  <c r="E25" i="23" s="1"/>
  <c r="E25" i="21"/>
  <c r="C25" i="23" s="1"/>
  <c r="CL24" i="13"/>
  <c r="CL27"/>
  <c r="E21" i="17"/>
  <c r="BY26" i="13"/>
  <c r="C19" i="6"/>
  <c r="C19" i="17"/>
  <c r="D21" i="6"/>
  <c r="D21" i="17"/>
  <c r="B21" i="6"/>
  <c r="B21" i="17"/>
  <c r="C22" i="6"/>
  <c r="C22" i="17"/>
  <c r="E21" i="6"/>
  <c r="BX26" i="13"/>
  <c r="BA26"/>
  <c r="BB26" s="1"/>
  <c r="CN26" s="1"/>
  <c r="AY26"/>
  <c r="CA26" s="1"/>
  <c r="CJ26" s="1"/>
  <c r="K28" i="21" l="1"/>
  <c r="I28" i="23" s="1"/>
  <c r="G27" i="21"/>
  <c r="E27" i="23" s="1"/>
  <c r="CR24" i="13"/>
  <c r="CS24"/>
  <c r="CO27"/>
  <c r="CR27"/>
  <c r="B26" i="21"/>
  <c r="B19"/>
  <c r="K17"/>
  <c r="I17" i="23" s="1"/>
  <c r="G17" i="21"/>
  <c r="E17" i="23" s="1"/>
  <c r="E17" i="21"/>
  <c r="C17" i="23" s="1"/>
  <c r="K22" i="21"/>
  <c r="I22" i="23" s="1"/>
  <c r="G22" i="21"/>
  <c r="E22" i="23" s="1"/>
  <c r="E22" i="21"/>
  <c r="C22" i="23" s="1"/>
  <c r="CK26" i="13"/>
  <c r="CS26" s="1"/>
  <c r="CM24"/>
  <c r="CP24"/>
  <c r="K23" i="21"/>
  <c r="I23" i="23" s="1"/>
  <c r="G23" i="21"/>
  <c r="E23" i="23" s="1"/>
  <c r="E23" i="21"/>
  <c r="C23" i="23" s="1"/>
  <c r="CM27" i="13"/>
  <c r="CP27"/>
  <c r="CW24"/>
  <c r="CO24"/>
  <c r="CL26"/>
  <c r="C21" i="6"/>
  <c r="C21" i="17"/>
  <c r="CO26" i="13" l="1"/>
  <c r="CR26"/>
  <c r="G26" i="21"/>
  <c r="E26" i="23" s="1"/>
  <c r="E26" i="21"/>
  <c r="C26" i="23" s="1"/>
  <c r="K26" i="21"/>
  <c r="I26" i="23" s="1"/>
  <c r="K19" i="21"/>
  <c r="I19" i="23" s="1"/>
  <c r="G19" i="21"/>
  <c r="E19" i="23" s="1"/>
  <c r="E19" i="21"/>
  <c r="C19" i="23" s="1"/>
  <c r="CM26" i="13"/>
  <c r="CP26"/>
  <c r="B21" i="21"/>
  <c r="B29"/>
  <c r="K21" l="1"/>
  <c r="I21" i="23" s="1"/>
  <c r="G21" i="21"/>
  <c r="E21" i="23" s="1"/>
  <c r="E21" i="21"/>
  <c r="C21" i="23" s="1"/>
  <c r="K29" i="21"/>
  <c r="I29" i="23" s="1"/>
  <c r="G29" i="21"/>
  <c r="E29" i="23" s="1"/>
  <c r="E29" i="21"/>
  <c r="C29" i="23" s="1"/>
  <c r="Y42" i="1" l="1"/>
  <c r="E50"/>
  <c r="Y38"/>
  <c r="Y40"/>
  <c r="Y41"/>
  <c r="Y39"/>
  <c r="E59" l="1"/>
  <c r="E157"/>
  <c r="Y68"/>
  <c r="AE7" i="26" s="1"/>
  <c r="Y54" i="1"/>
  <c r="E64"/>
  <c r="Y50"/>
  <c r="Y65"/>
  <c r="AE4" i="26" s="1"/>
  <c r="Y51" i="1"/>
  <c r="Y67"/>
  <c r="AE6" i="26" s="1"/>
  <c r="Y53" i="1"/>
  <c r="Y66"/>
  <c r="AE5" i="26" s="1"/>
  <c r="Y52" i="1"/>
  <c r="Y64" l="1"/>
  <c r="AE3" i="26" s="1"/>
  <c r="K3"/>
  <c r="E73" i="1"/>
  <c r="E92"/>
  <c r="E108"/>
  <c r="E99"/>
  <c r="E103"/>
  <c r="E110"/>
  <c r="E82"/>
  <c r="E81"/>
  <c r="E106"/>
  <c r="E102"/>
  <c r="E98"/>
  <c r="E105"/>
  <c r="E84"/>
  <c r="E100"/>
  <c r="E87"/>
  <c r="E79"/>
  <c r="E116" s="1"/>
  <c r="E94"/>
  <c r="E93"/>
  <c r="E97"/>
  <c r="E80"/>
  <c r="E96"/>
  <c r="E83"/>
  <c r="E86"/>
  <c r="E85"/>
  <c r="E90"/>
  <c r="E89"/>
  <c r="E88"/>
  <c r="E104"/>
  <c r="E95"/>
  <c r="E91"/>
  <c r="E109"/>
  <c r="E101"/>
  <c r="E107"/>
  <c r="N167"/>
  <c r="N172"/>
  <c r="N173" s="1"/>
  <c r="N174" s="1"/>
  <c r="O172"/>
  <c r="O173" s="1"/>
  <c r="O174" s="1"/>
  <c r="O167"/>
  <c r="R172"/>
  <c r="R173" s="1"/>
  <c r="R174" s="1"/>
  <c r="R167"/>
  <c r="Q172"/>
  <c r="Q173" s="1"/>
  <c r="Q174" s="1"/>
  <c r="Q167"/>
  <c r="V167"/>
  <c r="V172"/>
  <c r="V173" s="1"/>
  <c r="V174" s="1"/>
  <c r="U124"/>
  <c r="U127"/>
  <c r="U116"/>
  <c r="U131"/>
  <c r="U142"/>
  <c r="P116"/>
  <c r="J132"/>
  <c r="J140"/>
  <c r="J124"/>
  <c r="J116"/>
  <c r="G172"/>
  <c r="G173" s="1"/>
  <c r="G174" s="1"/>
  <c r="G167"/>
  <c r="W172"/>
  <c r="W173" s="1"/>
  <c r="W174" s="1"/>
  <c r="W167"/>
  <c r="F167"/>
  <c r="F172"/>
  <c r="F173" s="1"/>
  <c r="F174" s="1"/>
  <c r="G116"/>
  <c r="G124"/>
  <c r="H172"/>
  <c r="H173" s="1"/>
  <c r="H174" s="1"/>
  <c r="H167"/>
  <c r="U167"/>
  <c r="U172"/>
  <c r="U173" s="1"/>
  <c r="U174" s="1"/>
  <c r="Q137"/>
  <c r="Q116"/>
  <c r="Q121"/>
  <c r="Q119"/>
  <c r="Q129"/>
  <c r="Q138"/>
  <c r="M167"/>
  <c r="M172"/>
  <c r="M173" s="1"/>
  <c r="M174" s="1"/>
  <c r="V116"/>
  <c r="L172"/>
  <c r="L173" s="1"/>
  <c r="L174" s="1"/>
  <c r="L167"/>
  <c r="W116"/>
  <c r="W138"/>
  <c r="F127"/>
  <c r="F138"/>
  <c r="F116"/>
  <c r="F146"/>
  <c r="F128"/>
  <c r="F121"/>
  <c r="N116"/>
  <c r="N146"/>
  <c r="N123"/>
  <c r="K116"/>
  <c r="K127"/>
  <c r="K143"/>
  <c r="K135"/>
  <c r="H116"/>
  <c r="T172"/>
  <c r="T173" s="1"/>
  <c r="T174" s="1"/>
  <c r="T167"/>
  <c r="M116"/>
  <c r="M140"/>
  <c r="M133"/>
  <c r="I172"/>
  <c r="I173" s="1"/>
  <c r="I174" s="1"/>
  <c r="I167"/>
  <c r="K172"/>
  <c r="K173" s="1"/>
  <c r="K174" s="1"/>
  <c r="K167"/>
  <c r="O116"/>
  <c r="S167"/>
  <c r="S172"/>
  <c r="S173" s="1"/>
  <c r="S174" s="1"/>
  <c r="L116"/>
  <c r="L137"/>
  <c r="L139"/>
  <c r="L129"/>
  <c r="L121"/>
  <c r="L126"/>
  <c r="L147"/>
  <c r="T134"/>
  <c r="T131"/>
  <c r="T129"/>
  <c r="T116"/>
  <c r="J167"/>
  <c r="J172"/>
  <c r="J173" s="1"/>
  <c r="J174" s="1"/>
  <c r="I116"/>
  <c r="I134"/>
  <c r="I141"/>
  <c r="I135"/>
  <c r="X116"/>
  <c r="P172"/>
  <c r="P173" s="1"/>
  <c r="P174" s="1"/>
  <c r="P167"/>
  <c r="Y59"/>
  <c r="R116"/>
  <c r="S116"/>
  <c r="M125" l="1"/>
  <c r="V143"/>
  <c r="T143"/>
  <c r="I120"/>
  <c r="H119"/>
  <c r="R123"/>
  <c r="S143"/>
  <c r="O121"/>
  <c r="R130"/>
  <c r="E139"/>
  <c r="V142"/>
  <c r="P125"/>
  <c r="G147"/>
  <c r="P120"/>
  <c r="O142"/>
  <c r="H137"/>
  <c r="K145"/>
  <c r="G141"/>
  <c r="S146"/>
  <c r="R122"/>
  <c r="U125"/>
  <c r="U134"/>
  <c r="X147"/>
  <c r="M131"/>
  <c r="N121"/>
  <c r="V134"/>
  <c r="G120"/>
  <c r="O123"/>
  <c r="H128"/>
  <c r="M138"/>
  <c r="V119"/>
  <c r="F132"/>
  <c r="J144"/>
  <c r="O137"/>
  <c r="I129"/>
  <c r="T132"/>
  <c r="J122"/>
  <c r="P145"/>
  <c r="S137"/>
  <c r="S134"/>
  <c r="E129"/>
  <c r="O144"/>
  <c r="P132"/>
  <c r="U129"/>
  <c r="U122"/>
  <c r="U146"/>
  <c r="L141"/>
  <c r="W129"/>
  <c r="W125"/>
  <c r="W146"/>
  <c r="W135"/>
  <c r="V136"/>
  <c r="J126"/>
  <c r="J147"/>
  <c r="P133"/>
  <c r="E127"/>
  <c r="J137"/>
  <c r="J135"/>
  <c r="P128"/>
  <c r="P117"/>
  <c r="U140"/>
  <c r="P147"/>
  <c r="P139"/>
  <c r="U135"/>
  <c r="U137"/>
  <c r="U121"/>
  <c r="Q142"/>
  <c r="G138"/>
  <c r="E132"/>
  <c r="H146"/>
  <c r="K126"/>
  <c r="N142"/>
  <c r="F125"/>
  <c r="F129"/>
  <c r="L122"/>
  <c r="H123"/>
  <c r="K118"/>
  <c r="X124"/>
  <c r="X134"/>
  <c r="V127"/>
  <c r="T126"/>
  <c r="M119"/>
  <c r="H121"/>
  <c r="N140"/>
  <c r="N126"/>
  <c r="F139"/>
  <c r="F118"/>
  <c r="W128"/>
  <c r="V120"/>
  <c r="V123"/>
  <c r="Q140"/>
  <c r="Q124"/>
  <c r="G128"/>
  <c r="G133"/>
  <c r="R124"/>
  <c r="X140"/>
  <c r="I145"/>
  <c r="I118"/>
  <c r="I124"/>
  <c r="T120"/>
  <c r="T140"/>
  <c r="T123"/>
  <c r="L135"/>
  <c r="L125"/>
  <c r="E126"/>
  <c r="O132"/>
  <c r="O117"/>
  <c r="O126"/>
  <c r="M147"/>
  <c r="H134"/>
  <c r="K146"/>
  <c r="N128"/>
  <c r="N118"/>
  <c r="N122"/>
  <c r="F122"/>
  <c r="F143"/>
  <c r="F131"/>
  <c r="W143"/>
  <c r="W123"/>
  <c r="V147"/>
  <c r="Q143"/>
  <c r="Q128"/>
  <c r="Q145"/>
  <c r="G144"/>
  <c r="G123"/>
  <c r="G135"/>
  <c r="J117"/>
  <c r="J136"/>
  <c r="P123"/>
  <c r="P129"/>
  <c r="P131"/>
  <c r="U141"/>
  <c r="S121"/>
  <c r="S139"/>
  <c r="R143"/>
  <c r="R135"/>
  <c r="R120"/>
  <c r="X144"/>
  <c r="X128"/>
  <c r="X119"/>
  <c r="I140"/>
  <c r="T128"/>
  <c r="L144"/>
  <c r="L117"/>
  <c r="L142"/>
  <c r="L132"/>
  <c r="E119"/>
  <c r="E137"/>
  <c r="E141"/>
  <c r="E123"/>
  <c r="O134"/>
  <c r="O147"/>
  <c r="O136"/>
  <c r="M144"/>
  <c r="M123"/>
  <c r="M142"/>
  <c r="M134"/>
  <c r="M129"/>
  <c r="S125"/>
  <c r="S141"/>
  <c r="S136"/>
  <c r="X126"/>
  <c r="I143"/>
  <c r="I128"/>
  <c r="T145"/>
  <c r="T118"/>
  <c r="T124"/>
  <c r="T136"/>
  <c r="L146"/>
  <c r="L128"/>
  <c r="L138"/>
  <c r="E133"/>
  <c r="E144"/>
  <c r="E135"/>
  <c r="O130"/>
  <c r="O143"/>
  <c r="O128"/>
  <c r="O139"/>
  <c r="O122"/>
  <c r="M120"/>
  <c r="M136"/>
  <c r="M139"/>
  <c r="H125"/>
  <c r="H129"/>
  <c r="H142"/>
  <c r="H147"/>
  <c r="H139"/>
  <c r="H118"/>
  <c r="K133"/>
  <c r="K129"/>
  <c r="K147"/>
  <c r="K140"/>
  <c r="K124"/>
  <c r="K121"/>
  <c r="K137"/>
  <c r="N132"/>
  <c r="N138"/>
  <c r="N134"/>
  <c r="N145"/>
  <c r="F123"/>
  <c r="F133"/>
  <c r="F140"/>
  <c r="F135"/>
  <c r="F119"/>
  <c r="F145"/>
  <c r="W147"/>
  <c r="W139"/>
  <c r="W120"/>
  <c r="W117"/>
  <c r="W141"/>
  <c r="V139"/>
  <c r="V121"/>
  <c r="V141"/>
  <c r="V125"/>
  <c r="Q131"/>
  <c r="Q125"/>
  <c r="G129"/>
  <c r="G131"/>
  <c r="G140"/>
  <c r="J133"/>
  <c r="J145"/>
  <c r="J121"/>
  <c r="J130"/>
  <c r="J139"/>
  <c r="J119"/>
  <c r="P141"/>
  <c r="P118"/>
  <c r="U119"/>
  <c r="Q135"/>
  <c r="J129"/>
  <c r="P119"/>
  <c r="I122"/>
  <c r="V131"/>
  <c r="E147"/>
  <c r="Q118"/>
  <c r="G117"/>
  <c r="X139"/>
  <c r="I117"/>
  <c r="I139"/>
  <c r="I130"/>
  <c r="N137"/>
  <c r="W136"/>
  <c r="Q147"/>
  <c r="G137"/>
  <c r="S118"/>
  <c r="S126"/>
  <c r="S130"/>
  <c r="S145"/>
  <c r="S128"/>
  <c r="R140"/>
  <c r="R117"/>
  <c r="R127"/>
  <c r="R136"/>
  <c r="R129"/>
  <c r="X145"/>
  <c r="X132"/>
  <c r="X143"/>
  <c r="X130"/>
  <c r="X136"/>
  <c r="I146"/>
  <c r="I131"/>
  <c r="I126"/>
  <c r="R145"/>
  <c r="X121"/>
  <c r="V145"/>
  <c r="V129"/>
  <c r="V126"/>
  <c r="T141"/>
  <c r="L118"/>
  <c r="H135"/>
  <c r="W132"/>
  <c r="E172"/>
  <c r="E173" s="1"/>
  <c r="E174" s="1"/>
  <c r="E167"/>
  <c r="Y157"/>
  <c r="Y177" s="1"/>
  <c r="K176"/>
  <c r="L176"/>
  <c r="H176"/>
  <c r="R176"/>
  <c r="S127"/>
  <c r="R131"/>
  <c r="S129"/>
  <c r="S117"/>
  <c r="S144"/>
  <c r="S133"/>
  <c r="S123"/>
  <c r="R138"/>
  <c r="R125"/>
  <c r="R139"/>
  <c r="R128"/>
  <c r="R144"/>
  <c r="R147"/>
  <c r="R126"/>
  <c r="X117"/>
  <c r="X131"/>
  <c r="X120"/>
  <c r="X137"/>
  <c r="X138"/>
  <c r="X122"/>
  <c r="X142"/>
  <c r="I137"/>
  <c r="I121"/>
  <c r="I147"/>
  <c r="I138"/>
  <c r="T137"/>
  <c r="T121"/>
  <c r="T119"/>
  <c r="T146"/>
  <c r="T139"/>
  <c r="T135"/>
  <c r="T147"/>
  <c r="L143"/>
  <c r="L131"/>
  <c r="L127"/>
  <c r="L123"/>
  <c r="L134"/>
  <c r="L124"/>
  <c r="L120"/>
  <c r="E124"/>
  <c r="E145"/>
  <c r="E120"/>
  <c r="E118"/>
  <c r="E136"/>
  <c r="E131"/>
  <c r="E125"/>
  <c r="O135"/>
  <c r="O138"/>
  <c r="O140"/>
  <c r="O125"/>
  <c r="O141"/>
  <c r="O127"/>
  <c r="M127"/>
  <c r="M146"/>
  <c r="M141"/>
  <c r="M130"/>
  <c r="M137"/>
  <c r="H126"/>
  <c r="H117"/>
  <c r="H141"/>
  <c r="H122"/>
  <c r="H145"/>
  <c r="K122"/>
  <c r="K119"/>
  <c r="K130"/>
  <c r="K125"/>
  <c r="K128"/>
  <c r="K141"/>
  <c r="K117"/>
  <c r="N124"/>
  <c r="N130"/>
  <c r="N133"/>
  <c r="N119"/>
  <c r="N131"/>
  <c r="N141"/>
  <c r="F134"/>
  <c r="F124"/>
  <c r="F136"/>
  <c r="F126"/>
  <c r="W144"/>
  <c r="W124"/>
  <c r="W137"/>
  <c r="W145"/>
  <c r="W134"/>
  <c r="V140"/>
  <c r="V117"/>
  <c r="V138"/>
  <c r="V135"/>
  <c r="Q132"/>
  <c r="Q141"/>
  <c r="G125"/>
  <c r="G139"/>
  <c r="G121"/>
  <c r="G119"/>
  <c r="J146"/>
  <c r="J142"/>
  <c r="J125"/>
  <c r="J134"/>
  <c r="J120"/>
  <c r="P143"/>
  <c r="P146"/>
  <c r="P137"/>
  <c r="P138"/>
  <c r="U139"/>
  <c r="U126"/>
  <c r="U120"/>
  <c r="X172"/>
  <c r="X173" s="1"/>
  <c r="X174" s="1"/>
  <c r="X167"/>
  <c r="G176"/>
  <c r="V176"/>
  <c r="N176"/>
  <c r="S131"/>
  <c r="S132"/>
  <c r="S142"/>
  <c r="S119"/>
  <c r="S138"/>
  <c r="S120"/>
  <c r="S135"/>
  <c r="S140"/>
  <c r="S124"/>
  <c r="R119"/>
  <c r="R146"/>
  <c r="R134"/>
  <c r="R142"/>
  <c r="R121"/>
  <c r="X129"/>
  <c r="X135"/>
  <c r="X118"/>
  <c r="X125"/>
  <c r="X141"/>
  <c r="X133"/>
  <c r="X127"/>
  <c r="X123"/>
  <c r="I123"/>
  <c r="I142"/>
  <c r="I144"/>
  <c r="I125"/>
  <c r="I127"/>
  <c r="T117"/>
  <c r="T138"/>
  <c r="T125"/>
  <c r="T133"/>
  <c r="T127"/>
  <c r="T144"/>
  <c r="T122"/>
  <c r="L119"/>
  <c r="L140"/>
  <c r="L136"/>
  <c r="L145"/>
  <c r="E134"/>
  <c r="E140"/>
  <c r="E121"/>
  <c r="E143"/>
  <c r="E146"/>
  <c r="E122"/>
  <c r="O119"/>
  <c r="O120"/>
  <c r="O133"/>
  <c r="O129"/>
  <c r="O146"/>
  <c r="O131"/>
  <c r="M143"/>
  <c r="M117"/>
  <c r="M128"/>
  <c r="M121"/>
  <c r="M118"/>
  <c r="M132"/>
  <c r="M122"/>
  <c r="M135"/>
  <c r="H132"/>
  <c r="H124"/>
  <c r="H120"/>
  <c r="H127"/>
  <c r="H138"/>
  <c r="H133"/>
  <c r="K123"/>
  <c r="K131"/>
  <c r="K144"/>
  <c r="K136"/>
  <c r="K132"/>
  <c r="K120"/>
  <c r="K142"/>
  <c r="N125"/>
  <c r="N139"/>
  <c r="N136"/>
  <c r="N127"/>
  <c r="N144"/>
  <c r="N120"/>
  <c r="N117"/>
  <c r="F144"/>
  <c r="F117"/>
  <c r="F130"/>
  <c r="F142"/>
  <c r="F137"/>
  <c r="F120"/>
  <c r="W142"/>
  <c r="W126"/>
  <c r="W140"/>
  <c r="W118"/>
  <c r="W122"/>
  <c r="W127"/>
  <c r="W119"/>
  <c r="V128"/>
  <c r="V137"/>
  <c r="V118"/>
  <c r="V146"/>
  <c r="V124"/>
  <c r="V122"/>
  <c r="Q146"/>
  <c r="Q134"/>
  <c r="Q130"/>
  <c r="Q144"/>
  <c r="Q139"/>
  <c r="Q127"/>
  <c r="Q123"/>
  <c r="G136"/>
  <c r="G118"/>
  <c r="G130"/>
  <c r="G122"/>
  <c r="G127"/>
  <c r="G134"/>
  <c r="G132"/>
  <c r="G143"/>
  <c r="J141"/>
  <c r="J128"/>
  <c r="J123"/>
  <c r="J138"/>
  <c r="J118"/>
  <c r="P121"/>
  <c r="P122"/>
  <c r="P134"/>
  <c r="P135"/>
  <c r="P130"/>
  <c r="P140"/>
  <c r="U143"/>
  <c r="U117"/>
  <c r="U132"/>
  <c r="U118"/>
  <c r="U130"/>
  <c r="P176"/>
  <c r="S176"/>
  <c r="I176"/>
  <c r="M176"/>
  <c r="F176"/>
  <c r="Q176"/>
  <c r="O176"/>
  <c r="R132"/>
  <c r="R118"/>
  <c r="R141"/>
  <c r="I132"/>
  <c r="I136"/>
  <c r="I133"/>
  <c r="T142"/>
  <c r="L130"/>
  <c r="O124"/>
  <c r="M145"/>
  <c r="M126"/>
  <c r="H143"/>
  <c r="H130"/>
  <c r="H131"/>
  <c r="H136"/>
  <c r="H144"/>
  <c r="H140"/>
  <c r="K139"/>
  <c r="K134"/>
  <c r="N135"/>
  <c r="N147"/>
  <c r="N129"/>
  <c r="F141"/>
  <c r="W131"/>
  <c r="W133"/>
  <c r="V133"/>
  <c r="Q120"/>
  <c r="Q117"/>
  <c r="G146"/>
  <c r="J131"/>
  <c r="J127"/>
  <c r="P126"/>
  <c r="U147"/>
  <c r="U128"/>
  <c r="U145"/>
  <c r="J176"/>
  <c r="T176"/>
  <c r="U176"/>
  <c r="W176"/>
  <c r="S147"/>
  <c r="S122"/>
  <c r="R137"/>
  <c r="R133"/>
  <c r="X146"/>
  <c r="I119"/>
  <c r="T130"/>
  <c r="L133"/>
  <c r="E130"/>
  <c r="E128"/>
  <c r="E117"/>
  <c r="E138"/>
  <c r="E142"/>
  <c r="O118"/>
  <c r="O145"/>
  <c r="M124"/>
  <c r="K138"/>
  <c r="N143"/>
  <c r="F147"/>
  <c r="W130"/>
  <c r="W121"/>
  <c r="V144"/>
  <c r="V132"/>
  <c r="V130"/>
  <c r="Q122"/>
  <c r="Q133"/>
  <c r="Q136"/>
  <c r="Q126"/>
  <c r="G145"/>
  <c r="G126"/>
  <c r="G142"/>
  <c r="J143"/>
  <c r="P142"/>
  <c r="P124"/>
  <c r="P144"/>
  <c r="P136"/>
  <c r="P127"/>
  <c r="U138"/>
  <c r="U136"/>
  <c r="U144"/>
  <c r="U133"/>
  <c r="U123"/>
  <c r="Y174" l="1"/>
  <c r="Q149"/>
  <c r="N149"/>
  <c r="S149"/>
  <c r="O149"/>
  <c r="K149"/>
  <c r="E149"/>
  <c r="E150" s="1"/>
  <c r="R149"/>
  <c r="F149"/>
  <c r="M149"/>
  <c r="T149"/>
  <c r="X149"/>
  <c r="G149"/>
  <c r="V149"/>
  <c r="W149"/>
  <c r="P149"/>
  <c r="U149"/>
  <c r="H149"/>
  <c r="I149"/>
  <c r="J149"/>
  <c r="L149"/>
  <c r="Y167"/>
  <c r="Y172"/>
  <c r="X176"/>
  <c r="F150" l="1"/>
  <c r="G150" s="1"/>
  <c r="H150" s="1"/>
  <c r="I150" s="1"/>
  <c r="J150" s="1"/>
  <c r="K150" s="1"/>
  <c r="L150" s="1"/>
  <c r="M150" s="1"/>
  <c r="N150" s="1"/>
  <c r="O150" s="1"/>
  <c r="P150" s="1"/>
  <c r="Q150" s="1"/>
  <c r="R150" s="1"/>
  <c r="S150" s="1"/>
  <c r="T150" s="1"/>
  <c r="U150" s="1"/>
  <c r="V150" s="1"/>
  <c r="W150" s="1"/>
  <c r="X150" s="1"/>
  <c r="E176"/>
  <c r="Y176" s="1"/>
  <c r="Y180" s="1"/>
  <c r="Y173"/>
  <c r="E46" i="2" l="1"/>
  <c r="B50" l="1"/>
  <c r="B156" i="1"/>
  <c r="I54" i="2" l="1"/>
  <c r="E57"/>
  <c r="T51"/>
  <c r="N52"/>
  <c r="J52"/>
  <c r="P52"/>
  <c r="J50"/>
  <c r="Q53"/>
  <c r="S56"/>
  <c r="X53"/>
  <c r="Q54"/>
  <c r="F52"/>
  <c r="W57"/>
  <c r="S51"/>
  <c r="M51"/>
  <c r="X51"/>
  <c r="T57"/>
  <c r="F53"/>
  <c r="E55"/>
  <c r="J55"/>
  <c r="R57"/>
  <c r="W55"/>
  <c r="Q50"/>
  <c r="K57"/>
  <c r="I53"/>
  <c r="F56"/>
  <c r="I50"/>
  <c r="R50"/>
  <c r="T55"/>
  <c r="U57"/>
  <c r="V55"/>
  <c r="X56"/>
  <c r="O54"/>
  <c r="H57"/>
  <c r="O51"/>
  <c r="V56"/>
  <c r="Q55"/>
  <c r="E53"/>
  <c r="V54"/>
  <c r="J53"/>
  <c r="G52"/>
  <c r="G55"/>
  <c r="L52"/>
  <c r="W53"/>
  <c r="U51"/>
  <c r="W50"/>
  <c r="H55"/>
  <c r="O53"/>
  <c r="S54"/>
  <c r="M50"/>
  <c r="O50"/>
  <c r="G50"/>
  <c r="N50"/>
  <c r="S57"/>
  <c r="M57"/>
  <c r="P56"/>
  <c r="I55"/>
  <c r="V57"/>
  <c r="X50"/>
  <c r="P54"/>
  <c r="L55"/>
  <c r="Q51"/>
  <c r="L57"/>
  <c r="F57"/>
  <c r="K52"/>
  <c r="U53"/>
  <c r="H51"/>
  <c r="X57"/>
  <c r="O52"/>
  <c r="T50"/>
  <c r="N53"/>
  <c r="M55"/>
  <c r="R56"/>
  <c r="L53"/>
  <c r="I57"/>
  <c r="I52"/>
  <c r="F54"/>
  <c r="R55"/>
  <c r="W52"/>
  <c r="J51"/>
  <c r="K53"/>
  <c r="M52"/>
  <c r="N54"/>
  <c r="R53"/>
  <c r="P50"/>
  <c r="E54"/>
  <c r="E51"/>
  <c r="P55"/>
  <c r="K50"/>
  <c r="N56"/>
  <c r="X52"/>
  <c r="H53"/>
  <c r="G56"/>
  <c r="W51"/>
  <c r="L50"/>
  <c r="X54"/>
  <c r="P57"/>
  <c r="Q56"/>
  <c r="G53"/>
  <c r="E56"/>
  <c r="G51"/>
  <c r="U50"/>
  <c r="Q57"/>
  <c r="S50"/>
  <c r="T54"/>
  <c r="N57"/>
  <c r="K55"/>
  <c r="J57"/>
  <c r="L54"/>
  <c r="O55"/>
  <c r="R51"/>
  <c r="I56"/>
  <c r="V51"/>
  <c r="M54"/>
  <c r="G57"/>
  <c r="U52"/>
  <c r="W54"/>
  <c r="P51"/>
  <c r="V53"/>
  <c r="E50"/>
  <c r="J54"/>
  <c r="U55"/>
  <c r="V52"/>
  <c r="F50"/>
  <c r="L56"/>
  <c r="R52"/>
  <c r="P53"/>
  <c r="M53"/>
  <c r="I51"/>
  <c r="V50"/>
  <c r="X55"/>
  <c r="S55"/>
  <c r="R54"/>
  <c r="L51"/>
  <c r="H52"/>
  <c r="S53"/>
  <c r="E52"/>
  <c r="J56"/>
  <c r="G54"/>
  <c r="O56"/>
  <c r="Q52"/>
  <c r="F51"/>
  <c r="K56"/>
  <c r="T52"/>
  <c r="M56"/>
  <c r="H50"/>
  <c r="O57"/>
  <c r="K54"/>
  <c r="W56"/>
  <c r="F55"/>
  <c r="H56"/>
  <c r="N51"/>
  <c r="U56"/>
  <c r="U54"/>
  <c r="S52"/>
  <c r="H54"/>
  <c r="T53"/>
  <c r="N55"/>
  <c r="K51"/>
  <c r="T56"/>
  <c r="K84" l="1"/>
  <c r="K97" s="1"/>
  <c r="K125" s="1"/>
  <c r="Q18" i="26" s="1"/>
  <c r="K80" i="2"/>
  <c r="K93" s="1"/>
  <c r="K121" s="1"/>
  <c r="Q14" i="26" s="1"/>
  <c r="K81" i="2"/>
  <c r="K94" s="1"/>
  <c r="K122" s="1"/>
  <c r="Q15" i="26" s="1"/>
  <c r="K83" i="2"/>
  <c r="K96" s="1"/>
  <c r="K124" s="1"/>
  <c r="Q17" i="26" s="1"/>
  <c r="K82" i="2"/>
  <c r="K95" s="1"/>
  <c r="K123" s="1"/>
  <c r="Q16" i="26" s="1"/>
  <c r="K79" i="2"/>
  <c r="K92" s="1"/>
  <c r="K120" s="1"/>
  <c r="Q13" i="26" s="1"/>
  <c r="K78" i="2"/>
  <c r="K91" s="1"/>
  <c r="K119" s="1"/>
  <c r="Q12" i="26" s="1"/>
  <c r="K77" i="2"/>
  <c r="K90" s="1"/>
  <c r="P78"/>
  <c r="P91" s="1"/>
  <c r="P119" s="1"/>
  <c r="V12" i="26" s="1"/>
  <c r="P81" i="2"/>
  <c r="P94" s="1"/>
  <c r="P122" s="1"/>
  <c r="V15" i="26" s="1"/>
  <c r="P84" i="2"/>
  <c r="P97" s="1"/>
  <c r="P125" s="1"/>
  <c r="V18" i="26" s="1"/>
  <c r="P77" i="2"/>
  <c r="P90" s="1"/>
  <c r="P80"/>
  <c r="P93" s="1"/>
  <c r="P121" s="1"/>
  <c r="V14" i="26" s="1"/>
  <c r="P83" i="2"/>
  <c r="P96" s="1"/>
  <c r="P124" s="1"/>
  <c r="V17" i="26" s="1"/>
  <c r="P79" i="2"/>
  <c r="P92" s="1"/>
  <c r="P120" s="1"/>
  <c r="V13" i="26" s="1"/>
  <c r="P82" i="2"/>
  <c r="P95" s="1"/>
  <c r="P123" s="1"/>
  <c r="V16" i="26" s="1"/>
  <c r="N83" i="2"/>
  <c r="N96" s="1"/>
  <c r="N124" s="1"/>
  <c r="T17" i="26" s="1"/>
  <c r="N79" i="2"/>
  <c r="N92" s="1"/>
  <c r="N120" s="1"/>
  <c r="T13" i="26" s="1"/>
  <c r="N84" i="2"/>
  <c r="N97" s="1"/>
  <c r="N125" s="1"/>
  <c r="T18" i="26" s="1"/>
  <c r="N82" i="2"/>
  <c r="N95" s="1"/>
  <c r="N123" s="1"/>
  <c r="T16" i="26" s="1"/>
  <c r="N81" i="2"/>
  <c r="N94" s="1"/>
  <c r="N122" s="1"/>
  <c r="T15" i="26" s="1"/>
  <c r="N78" i="2"/>
  <c r="N91" s="1"/>
  <c r="N119" s="1"/>
  <c r="T12" i="26" s="1"/>
  <c r="N77" i="2"/>
  <c r="N90" s="1"/>
  <c r="N80"/>
  <c r="N93" s="1"/>
  <c r="N121" s="1"/>
  <c r="T14" i="26" s="1"/>
  <c r="Y52" i="2"/>
  <c r="H78"/>
  <c r="H91" s="1"/>
  <c r="H119" s="1"/>
  <c r="N12" i="26" s="1"/>
  <c r="H81" i="2"/>
  <c r="H94" s="1"/>
  <c r="H122" s="1"/>
  <c r="N15" i="26" s="1"/>
  <c r="H84" i="2"/>
  <c r="H97" s="1"/>
  <c r="H125" s="1"/>
  <c r="N18" i="26" s="1"/>
  <c r="H77" i="2"/>
  <c r="H90" s="1"/>
  <c r="H80"/>
  <c r="H93" s="1"/>
  <c r="H121" s="1"/>
  <c r="N14" i="26" s="1"/>
  <c r="H83" i="2"/>
  <c r="H96" s="1"/>
  <c r="H124" s="1"/>
  <c r="N17" i="26" s="1"/>
  <c r="H79" i="2"/>
  <c r="H92" s="1"/>
  <c r="H120" s="1"/>
  <c r="N13" i="26" s="1"/>
  <c r="H82" i="2"/>
  <c r="H95" s="1"/>
  <c r="H123" s="1"/>
  <c r="N16" i="26" s="1"/>
  <c r="U80" i="2"/>
  <c r="U93" s="1"/>
  <c r="U121" s="1"/>
  <c r="AA14" i="26" s="1"/>
  <c r="U79" i="2"/>
  <c r="U92" s="1"/>
  <c r="U120" s="1"/>
  <c r="AA13" i="26" s="1"/>
  <c r="U81" i="2"/>
  <c r="U94" s="1"/>
  <c r="U122" s="1"/>
  <c r="AA15" i="26" s="1"/>
  <c r="U82" i="2"/>
  <c r="U95" s="1"/>
  <c r="U123" s="1"/>
  <c r="AA16" i="26" s="1"/>
  <c r="U77" i="2"/>
  <c r="U90" s="1"/>
  <c r="U78"/>
  <c r="U91" s="1"/>
  <c r="U119" s="1"/>
  <c r="AA12" i="26" s="1"/>
  <c r="U84" i="2"/>
  <c r="U97" s="1"/>
  <c r="U125" s="1"/>
  <c r="AA18" i="26" s="1"/>
  <c r="U83" i="2"/>
  <c r="U96" s="1"/>
  <c r="U124" s="1"/>
  <c r="AA17" i="26" s="1"/>
  <c r="W80" i="2"/>
  <c r="W93" s="1"/>
  <c r="W121" s="1"/>
  <c r="AC14" i="26" s="1"/>
  <c r="W84" i="2"/>
  <c r="W97" s="1"/>
  <c r="W125" s="1"/>
  <c r="AC18" i="26" s="1"/>
  <c r="W78" i="2"/>
  <c r="W91" s="1"/>
  <c r="W119" s="1"/>
  <c r="AC12" i="26" s="1"/>
  <c r="W83" i="2"/>
  <c r="W96" s="1"/>
  <c r="W124" s="1"/>
  <c r="AC17" i="26" s="1"/>
  <c r="W82" i="2"/>
  <c r="W95" s="1"/>
  <c r="W123" s="1"/>
  <c r="AC16" i="26" s="1"/>
  <c r="W79" i="2"/>
  <c r="W92" s="1"/>
  <c r="W120" s="1"/>
  <c r="AC13" i="26" s="1"/>
  <c r="W81" i="2"/>
  <c r="W94" s="1"/>
  <c r="W122" s="1"/>
  <c r="AC15" i="26" s="1"/>
  <c r="W77" i="2"/>
  <c r="W90" s="1"/>
  <c r="L77"/>
  <c r="L90" s="1"/>
  <c r="L83"/>
  <c r="L96" s="1"/>
  <c r="L124" s="1"/>
  <c r="R17" i="26" s="1"/>
  <c r="L81" i="2"/>
  <c r="L94" s="1"/>
  <c r="L122" s="1"/>
  <c r="R15" i="26" s="1"/>
  <c r="L84" i="2"/>
  <c r="L97" s="1"/>
  <c r="L125" s="1"/>
  <c r="R18" i="26" s="1"/>
  <c r="L79" i="2"/>
  <c r="L92" s="1"/>
  <c r="L120" s="1"/>
  <c r="R13" i="26" s="1"/>
  <c r="L80" i="2"/>
  <c r="L93" s="1"/>
  <c r="L121" s="1"/>
  <c r="R14" i="26" s="1"/>
  <c r="L82" i="2"/>
  <c r="L95" s="1"/>
  <c r="L123" s="1"/>
  <c r="R16" i="26" s="1"/>
  <c r="L78" i="2"/>
  <c r="L91" s="1"/>
  <c r="L119" s="1"/>
  <c r="R12" i="26" s="1"/>
  <c r="X78" i="2"/>
  <c r="X91" s="1"/>
  <c r="X119" s="1"/>
  <c r="AD12" i="26" s="1"/>
  <c r="X81" i="2"/>
  <c r="X94" s="1"/>
  <c r="X122" s="1"/>
  <c r="AD15" i="26" s="1"/>
  <c r="X79" i="2"/>
  <c r="X92" s="1"/>
  <c r="X120" s="1"/>
  <c r="AD13" i="26" s="1"/>
  <c r="X84" i="2"/>
  <c r="X97" s="1"/>
  <c r="X125" s="1"/>
  <c r="AD18" i="26" s="1"/>
  <c r="X77" i="2"/>
  <c r="X90" s="1"/>
  <c r="X80"/>
  <c r="X93" s="1"/>
  <c r="X121" s="1"/>
  <c r="AD14" i="26" s="1"/>
  <c r="X83" i="2"/>
  <c r="X96" s="1"/>
  <c r="X124" s="1"/>
  <c r="AD17" i="26" s="1"/>
  <c r="X82" i="2"/>
  <c r="X95" s="1"/>
  <c r="X123" s="1"/>
  <c r="AD16" i="26" s="1"/>
  <c r="O80" i="2"/>
  <c r="O93" s="1"/>
  <c r="O121" s="1"/>
  <c r="U14" i="26" s="1"/>
  <c r="O84" i="2"/>
  <c r="O97" s="1"/>
  <c r="O125" s="1"/>
  <c r="U18" i="26" s="1"/>
  <c r="O81" i="2"/>
  <c r="O94" s="1"/>
  <c r="O122" s="1"/>
  <c r="U15" i="26" s="1"/>
  <c r="O83" i="2"/>
  <c r="O96" s="1"/>
  <c r="O124" s="1"/>
  <c r="U17" i="26" s="1"/>
  <c r="O82" i="2"/>
  <c r="O95" s="1"/>
  <c r="O123" s="1"/>
  <c r="U16" i="26" s="1"/>
  <c r="O79" i="2"/>
  <c r="O92" s="1"/>
  <c r="O120" s="1"/>
  <c r="U13" i="26" s="1"/>
  <c r="O78" i="2"/>
  <c r="O91" s="1"/>
  <c r="O119" s="1"/>
  <c r="U12" i="26" s="1"/>
  <c r="O77" i="2"/>
  <c r="O90" s="1"/>
  <c r="I82"/>
  <c r="I95" s="1"/>
  <c r="I123" s="1"/>
  <c r="O16" i="26" s="1"/>
  <c r="I78" i="2"/>
  <c r="I91" s="1"/>
  <c r="I119" s="1"/>
  <c r="O12" i="26" s="1"/>
  <c r="I83" i="2"/>
  <c r="I96" s="1"/>
  <c r="I124" s="1"/>
  <c r="O17" i="26" s="1"/>
  <c r="I81" i="2"/>
  <c r="I94" s="1"/>
  <c r="I122" s="1"/>
  <c r="O15" i="26" s="1"/>
  <c r="I84" i="2"/>
  <c r="I97" s="1"/>
  <c r="I125" s="1"/>
  <c r="O18" i="26" s="1"/>
  <c r="I77" i="2"/>
  <c r="I90" s="1"/>
  <c r="I80"/>
  <c r="I93" s="1"/>
  <c r="I121" s="1"/>
  <c r="O14" i="26" s="1"/>
  <c r="I79" i="2"/>
  <c r="I92" s="1"/>
  <c r="I120" s="1"/>
  <c r="O13" i="26" s="1"/>
  <c r="Q82" i="2"/>
  <c r="Q95" s="1"/>
  <c r="Q123" s="1"/>
  <c r="W16" i="26" s="1"/>
  <c r="Q78" i="2"/>
  <c r="Q91" s="1"/>
  <c r="Q119" s="1"/>
  <c r="W12" i="26" s="1"/>
  <c r="Q83" i="2"/>
  <c r="Q96" s="1"/>
  <c r="Q124" s="1"/>
  <c r="W17" i="26" s="1"/>
  <c r="Q81" i="2"/>
  <c r="Q94" s="1"/>
  <c r="Q122" s="1"/>
  <c r="W15" i="26" s="1"/>
  <c r="Q84" i="2"/>
  <c r="Q97" s="1"/>
  <c r="Q125" s="1"/>
  <c r="W18" i="26" s="1"/>
  <c r="Q77" i="2"/>
  <c r="Q90" s="1"/>
  <c r="Q80"/>
  <c r="Q93" s="1"/>
  <c r="Q121" s="1"/>
  <c r="W14" i="26" s="1"/>
  <c r="Q79" i="2"/>
  <c r="Q92" s="1"/>
  <c r="Q120" s="1"/>
  <c r="W13" i="26" s="1"/>
  <c r="J80" i="2"/>
  <c r="J93" s="1"/>
  <c r="J121" s="1"/>
  <c r="P14" i="26" s="1"/>
  <c r="J83" i="2"/>
  <c r="J96" s="1"/>
  <c r="J124" s="1"/>
  <c r="P17" i="26" s="1"/>
  <c r="J77" i="2"/>
  <c r="J90" s="1"/>
  <c r="J82"/>
  <c r="J95" s="1"/>
  <c r="J123" s="1"/>
  <c r="P16" i="26" s="1"/>
  <c r="J79" i="2"/>
  <c r="J92" s="1"/>
  <c r="J120" s="1"/>
  <c r="P13" i="26" s="1"/>
  <c r="J78" i="2"/>
  <c r="J91" s="1"/>
  <c r="J119" s="1"/>
  <c r="P12" i="26" s="1"/>
  <c r="J81" i="2"/>
  <c r="J94" s="1"/>
  <c r="J122" s="1"/>
  <c r="P15" i="26" s="1"/>
  <c r="J84" i="2"/>
  <c r="J97" s="1"/>
  <c r="J125" s="1"/>
  <c r="P18" i="26" s="1"/>
  <c r="Y51" i="2"/>
  <c r="Y55"/>
  <c r="V83"/>
  <c r="V96" s="1"/>
  <c r="V124" s="1"/>
  <c r="AB17" i="26" s="1"/>
  <c r="V79" i="2"/>
  <c r="V92" s="1"/>
  <c r="V120" s="1"/>
  <c r="AB13" i="26" s="1"/>
  <c r="V78" i="2"/>
  <c r="V91" s="1"/>
  <c r="V119" s="1"/>
  <c r="AB12" i="26" s="1"/>
  <c r="V80" i="2"/>
  <c r="V93" s="1"/>
  <c r="V121" s="1"/>
  <c r="AB14" i="26" s="1"/>
  <c r="V82" i="2"/>
  <c r="V95" s="1"/>
  <c r="V123" s="1"/>
  <c r="AB16" i="26" s="1"/>
  <c r="V81" i="2"/>
  <c r="V94" s="1"/>
  <c r="V122" s="1"/>
  <c r="AB15" i="26" s="1"/>
  <c r="V77" i="2"/>
  <c r="V90" s="1"/>
  <c r="V84"/>
  <c r="V97" s="1"/>
  <c r="V125" s="1"/>
  <c r="AB18" i="26" s="1"/>
  <c r="T81" i="2"/>
  <c r="T94" s="1"/>
  <c r="T122" s="1"/>
  <c r="Z15" i="26" s="1"/>
  <c r="T77" i="2"/>
  <c r="T90" s="1"/>
  <c r="T78"/>
  <c r="T91" s="1"/>
  <c r="T119" s="1"/>
  <c r="Z12" i="26" s="1"/>
  <c r="T84" i="2"/>
  <c r="T97" s="1"/>
  <c r="T125" s="1"/>
  <c r="Z18" i="26" s="1"/>
  <c r="T83" i="2"/>
  <c r="T96" s="1"/>
  <c r="T124" s="1"/>
  <c r="Z17" i="26" s="1"/>
  <c r="T80" i="2"/>
  <c r="T93" s="1"/>
  <c r="T121" s="1"/>
  <c r="Z14" i="26" s="1"/>
  <c r="T79" i="2"/>
  <c r="T92" s="1"/>
  <c r="T120" s="1"/>
  <c r="Z13" i="26" s="1"/>
  <c r="T82" i="2"/>
  <c r="T95" s="1"/>
  <c r="T123" s="1"/>
  <c r="Z16" i="26" s="1"/>
  <c r="M79" i="2"/>
  <c r="M92" s="1"/>
  <c r="M120" s="1"/>
  <c r="S13" i="26" s="1"/>
  <c r="M82" i="2"/>
  <c r="M95" s="1"/>
  <c r="M123" s="1"/>
  <c r="S16" i="26" s="1"/>
  <c r="M77" i="2"/>
  <c r="M90" s="1"/>
  <c r="M83"/>
  <c r="M96" s="1"/>
  <c r="M124" s="1"/>
  <c r="S17" i="26" s="1"/>
  <c r="M81" i="2"/>
  <c r="M94" s="1"/>
  <c r="M122" s="1"/>
  <c r="S15" i="26" s="1"/>
  <c r="M78" i="2"/>
  <c r="M91" s="1"/>
  <c r="M119" s="1"/>
  <c r="S12" i="26" s="1"/>
  <c r="M84" i="2"/>
  <c r="M97" s="1"/>
  <c r="M125" s="1"/>
  <c r="S18" i="26" s="1"/>
  <c r="M80" i="2"/>
  <c r="M93" s="1"/>
  <c r="M121" s="1"/>
  <c r="S14" i="26" s="1"/>
  <c r="F79" i="2"/>
  <c r="F92" s="1"/>
  <c r="F120" s="1"/>
  <c r="L13" i="26" s="1"/>
  <c r="F81" i="2"/>
  <c r="F94" s="1"/>
  <c r="F122" s="1"/>
  <c r="L15" i="26" s="1"/>
  <c r="F80" i="2"/>
  <c r="F93" s="1"/>
  <c r="F121" s="1"/>
  <c r="L14" i="26" s="1"/>
  <c r="F82" i="2"/>
  <c r="F95" s="1"/>
  <c r="F123" s="1"/>
  <c r="L16" i="26" s="1"/>
  <c r="F77" i="2"/>
  <c r="F90" s="1"/>
  <c r="F78"/>
  <c r="F91" s="1"/>
  <c r="F119" s="1"/>
  <c r="L12" i="26" s="1"/>
  <c r="F84" i="2"/>
  <c r="F97" s="1"/>
  <c r="F125" s="1"/>
  <c r="L18" i="26" s="1"/>
  <c r="F83" i="2"/>
  <c r="F96" s="1"/>
  <c r="F124" s="1"/>
  <c r="L17" i="26" s="1"/>
  <c r="E84" i="2"/>
  <c r="E97" s="1"/>
  <c r="E80"/>
  <c r="E93" s="1"/>
  <c r="E79"/>
  <c r="E92" s="1"/>
  <c r="Y50"/>
  <c r="E81"/>
  <c r="E94" s="1"/>
  <c r="E82"/>
  <c r="E95" s="1"/>
  <c r="E77"/>
  <c r="E90" s="1"/>
  <c r="E78"/>
  <c r="E91" s="1"/>
  <c r="E83"/>
  <c r="E96" s="1"/>
  <c r="S84"/>
  <c r="S97" s="1"/>
  <c r="S125" s="1"/>
  <c r="Y18" i="26" s="1"/>
  <c r="S80" i="2"/>
  <c r="S93" s="1"/>
  <c r="S121" s="1"/>
  <c r="Y14" i="26" s="1"/>
  <c r="S78" i="2"/>
  <c r="S91" s="1"/>
  <c r="S119" s="1"/>
  <c r="Y12" i="26" s="1"/>
  <c r="S81" i="2"/>
  <c r="S94" s="1"/>
  <c r="S122" s="1"/>
  <c r="Y15" i="26" s="1"/>
  <c r="S83" i="2"/>
  <c r="S96" s="1"/>
  <c r="S124" s="1"/>
  <c r="Y17" i="26" s="1"/>
  <c r="S82" i="2"/>
  <c r="S95" s="1"/>
  <c r="S123" s="1"/>
  <c r="Y16" i="26" s="1"/>
  <c r="S79" i="2"/>
  <c r="S92" s="1"/>
  <c r="S120" s="1"/>
  <c r="Y13" i="26" s="1"/>
  <c r="S77" i="2"/>
  <c r="S90" s="1"/>
  <c r="G80"/>
  <c r="G93" s="1"/>
  <c r="G121" s="1"/>
  <c r="M14" i="26" s="1"/>
  <c r="G84" i="2"/>
  <c r="G97" s="1"/>
  <c r="G125" s="1"/>
  <c r="M18" i="26" s="1"/>
  <c r="G83" i="2"/>
  <c r="G96" s="1"/>
  <c r="G124" s="1"/>
  <c r="M17" i="26" s="1"/>
  <c r="G82" i="2"/>
  <c r="G95" s="1"/>
  <c r="G123" s="1"/>
  <c r="M16" i="26" s="1"/>
  <c r="G79" i="2"/>
  <c r="G92" s="1"/>
  <c r="G120" s="1"/>
  <c r="M13" i="26" s="1"/>
  <c r="G78" i="2"/>
  <c r="G91" s="1"/>
  <c r="G119" s="1"/>
  <c r="M12" i="26" s="1"/>
  <c r="G81" i="2"/>
  <c r="G94" s="1"/>
  <c r="G122" s="1"/>
  <c r="M15" i="26" s="1"/>
  <c r="G77" i="2"/>
  <c r="G90" s="1"/>
  <c r="R79"/>
  <c r="R92" s="1"/>
  <c r="R120" s="1"/>
  <c r="X13" i="26" s="1"/>
  <c r="R83" i="2"/>
  <c r="R96" s="1"/>
  <c r="R124" s="1"/>
  <c r="X17" i="26" s="1"/>
  <c r="R80" i="2"/>
  <c r="R93" s="1"/>
  <c r="R121" s="1"/>
  <c r="X14" i="26" s="1"/>
  <c r="R82" i="2"/>
  <c r="R95" s="1"/>
  <c r="R123" s="1"/>
  <c r="X16" i="26" s="1"/>
  <c r="R81" i="2"/>
  <c r="R94" s="1"/>
  <c r="R122" s="1"/>
  <c r="X15" i="26" s="1"/>
  <c r="R78" i="2"/>
  <c r="R91" s="1"/>
  <c r="R119" s="1"/>
  <c r="X12" i="26" s="1"/>
  <c r="R77" i="2"/>
  <c r="R90" s="1"/>
  <c r="R84"/>
  <c r="R97" s="1"/>
  <c r="R125" s="1"/>
  <c r="X18" i="26" s="1"/>
  <c r="Y54" i="2"/>
  <c r="Y53"/>
  <c r="Y57"/>
  <c r="Z57" s="1"/>
  <c r="Y56"/>
  <c r="X133" l="1"/>
  <c r="X170" s="1"/>
  <c r="R133"/>
  <c r="R170" s="1"/>
  <c r="S133"/>
  <c r="S170" s="1"/>
  <c r="J133"/>
  <c r="J170" s="1"/>
  <c r="O133"/>
  <c r="O170" s="1"/>
  <c r="W133"/>
  <c r="W170" s="1"/>
  <c r="U133"/>
  <c r="U170" s="1"/>
  <c r="H133"/>
  <c r="H170" s="1"/>
  <c r="K133"/>
  <c r="K170" s="1"/>
  <c r="G133"/>
  <c r="G170" s="1"/>
  <c r="T133"/>
  <c r="T170" s="1"/>
  <c r="M133"/>
  <c r="M170" s="1"/>
  <c r="E120"/>
  <c r="K13" i="26" s="1"/>
  <c r="E105" i="2"/>
  <c r="F105" s="1"/>
  <c r="G105" s="1"/>
  <c r="H105" s="1"/>
  <c r="I105" s="1"/>
  <c r="J105" s="1"/>
  <c r="K105" s="1"/>
  <c r="L105" s="1"/>
  <c r="M105" s="1"/>
  <c r="N105" s="1"/>
  <c r="O105" s="1"/>
  <c r="P105" s="1"/>
  <c r="Q105" s="1"/>
  <c r="R105" s="1"/>
  <c r="S105" s="1"/>
  <c r="T105" s="1"/>
  <c r="U105" s="1"/>
  <c r="V105" s="1"/>
  <c r="W105" s="1"/>
  <c r="X105" s="1"/>
  <c r="M118"/>
  <c r="S11" i="26" s="1"/>
  <c r="M99" i="2"/>
  <c r="V118"/>
  <c r="AB11" i="26" s="1"/>
  <c r="V99" i="2"/>
  <c r="X99"/>
  <c r="X118"/>
  <c r="AD11" i="26" s="1"/>
  <c r="L118" i="2"/>
  <c r="R11" i="26" s="1"/>
  <c r="L99" i="2"/>
  <c r="E123"/>
  <c r="K16" i="26" s="1"/>
  <c r="E108" i="2"/>
  <c r="F108" s="1"/>
  <c r="G108" s="1"/>
  <c r="H108" s="1"/>
  <c r="I108" s="1"/>
  <c r="J108" s="1"/>
  <c r="K108" s="1"/>
  <c r="L108" s="1"/>
  <c r="M108" s="1"/>
  <c r="N108" s="1"/>
  <c r="O108" s="1"/>
  <c r="P108" s="1"/>
  <c r="Q108" s="1"/>
  <c r="R108" s="1"/>
  <c r="S108" s="1"/>
  <c r="T108" s="1"/>
  <c r="U108" s="1"/>
  <c r="V108" s="1"/>
  <c r="W108" s="1"/>
  <c r="X108" s="1"/>
  <c r="E121"/>
  <c r="K14" i="26" s="1"/>
  <c r="E106" i="2"/>
  <c r="F106" s="1"/>
  <c r="G106" s="1"/>
  <c r="H106" s="1"/>
  <c r="I106" s="1"/>
  <c r="J106" s="1"/>
  <c r="K106" s="1"/>
  <c r="L106" s="1"/>
  <c r="M106" s="1"/>
  <c r="N106" s="1"/>
  <c r="O106" s="1"/>
  <c r="P106" s="1"/>
  <c r="Q106" s="1"/>
  <c r="R106" s="1"/>
  <c r="S106" s="1"/>
  <c r="T106" s="1"/>
  <c r="U106" s="1"/>
  <c r="V106" s="1"/>
  <c r="W106" s="1"/>
  <c r="X106" s="1"/>
  <c r="T118"/>
  <c r="Z11" i="26" s="1"/>
  <c r="T99" i="2"/>
  <c r="O118"/>
  <c r="U11" i="26" s="1"/>
  <c r="O99" i="2"/>
  <c r="W118"/>
  <c r="AC11" i="26" s="1"/>
  <c r="W99" i="2"/>
  <c r="H118"/>
  <c r="N11" i="26" s="1"/>
  <c r="H99" i="2"/>
  <c r="F133"/>
  <c r="F170" s="1"/>
  <c r="V133"/>
  <c r="V170" s="1"/>
  <c r="P133"/>
  <c r="P170" s="1"/>
  <c r="U118"/>
  <c r="AA11" i="26" s="1"/>
  <c r="U99" i="2"/>
  <c r="Z125"/>
  <c r="Z119"/>
  <c r="Z124"/>
  <c r="Z122"/>
  <c r="Z120"/>
  <c r="Z118"/>
  <c r="Z121"/>
  <c r="Z123"/>
  <c r="R118"/>
  <c r="X11" i="26" s="1"/>
  <c r="R99" i="2"/>
  <c r="E119"/>
  <c r="K12" i="26" s="1"/>
  <c r="E104" i="2"/>
  <c r="F104" s="1"/>
  <c r="G104" s="1"/>
  <c r="H104" s="1"/>
  <c r="I104" s="1"/>
  <c r="J104" s="1"/>
  <c r="K104" s="1"/>
  <c r="L104" s="1"/>
  <c r="M104" s="1"/>
  <c r="N104" s="1"/>
  <c r="O104" s="1"/>
  <c r="P104" s="1"/>
  <c r="Q104" s="1"/>
  <c r="R104" s="1"/>
  <c r="S104" s="1"/>
  <c r="T104" s="1"/>
  <c r="U104" s="1"/>
  <c r="V104" s="1"/>
  <c r="W104" s="1"/>
  <c r="X104" s="1"/>
  <c r="Q118"/>
  <c r="W11" i="26" s="1"/>
  <c r="Q99" i="2"/>
  <c r="I118"/>
  <c r="O11" i="26" s="1"/>
  <c r="I99" i="2"/>
  <c r="N118"/>
  <c r="T11" i="26" s="1"/>
  <c r="N99" i="2"/>
  <c r="L133"/>
  <c r="L170" s="1"/>
  <c r="E118"/>
  <c r="K11" i="26" s="1"/>
  <c r="E99" i="2"/>
  <c r="E103"/>
  <c r="G118"/>
  <c r="M11" i="26" s="1"/>
  <c r="G99" i="2"/>
  <c r="S118"/>
  <c r="Y11" i="26" s="1"/>
  <c r="S99" i="2"/>
  <c r="E124"/>
  <c r="K17" i="26" s="1"/>
  <c r="E109" i="2"/>
  <c r="F109" s="1"/>
  <c r="G109" s="1"/>
  <c r="H109" s="1"/>
  <c r="I109" s="1"/>
  <c r="J109" s="1"/>
  <c r="K109" s="1"/>
  <c r="L109" s="1"/>
  <c r="M109" s="1"/>
  <c r="N109" s="1"/>
  <c r="O109" s="1"/>
  <c r="P109" s="1"/>
  <c r="Q109" s="1"/>
  <c r="R109" s="1"/>
  <c r="S109" s="1"/>
  <c r="T109" s="1"/>
  <c r="U109" s="1"/>
  <c r="V109" s="1"/>
  <c r="W109" s="1"/>
  <c r="X109" s="1"/>
  <c r="E122"/>
  <c r="K15" i="26" s="1"/>
  <c r="E107" i="2"/>
  <c r="F107" s="1"/>
  <c r="G107" s="1"/>
  <c r="H107" s="1"/>
  <c r="I107" s="1"/>
  <c r="J107" s="1"/>
  <c r="K107" s="1"/>
  <c r="L107" s="1"/>
  <c r="M107" s="1"/>
  <c r="N107" s="1"/>
  <c r="O107" s="1"/>
  <c r="P107" s="1"/>
  <c r="Q107" s="1"/>
  <c r="R107" s="1"/>
  <c r="S107" s="1"/>
  <c r="T107" s="1"/>
  <c r="U107" s="1"/>
  <c r="V107" s="1"/>
  <c r="W107" s="1"/>
  <c r="X107" s="1"/>
  <c r="E110"/>
  <c r="F110" s="1"/>
  <c r="G110" s="1"/>
  <c r="H110" s="1"/>
  <c r="I110" s="1"/>
  <c r="J110" s="1"/>
  <c r="K110" s="1"/>
  <c r="L110" s="1"/>
  <c r="M110" s="1"/>
  <c r="N110" s="1"/>
  <c r="O110" s="1"/>
  <c r="P110" s="1"/>
  <c r="Q110" s="1"/>
  <c r="R110" s="1"/>
  <c r="S110" s="1"/>
  <c r="T110" s="1"/>
  <c r="U110" s="1"/>
  <c r="V110" s="1"/>
  <c r="W110" s="1"/>
  <c r="X110" s="1"/>
  <c r="E125"/>
  <c r="K18" i="26" s="1"/>
  <c r="F118" i="2"/>
  <c r="L11" i="26" s="1"/>
  <c r="F99" i="2"/>
  <c r="J118"/>
  <c r="P11" i="26" s="1"/>
  <c r="J99" i="2"/>
  <c r="P118"/>
  <c r="V11" i="26" s="1"/>
  <c r="P99" i="2"/>
  <c r="K118"/>
  <c r="Q11" i="26" s="1"/>
  <c r="K99" i="2"/>
  <c r="Q133"/>
  <c r="Q170" s="1"/>
  <c r="I133"/>
  <c r="I170" s="1"/>
  <c r="N133"/>
  <c r="N170" s="1"/>
  <c r="Z133" l="1"/>
  <c r="Z170" s="1"/>
  <c r="P150"/>
  <c r="P138"/>
  <c r="P148"/>
  <c r="P154"/>
  <c r="P155"/>
  <c r="P145"/>
  <c r="P160"/>
  <c r="P162"/>
  <c r="P135"/>
  <c r="P157"/>
  <c r="P163"/>
  <c r="P127"/>
  <c r="P149"/>
  <c r="P139"/>
  <c r="P156"/>
  <c r="P134"/>
  <c r="P171" s="1"/>
  <c r="P152"/>
  <c r="P153"/>
  <c r="P147"/>
  <c r="P140"/>
  <c r="P141"/>
  <c r="P161"/>
  <c r="P146"/>
  <c r="P164"/>
  <c r="P136"/>
  <c r="P173" s="1"/>
  <c r="P142"/>
  <c r="P143"/>
  <c r="P158"/>
  <c r="P159"/>
  <c r="P151"/>
  <c r="P137"/>
  <c r="P144"/>
  <c r="E145"/>
  <c r="E152"/>
  <c r="E155"/>
  <c r="E163"/>
  <c r="E164"/>
  <c r="E139"/>
  <c r="E147"/>
  <c r="E151"/>
  <c r="E140"/>
  <c r="E154"/>
  <c r="E127"/>
  <c r="E159"/>
  <c r="E157"/>
  <c r="E134"/>
  <c r="E142"/>
  <c r="E160"/>
  <c r="E135"/>
  <c r="E158"/>
  <c r="E141"/>
  <c r="E148"/>
  <c r="E162"/>
  <c r="E149"/>
  <c r="E144"/>
  <c r="E143"/>
  <c r="E150"/>
  <c r="E137"/>
  <c r="E138"/>
  <c r="E146"/>
  <c r="E156"/>
  <c r="E153"/>
  <c r="E190" s="1"/>
  <c r="E161"/>
  <c r="E136"/>
  <c r="N147"/>
  <c r="N154"/>
  <c r="N164"/>
  <c r="N138"/>
  <c r="N148"/>
  <c r="N146"/>
  <c r="N142"/>
  <c r="N156"/>
  <c r="N140"/>
  <c r="N141"/>
  <c r="N152"/>
  <c r="N163"/>
  <c r="N143"/>
  <c r="N144"/>
  <c r="N153"/>
  <c r="N190" s="1"/>
  <c r="N157"/>
  <c r="N149"/>
  <c r="N186" s="1"/>
  <c r="N160"/>
  <c r="N145"/>
  <c r="N127"/>
  <c r="N137"/>
  <c r="N136"/>
  <c r="N150"/>
  <c r="N139"/>
  <c r="N151"/>
  <c r="N135"/>
  <c r="N134"/>
  <c r="N171" s="1"/>
  <c r="N161"/>
  <c r="N158"/>
  <c r="N159"/>
  <c r="N155"/>
  <c r="N162"/>
  <c r="Q162"/>
  <c r="Q147"/>
  <c r="Q155"/>
  <c r="Q149"/>
  <c r="Q160"/>
  <c r="Q157"/>
  <c r="Q137"/>
  <c r="Q151"/>
  <c r="Q127"/>
  <c r="Q161"/>
  <c r="Q142"/>
  <c r="Q152"/>
  <c r="Q158"/>
  <c r="Q144"/>
  <c r="Q141"/>
  <c r="Q143"/>
  <c r="Q164"/>
  <c r="Q145"/>
  <c r="Q156"/>
  <c r="Q193" s="1"/>
  <c r="Q154"/>
  <c r="Q148"/>
  <c r="Q135"/>
  <c r="Q163"/>
  <c r="Q134"/>
  <c r="Q171" s="1"/>
  <c r="Q139"/>
  <c r="Q140"/>
  <c r="Q150"/>
  <c r="Q138"/>
  <c r="Q153"/>
  <c r="Q159"/>
  <c r="Q146"/>
  <c r="Q136"/>
  <c r="R146"/>
  <c r="R155"/>
  <c r="R153"/>
  <c r="R157"/>
  <c r="R147"/>
  <c r="R140"/>
  <c r="R135"/>
  <c r="R127"/>
  <c r="R141"/>
  <c r="R154"/>
  <c r="R158"/>
  <c r="R137"/>
  <c r="R164"/>
  <c r="R136"/>
  <c r="R163"/>
  <c r="R162"/>
  <c r="R151"/>
  <c r="R138"/>
  <c r="R142"/>
  <c r="R143"/>
  <c r="R148"/>
  <c r="R185" s="1"/>
  <c r="R150"/>
  <c r="R145"/>
  <c r="R160"/>
  <c r="R149"/>
  <c r="R139"/>
  <c r="R176" s="1"/>
  <c r="R159"/>
  <c r="R196" s="1"/>
  <c r="R161"/>
  <c r="R156"/>
  <c r="R144"/>
  <c r="R152"/>
  <c r="R134"/>
  <c r="R171" s="1"/>
  <c r="H154"/>
  <c r="H164"/>
  <c r="H148"/>
  <c r="H150"/>
  <c r="H157"/>
  <c r="H140"/>
  <c r="H161"/>
  <c r="H163"/>
  <c r="H162"/>
  <c r="H143"/>
  <c r="H135"/>
  <c r="H146"/>
  <c r="H139"/>
  <c r="H127"/>
  <c r="H142"/>
  <c r="H141"/>
  <c r="H160"/>
  <c r="H152"/>
  <c r="H149"/>
  <c r="H186" s="1"/>
  <c r="H147"/>
  <c r="H137"/>
  <c r="H153"/>
  <c r="H190" s="1"/>
  <c r="H151"/>
  <c r="H136"/>
  <c r="H138"/>
  <c r="H159"/>
  <c r="H155"/>
  <c r="H134"/>
  <c r="H171" s="1"/>
  <c r="H145"/>
  <c r="H144"/>
  <c r="H181" s="1"/>
  <c r="H158"/>
  <c r="H156"/>
  <c r="O163"/>
  <c r="O152"/>
  <c r="O148"/>
  <c r="O154"/>
  <c r="O158"/>
  <c r="O150"/>
  <c r="O139"/>
  <c r="O127"/>
  <c r="O153"/>
  <c r="O149"/>
  <c r="O142"/>
  <c r="O157"/>
  <c r="O140"/>
  <c r="O155"/>
  <c r="O162"/>
  <c r="O151"/>
  <c r="O159"/>
  <c r="O156"/>
  <c r="O147"/>
  <c r="O143"/>
  <c r="O134"/>
  <c r="O171" s="1"/>
  <c r="O145"/>
  <c r="O136"/>
  <c r="O141"/>
  <c r="O137"/>
  <c r="O161"/>
  <c r="O146"/>
  <c r="O135"/>
  <c r="O164"/>
  <c r="O201" s="1"/>
  <c r="O160"/>
  <c r="O138"/>
  <c r="O144"/>
  <c r="L127"/>
  <c r="L163"/>
  <c r="L150"/>
  <c r="L151"/>
  <c r="L143"/>
  <c r="L136"/>
  <c r="L140"/>
  <c r="L162"/>
  <c r="L154"/>
  <c r="L159"/>
  <c r="L152"/>
  <c r="L139"/>
  <c r="L145"/>
  <c r="L156"/>
  <c r="L135"/>
  <c r="L147"/>
  <c r="L144"/>
  <c r="L153"/>
  <c r="L134"/>
  <c r="L171" s="1"/>
  <c r="L161"/>
  <c r="L138"/>
  <c r="L155"/>
  <c r="L141"/>
  <c r="L178" s="1"/>
  <c r="L149"/>
  <c r="L142"/>
  <c r="L157"/>
  <c r="L194" s="1"/>
  <c r="L146"/>
  <c r="L148"/>
  <c r="L185" s="1"/>
  <c r="L160"/>
  <c r="L137"/>
  <c r="L174" s="1"/>
  <c r="L158"/>
  <c r="L164"/>
  <c r="V158"/>
  <c r="V151"/>
  <c r="V153"/>
  <c r="V135"/>
  <c r="V163"/>
  <c r="V160"/>
  <c r="V143"/>
  <c r="V149"/>
  <c r="V127"/>
  <c r="V142"/>
  <c r="V157"/>
  <c r="V147"/>
  <c r="V140"/>
  <c r="V162"/>
  <c r="V159"/>
  <c r="V137"/>
  <c r="V150"/>
  <c r="V141"/>
  <c r="V152"/>
  <c r="V139"/>
  <c r="V146"/>
  <c r="V161"/>
  <c r="V198" s="1"/>
  <c r="V154"/>
  <c r="V134"/>
  <c r="V171" s="1"/>
  <c r="V136"/>
  <c r="V148"/>
  <c r="V156"/>
  <c r="V144"/>
  <c r="V138"/>
  <c r="V145"/>
  <c r="V164"/>
  <c r="V155"/>
  <c r="E133"/>
  <c r="E170" s="1"/>
  <c r="F134"/>
  <c r="F171" s="1"/>
  <c r="F145"/>
  <c r="F162"/>
  <c r="F155"/>
  <c r="F147"/>
  <c r="F144"/>
  <c r="F151"/>
  <c r="F143"/>
  <c r="F136"/>
  <c r="F148"/>
  <c r="F142"/>
  <c r="F154"/>
  <c r="F135"/>
  <c r="F172" s="1"/>
  <c r="F163"/>
  <c r="F153"/>
  <c r="F159"/>
  <c r="F138"/>
  <c r="F146"/>
  <c r="F183" s="1"/>
  <c r="F152"/>
  <c r="F189" s="1"/>
  <c r="F161"/>
  <c r="F156"/>
  <c r="F157"/>
  <c r="F158"/>
  <c r="F150"/>
  <c r="F141"/>
  <c r="F140"/>
  <c r="F160"/>
  <c r="F137"/>
  <c r="F164"/>
  <c r="F139"/>
  <c r="F149"/>
  <c r="S143"/>
  <c r="S159"/>
  <c r="S149"/>
  <c r="S147"/>
  <c r="S146"/>
  <c r="S135"/>
  <c r="S157"/>
  <c r="S153"/>
  <c r="S155"/>
  <c r="S150"/>
  <c r="S162"/>
  <c r="S151"/>
  <c r="S142"/>
  <c r="S127"/>
  <c r="S154"/>
  <c r="S144"/>
  <c r="S136"/>
  <c r="S148"/>
  <c r="S134"/>
  <c r="S171" s="1"/>
  <c r="S137"/>
  <c r="S141"/>
  <c r="S158"/>
  <c r="S138"/>
  <c r="S139"/>
  <c r="S160"/>
  <c r="S152"/>
  <c r="S161"/>
  <c r="S145"/>
  <c r="S182" s="1"/>
  <c r="S163"/>
  <c r="S156"/>
  <c r="S140"/>
  <c r="S164"/>
  <c r="Z145"/>
  <c r="Z161"/>
  <c r="Z160"/>
  <c r="Z155"/>
  <c r="Z142"/>
  <c r="Z158"/>
  <c r="Z156"/>
  <c r="Z159"/>
  <c r="Z127"/>
  <c r="Z141"/>
  <c r="Z157"/>
  <c r="Z152"/>
  <c r="Z147"/>
  <c r="Z138"/>
  <c r="Z154"/>
  <c r="Z148"/>
  <c r="Z151"/>
  <c r="Z137"/>
  <c r="Z153"/>
  <c r="Z144"/>
  <c r="Z139"/>
  <c r="Z134"/>
  <c r="Z150"/>
  <c r="Z140"/>
  <c r="Z143"/>
  <c r="Z180" s="1"/>
  <c r="Z163"/>
  <c r="Z135"/>
  <c r="Z164"/>
  <c r="Z136"/>
  <c r="Z146"/>
  <c r="Z162"/>
  <c r="Z149"/>
  <c r="E112"/>
  <c r="F103"/>
  <c r="I127"/>
  <c r="I160"/>
  <c r="I156"/>
  <c r="I150"/>
  <c r="I155"/>
  <c r="I135"/>
  <c r="I140"/>
  <c r="I144"/>
  <c r="I142"/>
  <c r="I163"/>
  <c r="I136"/>
  <c r="I147"/>
  <c r="I139"/>
  <c r="I138"/>
  <c r="I161"/>
  <c r="I149"/>
  <c r="I162"/>
  <c r="I159"/>
  <c r="I143"/>
  <c r="I157"/>
  <c r="I158"/>
  <c r="I153"/>
  <c r="I154"/>
  <c r="I145"/>
  <c r="I182" s="1"/>
  <c r="I148"/>
  <c r="I151"/>
  <c r="I134"/>
  <c r="I171" s="1"/>
  <c r="I141"/>
  <c r="I164"/>
  <c r="I146"/>
  <c r="I152"/>
  <c r="I137"/>
  <c r="U134"/>
  <c r="U171" s="1"/>
  <c r="U138"/>
  <c r="U135"/>
  <c r="U137"/>
  <c r="U163"/>
  <c r="U144"/>
  <c r="U152"/>
  <c r="U156"/>
  <c r="U143"/>
  <c r="U155"/>
  <c r="U127"/>
  <c r="U149"/>
  <c r="U160"/>
  <c r="U146"/>
  <c r="U162"/>
  <c r="U153"/>
  <c r="U145"/>
  <c r="U142"/>
  <c r="U139"/>
  <c r="U157"/>
  <c r="U148"/>
  <c r="U136"/>
  <c r="U161"/>
  <c r="U159"/>
  <c r="U147"/>
  <c r="U141"/>
  <c r="U154"/>
  <c r="U151"/>
  <c r="U150"/>
  <c r="U164"/>
  <c r="U158"/>
  <c r="U140"/>
  <c r="W127"/>
  <c r="W136"/>
  <c r="W156"/>
  <c r="W148"/>
  <c r="W145"/>
  <c r="W137"/>
  <c r="W153"/>
  <c r="W143"/>
  <c r="W157"/>
  <c r="W151"/>
  <c r="W158"/>
  <c r="W160"/>
  <c r="W150"/>
  <c r="W144"/>
  <c r="W141"/>
  <c r="W154"/>
  <c r="W140"/>
  <c r="W135"/>
  <c r="W142"/>
  <c r="W147"/>
  <c r="W159"/>
  <c r="W155"/>
  <c r="W162"/>
  <c r="W138"/>
  <c r="W134"/>
  <c r="W171" s="1"/>
  <c r="W139"/>
  <c r="W161"/>
  <c r="W163"/>
  <c r="W164"/>
  <c r="W152"/>
  <c r="W189" s="1"/>
  <c r="W149"/>
  <c r="W146"/>
  <c r="T143"/>
  <c r="T148"/>
  <c r="T159"/>
  <c r="T156"/>
  <c r="T147"/>
  <c r="T139"/>
  <c r="T138"/>
  <c r="T150"/>
  <c r="T163"/>
  <c r="T157"/>
  <c r="T142"/>
  <c r="T155"/>
  <c r="T158"/>
  <c r="T135"/>
  <c r="T127"/>
  <c r="T137"/>
  <c r="T154"/>
  <c r="T152"/>
  <c r="T140"/>
  <c r="T136"/>
  <c r="T134"/>
  <c r="T171" s="1"/>
  <c r="T161"/>
  <c r="T141"/>
  <c r="T144"/>
  <c r="T149"/>
  <c r="T160"/>
  <c r="T153"/>
  <c r="T145"/>
  <c r="T164"/>
  <c r="T201" s="1"/>
  <c r="T151"/>
  <c r="T146"/>
  <c r="T162"/>
  <c r="M140"/>
  <c r="M151"/>
  <c r="M163"/>
  <c r="M147"/>
  <c r="M144"/>
  <c r="M155"/>
  <c r="M152"/>
  <c r="M150"/>
  <c r="M139"/>
  <c r="M135"/>
  <c r="M164"/>
  <c r="M158"/>
  <c r="M159"/>
  <c r="M136"/>
  <c r="M162"/>
  <c r="M157"/>
  <c r="M146"/>
  <c r="M138"/>
  <c r="M143"/>
  <c r="M161"/>
  <c r="M154"/>
  <c r="M153"/>
  <c r="M148"/>
  <c r="M156"/>
  <c r="M160"/>
  <c r="M197" s="1"/>
  <c r="M145"/>
  <c r="M127"/>
  <c r="M149"/>
  <c r="M137"/>
  <c r="M141"/>
  <c r="M134"/>
  <c r="M171" s="1"/>
  <c r="M142"/>
  <c r="K151"/>
  <c r="K160"/>
  <c r="K162"/>
  <c r="K143"/>
  <c r="K154"/>
  <c r="K155"/>
  <c r="K147"/>
  <c r="K158"/>
  <c r="K148"/>
  <c r="K127"/>
  <c r="K135"/>
  <c r="K138"/>
  <c r="K161"/>
  <c r="K137"/>
  <c r="K142"/>
  <c r="K139"/>
  <c r="K141"/>
  <c r="K146"/>
  <c r="K156"/>
  <c r="K149"/>
  <c r="K136"/>
  <c r="K164"/>
  <c r="K153"/>
  <c r="K145"/>
  <c r="K144"/>
  <c r="K150"/>
  <c r="K140"/>
  <c r="K152"/>
  <c r="K134"/>
  <c r="K171" s="1"/>
  <c r="K159"/>
  <c r="K163"/>
  <c r="K200" s="1"/>
  <c r="K157"/>
  <c r="J137"/>
  <c r="J134"/>
  <c r="J171" s="1"/>
  <c r="J141"/>
  <c r="J149"/>
  <c r="J138"/>
  <c r="J142"/>
  <c r="J158"/>
  <c r="J155"/>
  <c r="J139"/>
  <c r="J154"/>
  <c r="J146"/>
  <c r="J161"/>
  <c r="J150"/>
  <c r="J153"/>
  <c r="J147"/>
  <c r="J156"/>
  <c r="J193" s="1"/>
  <c r="J151"/>
  <c r="J162"/>
  <c r="J144"/>
  <c r="J159"/>
  <c r="J136"/>
  <c r="J140"/>
  <c r="J145"/>
  <c r="J152"/>
  <c r="J163"/>
  <c r="J127"/>
  <c r="J143"/>
  <c r="J164"/>
  <c r="J148"/>
  <c r="J157"/>
  <c r="J160"/>
  <c r="J135"/>
  <c r="G127"/>
  <c r="G149"/>
  <c r="G146"/>
  <c r="G142"/>
  <c r="G154"/>
  <c r="G143"/>
  <c r="G160"/>
  <c r="G162"/>
  <c r="G136"/>
  <c r="G156"/>
  <c r="G148"/>
  <c r="G159"/>
  <c r="G141"/>
  <c r="G144"/>
  <c r="G163"/>
  <c r="G137"/>
  <c r="G151"/>
  <c r="G161"/>
  <c r="G138"/>
  <c r="G140"/>
  <c r="G145"/>
  <c r="G153"/>
  <c r="G147"/>
  <c r="G157"/>
  <c r="G134"/>
  <c r="G171" s="1"/>
  <c r="G152"/>
  <c r="G150"/>
  <c r="G158"/>
  <c r="G164"/>
  <c r="G155"/>
  <c r="G139"/>
  <c r="G176" s="1"/>
  <c r="G135"/>
  <c r="X140"/>
  <c r="X156"/>
  <c r="X149"/>
  <c r="X139"/>
  <c r="X155"/>
  <c r="X145"/>
  <c r="X138"/>
  <c r="X162"/>
  <c r="X151"/>
  <c r="X158"/>
  <c r="X127"/>
  <c r="X136"/>
  <c r="X152"/>
  <c r="X141"/>
  <c r="X135"/>
  <c r="X137"/>
  <c r="X134"/>
  <c r="X171" s="1"/>
  <c r="X164"/>
  <c r="X147"/>
  <c r="X161"/>
  <c r="X143"/>
  <c r="X153"/>
  <c r="X163"/>
  <c r="X144"/>
  <c r="X157"/>
  <c r="X159"/>
  <c r="X196" s="1"/>
  <c r="X150"/>
  <c r="X187" s="1"/>
  <c r="X160"/>
  <c r="X146"/>
  <c r="X148"/>
  <c r="X142"/>
  <c r="X154"/>
  <c r="F127"/>
  <c r="O181" l="1"/>
  <c r="G181"/>
  <c r="H184"/>
  <c r="R198"/>
  <c r="Z186"/>
  <c r="N176"/>
  <c r="N199"/>
  <c r="Q189"/>
  <c r="M173"/>
  <c r="H175"/>
  <c r="G184"/>
  <c r="P176"/>
  <c r="P186"/>
  <c r="P198"/>
  <c r="N194"/>
  <c r="E197"/>
  <c r="M201"/>
  <c r="V191"/>
  <c r="T178"/>
  <c r="R186"/>
  <c r="N185"/>
  <c r="J188"/>
  <c r="X185"/>
  <c r="X201"/>
  <c r="E185"/>
  <c r="P201"/>
  <c r="J182"/>
  <c r="T182"/>
  <c r="W179"/>
  <c r="M190"/>
  <c r="T197"/>
  <c r="T176"/>
  <c r="U173"/>
  <c r="Z177"/>
  <c r="Z181"/>
  <c r="Z185"/>
  <c r="Z189"/>
  <c r="S201"/>
  <c r="S174"/>
  <c r="S181"/>
  <c r="F197"/>
  <c r="E173"/>
  <c r="E183"/>
  <c r="J184"/>
  <c r="R184"/>
  <c r="I183"/>
  <c r="U194"/>
  <c r="O193"/>
  <c r="Q182"/>
  <c r="J175"/>
  <c r="U175"/>
  <c r="I188"/>
  <c r="G195"/>
  <c r="X174"/>
  <c r="W181"/>
  <c r="J176"/>
  <c r="Z194"/>
  <c r="K196"/>
  <c r="T188"/>
  <c r="W192"/>
  <c r="W174"/>
  <c r="X189"/>
  <c r="M185"/>
  <c r="W186"/>
  <c r="W198"/>
  <c r="S197"/>
  <c r="S173"/>
  <c r="F174"/>
  <c r="O196"/>
  <c r="P178"/>
  <c r="P192"/>
  <c r="Z171"/>
  <c r="E195"/>
  <c r="P188"/>
  <c r="P179"/>
  <c r="K176"/>
  <c r="K181"/>
  <c r="M174"/>
  <c r="M191"/>
  <c r="M183"/>
  <c r="M196"/>
  <c r="M176"/>
  <c r="M181"/>
  <c r="T186"/>
  <c r="T191"/>
  <c r="T195"/>
  <c r="T180"/>
  <c r="W201"/>
  <c r="W196"/>
  <c r="W177"/>
  <c r="W187"/>
  <c r="W194"/>
  <c r="W182"/>
  <c r="U187"/>
  <c r="U184"/>
  <c r="U182"/>
  <c r="U197"/>
  <c r="U180"/>
  <c r="U200"/>
  <c r="I201"/>
  <c r="I185"/>
  <c r="I195"/>
  <c r="I199"/>
  <c r="I176"/>
  <c r="I192"/>
  <c r="Z199"/>
  <c r="Z172"/>
  <c r="Z187"/>
  <c r="Z190"/>
  <c r="Z193"/>
  <c r="Z197"/>
  <c r="S177"/>
  <c r="S198"/>
  <c r="S175"/>
  <c r="S191"/>
  <c r="F176"/>
  <c r="F194"/>
  <c r="F200"/>
  <c r="F181"/>
  <c r="V201"/>
  <c r="V193"/>
  <c r="V196"/>
  <c r="L183"/>
  <c r="L189"/>
  <c r="L177"/>
  <c r="O175"/>
  <c r="O173"/>
  <c r="H195"/>
  <c r="H192"/>
  <c r="H188"/>
  <c r="R189"/>
  <c r="R179"/>
  <c r="R200"/>
  <c r="R195"/>
  <c r="Q187"/>
  <c r="Q200"/>
  <c r="N187"/>
  <c r="E198"/>
  <c r="E178"/>
  <c r="P174"/>
  <c r="P193"/>
  <c r="P200"/>
  <c r="X190"/>
  <c r="G192"/>
  <c r="G198"/>
  <c r="J179"/>
  <c r="U192"/>
  <c r="I190"/>
  <c r="V181"/>
  <c r="H173"/>
  <c r="Q175"/>
  <c r="Q180"/>
  <c r="E180"/>
  <c r="X178"/>
  <c r="X181"/>
  <c r="G172"/>
  <c r="G174"/>
  <c r="G179"/>
  <c r="J201"/>
  <c r="J189"/>
  <c r="K189"/>
  <c r="K186"/>
  <c r="V182"/>
  <c r="V185"/>
  <c r="V178"/>
  <c r="V197"/>
  <c r="L192"/>
  <c r="L190"/>
  <c r="L200"/>
  <c r="O197"/>
  <c r="O182"/>
  <c r="O192"/>
  <c r="R181"/>
  <c r="R175"/>
  <c r="R173"/>
  <c r="R191"/>
  <c r="Q196"/>
  <c r="Q198"/>
  <c r="X195"/>
  <c r="X182"/>
  <c r="X193"/>
  <c r="G189"/>
  <c r="G180"/>
  <c r="G186"/>
  <c r="J194"/>
  <c r="J177"/>
  <c r="J199"/>
  <c r="J190"/>
  <c r="K187"/>
  <c r="K201"/>
  <c r="K183"/>
  <c r="K174"/>
  <c r="K192"/>
  <c r="M172"/>
  <c r="M188"/>
  <c r="T194"/>
  <c r="W176"/>
  <c r="U178"/>
  <c r="I175"/>
  <c r="I172"/>
  <c r="Z201"/>
  <c r="Z196"/>
  <c r="S188"/>
  <c r="S190"/>
  <c r="S184"/>
  <c r="F179"/>
  <c r="V192"/>
  <c r="V176"/>
  <c r="V174"/>
  <c r="V184"/>
  <c r="L198"/>
  <c r="L176"/>
  <c r="O172"/>
  <c r="O178"/>
  <c r="O180"/>
  <c r="O191"/>
  <c r="H183"/>
  <c r="R194"/>
  <c r="Q191"/>
  <c r="Q186"/>
  <c r="N175"/>
  <c r="X200"/>
  <c r="X184"/>
  <c r="X172"/>
  <c r="X175"/>
  <c r="G175"/>
  <c r="G200"/>
  <c r="G197"/>
  <c r="G183"/>
  <c r="J197"/>
  <c r="K177"/>
  <c r="K190"/>
  <c r="K179"/>
  <c r="K172"/>
  <c r="K199"/>
  <c r="M180"/>
  <c r="M199"/>
  <c r="T175"/>
  <c r="U195"/>
  <c r="U191"/>
  <c r="U189"/>
  <c r="Z176"/>
  <c r="Z184"/>
  <c r="Z179"/>
  <c r="K182"/>
  <c r="V188"/>
  <c r="L196"/>
  <c r="L173"/>
  <c r="O186"/>
  <c r="O189"/>
  <c r="H196"/>
  <c r="H189"/>
  <c r="H180"/>
  <c r="H177"/>
  <c r="H201"/>
  <c r="R187"/>
  <c r="Q177"/>
  <c r="Q172"/>
  <c r="Q181"/>
  <c r="Q194"/>
  <c r="Q184"/>
  <c r="N196"/>
  <c r="N172"/>
  <c r="N181"/>
  <c r="N178"/>
  <c r="N183"/>
  <c r="N191"/>
  <c r="E174"/>
  <c r="E186"/>
  <c r="E176"/>
  <c r="E189"/>
  <c r="P190"/>
  <c r="P194"/>
  <c r="P182"/>
  <c r="P175"/>
  <c r="T200"/>
  <c r="I179"/>
  <c r="S194"/>
  <c r="S186"/>
  <c r="F185"/>
  <c r="H198"/>
  <c r="N189"/>
  <c r="G103"/>
  <c r="F112"/>
  <c r="L182"/>
  <c r="L181"/>
  <c r="H200"/>
  <c r="H199"/>
  <c r="E194"/>
  <c r="E193"/>
  <c r="G193"/>
  <c r="K197"/>
  <c r="X191"/>
  <c r="X198"/>
  <c r="X199"/>
  <c r="X183"/>
  <c r="X194"/>
  <c r="X180"/>
  <c r="X188"/>
  <c r="X192"/>
  <c r="X177"/>
  <c r="G201"/>
  <c r="G182"/>
  <c r="G188"/>
  <c r="G178"/>
  <c r="G173"/>
  <c r="G191"/>
  <c r="J185"/>
  <c r="J200"/>
  <c r="J173"/>
  <c r="J187"/>
  <c r="J174"/>
  <c r="K173"/>
  <c r="K178"/>
  <c r="K198"/>
  <c r="K185"/>
  <c r="K191"/>
  <c r="K188"/>
  <c r="M179"/>
  <c r="M186"/>
  <c r="M193"/>
  <c r="M198"/>
  <c r="M194"/>
  <c r="M195"/>
  <c r="M187"/>
  <c r="M184"/>
  <c r="T199"/>
  <c r="T181"/>
  <c r="T173"/>
  <c r="T174"/>
  <c r="T192"/>
  <c r="T187"/>
  <c r="T193"/>
  <c r="W183"/>
  <c r="W200"/>
  <c r="W175"/>
  <c r="W184"/>
  <c r="W191"/>
  <c r="W197"/>
  <c r="W180"/>
  <c r="W185"/>
  <c r="U177"/>
  <c r="U188"/>
  <c r="U196"/>
  <c r="U190"/>
  <c r="U186"/>
  <c r="U193"/>
  <c r="U174"/>
  <c r="I174"/>
  <c r="I178"/>
  <c r="I194"/>
  <c r="I186"/>
  <c r="I184"/>
  <c r="I181"/>
  <c r="I187"/>
  <c r="Z183"/>
  <c r="Z200"/>
  <c r="Z174"/>
  <c r="Z175"/>
  <c r="Z178"/>
  <c r="Z195"/>
  <c r="Z198"/>
  <c r="S193"/>
  <c r="S189"/>
  <c r="S195"/>
  <c r="S185"/>
  <c r="S187"/>
  <c r="S172"/>
  <c r="S196"/>
  <c r="F201"/>
  <c r="F178"/>
  <c r="F193"/>
  <c r="F175"/>
  <c r="F173"/>
  <c r="F184"/>
  <c r="V175"/>
  <c r="V173"/>
  <c r="V183"/>
  <c r="V187"/>
  <c r="V177"/>
  <c r="V200"/>
  <c r="V195"/>
  <c r="L197"/>
  <c r="L179"/>
  <c r="L175"/>
  <c r="L191"/>
  <c r="L180"/>
  <c r="O174"/>
  <c r="O177"/>
  <c r="O190"/>
  <c r="O195"/>
  <c r="O200"/>
  <c r="H182"/>
  <c r="H174"/>
  <c r="H197"/>
  <c r="H176"/>
  <c r="H194"/>
  <c r="H191"/>
  <c r="R193"/>
  <c r="R188"/>
  <c r="R201"/>
  <c r="R178"/>
  <c r="R183"/>
  <c r="Q190"/>
  <c r="Q176"/>
  <c r="Q185"/>
  <c r="Q201"/>
  <c r="Q195"/>
  <c r="Q197"/>
  <c r="Q199"/>
  <c r="N195"/>
  <c r="N188"/>
  <c r="N174"/>
  <c r="N180"/>
  <c r="N177"/>
  <c r="N184"/>
  <c r="E187"/>
  <c r="E199"/>
  <c r="E172"/>
  <c r="E177"/>
  <c r="E201"/>
  <c r="P196"/>
  <c r="P189"/>
  <c r="P172"/>
  <c r="P187"/>
  <c r="M177"/>
  <c r="U185"/>
  <c r="Z191"/>
  <c r="S199"/>
  <c r="F177"/>
  <c r="F182"/>
  <c r="V199"/>
  <c r="V179"/>
  <c r="L193"/>
  <c r="O198"/>
  <c r="O187"/>
  <c r="R177"/>
  <c r="R192"/>
  <c r="N173"/>
  <c r="N197"/>
  <c r="E171"/>
  <c r="E191"/>
  <c r="E182"/>
  <c r="E181"/>
  <c r="G190"/>
  <c r="J191"/>
  <c r="X179"/>
  <c r="X186"/>
  <c r="G187"/>
  <c r="G185"/>
  <c r="J180"/>
  <c r="J181"/>
  <c r="J183"/>
  <c r="J195"/>
  <c r="J178"/>
  <c r="K193"/>
  <c r="K184"/>
  <c r="M178"/>
  <c r="M182"/>
  <c r="M175"/>
  <c r="M192"/>
  <c r="T198"/>
  <c r="T189"/>
  <c r="T172"/>
  <c r="T185"/>
  <c r="W172"/>
  <c r="W188"/>
  <c r="W173"/>
  <c r="U201"/>
  <c r="U179"/>
  <c r="U183"/>
  <c r="U181"/>
  <c r="I196"/>
  <c r="I200"/>
  <c r="I197"/>
  <c r="Z192"/>
  <c r="S176"/>
  <c r="F186"/>
  <c r="F195"/>
  <c r="F190"/>
  <c r="F188"/>
  <c r="F199"/>
  <c r="V189"/>
  <c r="V194"/>
  <c r="V180"/>
  <c r="V190"/>
  <c r="L195"/>
  <c r="L172"/>
  <c r="L187"/>
  <c r="O183"/>
  <c r="O184"/>
  <c r="O199"/>
  <c r="O179"/>
  <c r="O176"/>
  <c r="O185"/>
  <c r="H172"/>
  <c r="H185"/>
  <c r="R182"/>
  <c r="R172"/>
  <c r="R190"/>
  <c r="Q183"/>
  <c r="Q178"/>
  <c r="Q179"/>
  <c r="Q174"/>
  <c r="Q192"/>
  <c r="N192"/>
  <c r="N182"/>
  <c r="N179"/>
  <c r="N201"/>
  <c r="E175"/>
  <c r="E179"/>
  <c r="E184"/>
  <c r="E192"/>
  <c r="P180"/>
  <c r="P183"/>
  <c r="P184"/>
  <c r="P197"/>
  <c r="P185"/>
  <c r="T184"/>
  <c r="T183"/>
  <c r="H179"/>
  <c r="H178"/>
  <c r="X197"/>
  <c r="X173"/>
  <c r="X176"/>
  <c r="G194"/>
  <c r="G177"/>
  <c r="G196"/>
  <c r="G199"/>
  <c r="J172"/>
  <c r="J196"/>
  <c r="J198"/>
  <c r="J192"/>
  <c r="J186"/>
  <c r="K194"/>
  <c r="K175"/>
  <c r="K195"/>
  <c r="K180"/>
  <c r="M189"/>
  <c r="M200"/>
  <c r="T190"/>
  <c r="T177"/>
  <c r="T179"/>
  <c r="T196"/>
  <c r="W199"/>
  <c r="W178"/>
  <c r="W195"/>
  <c r="W190"/>
  <c r="W193"/>
  <c r="U198"/>
  <c r="U176"/>
  <c r="U199"/>
  <c r="U172"/>
  <c r="I189"/>
  <c r="I191"/>
  <c r="I180"/>
  <c r="I198"/>
  <c r="I173"/>
  <c r="I177"/>
  <c r="I193"/>
  <c r="Z173"/>
  <c r="Z188"/>
  <c r="Z182"/>
  <c r="S200"/>
  <c r="S178"/>
  <c r="S179"/>
  <c r="S192"/>
  <c r="S183"/>
  <c r="S180"/>
  <c r="F187"/>
  <c r="F198"/>
  <c r="F196"/>
  <c r="F191"/>
  <c r="F180"/>
  <c r="F192"/>
  <c r="V186"/>
  <c r="V172"/>
  <c r="L201"/>
  <c r="L186"/>
  <c r="L184"/>
  <c r="L199"/>
  <c r="L188"/>
  <c r="O188"/>
  <c r="O194"/>
  <c r="H193"/>
  <c r="H187"/>
  <c r="R197"/>
  <c r="R180"/>
  <c r="R199"/>
  <c r="R174"/>
  <c r="Q173"/>
  <c r="Q188"/>
  <c r="N198"/>
  <c r="N200"/>
  <c r="N193"/>
  <c r="E196"/>
  <c r="E188"/>
  <c r="E200"/>
  <c r="P181"/>
  <c r="P195"/>
  <c r="P177"/>
  <c r="P199"/>
  <c r="P191"/>
  <c r="Q203" l="1"/>
  <c r="M203"/>
  <c r="X203"/>
  <c r="K203"/>
  <c r="E203"/>
  <c r="V203"/>
  <c r="R203"/>
  <c r="H203"/>
  <c r="I203"/>
  <c r="T203"/>
  <c r="O203"/>
  <c r="S203"/>
  <c r="U203"/>
  <c r="J203"/>
  <c r="W203"/>
  <c r="G203"/>
  <c r="H103"/>
  <c r="G112"/>
  <c r="Z204"/>
  <c r="C10" s="1"/>
  <c r="N203"/>
  <c r="L203"/>
  <c r="P203"/>
  <c r="F203"/>
  <c r="A14" i="26" l="1"/>
  <c r="E204" i="2"/>
  <c r="F204" s="1"/>
  <c r="G204" s="1"/>
  <c r="H204" s="1"/>
  <c r="I204" s="1"/>
  <c r="J204" s="1"/>
  <c r="K204" s="1"/>
  <c r="L204" s="1"/>
  <c r="M204" s="1"/>
  <c r="N204" s="1"/>
  <c r="O204" s="1"/>
  <c r="P204" s="1"/>
  <c r="Q204" s="1"/>
  <c r="R204" s="1"/>
  <c r="S204" s="1"/>
  <c r="T204" s="1"/>
  <c r="U204" s="1"/>
  <c r="V204" s="1"/>
  <c r="W204" s="1"/>
  <c r="X204" s="1"/>
  <c r="I103"/>
  <c r="H112"/>
  <c r="J103" l="1"/>
  <c r="I112"/>
  <c r="K103" l="1"/>
  <c r="J112"/>
  <c r="L103" l="1"/>
  <c r="K112"/>
  <c r="M103" l="1"/>
  <c r="L112"/>
  <c r="N103" l="1"/>
  <c r="M112"/>
  <c r="O103" l="1"/>
  <c r="N112"/>
  <c r="P103" l="1"/>
  <c r="O112"/>
  <c r="Q103" l="1"/>
  <c r="P112"/>
  <c r="R103" l="1"/>
  <c r="Q112"/>
  <c r="S103" l="1"/>
  <c r="R112"/>
  <c r="T103" l="1"/>
  <c r="S112"/>
  <c r="U103" l="1"/>
  <c r="T112"/>
  <c r="V103" l="1"/>
  <c r="U112"/>
  <c r="W103" l="1"/>
  <c r="V112"/>
  <c r="X103" l="1"/>
  <c r="X112" s="1"/>
  <c r="W112"/>
  <c r="Y73" i="1" l="1"/>
  <c r="Y86"/>
  <c r="Y92"/>
  <c r="Y104"/>
  <c r="Y81"/>
  <c r="Y101"/>
  <c r="Y87"/>
  <c r="Y124" s="1"/>
  <c r="Y93"/>
  <c r="Y130" s="1"/>
  <c r="Y99"/>
  <c r="Y88"/>
  <c r="Y108"/>
  <c r="Y97"/>
  <c r="Y85"/>
  <c r="Y90"/>
  <c r="Y96"/>
  <c r="Y80"/>
  <c r="Y105"/>
  <c r="Y98"/>
  <c r="Y106"/>
  <c r="Y143" s="1"/>
  <c r="Y95"/>
  <c r="Y91"/>
  <c r="Y128" s="1"/>
  <c r="Y100"/>
  <c r="Y137" s="1"/>
  <c r="Y102"/>
  <c r="Y139" s="1"/>
  <c r="Y83"/>
  <c r="Y89"/>
  <c r="Y126" s="1"/>
  <c r="Y84"/>
  <c r="Y122" s="1"/>
  <c r="Y109"/>
  <c r="Y146" s="1"/>
  <c r="Y107"/>
  <c r="Y110"/>
  <c r="Y82"/>
  <c r="Y119" s="1"/>
  <c r="Y103"/>
  <c r="Y140" s="1"/>
  <c r="Y94"/>
  <c r="Y131" s="1"/>
  <c r="Y79"/>
  <c r="Y116" s="1"/>
  <c r="Y145" l="1"/>
  <c r="Y142"/>
  <c r="Y125"/>
  <c r="Y147"/>
  <c r="Y117"/>
  <c r="Y127"/>
  <c r="Y132"/>
  <c r="Y138"/>
  <c r="Y123"/>
  <c r="Y129"/>
  <c r="Y133"/>
  <c r="Y134"/>
  <c r="Y141"/>
  <c r="Y120"/>
  <c r="Y136"/>
  <c r="Y118"/>
  <c r="Y135"/>
  <c r="Y144"/>
  <c r="Y121"/>
  <c r="Y150" l="1"/>
  <c r="C10" s="1"/>
</calcChain>
</file>

<file path=xl/comments1.xml><?xml version="1.0" encoding="utf-8"?>
<comments xmlns="http://schemas.openxmlformats.org/spreadsheetml/2006/main">
  <authors>
    <author>Charlie Grist</author>
  </authors>
  <commentList>
    <comment ref="A1" authorId="0">
      <text>
        <r>
          <rPr>
            <b/>
            <sz val="9"/>
            <color indexed="81"/>
            <rFont val="Tahoma"/>
            <family val="2"/>
          </rPr>
          <t>Charlie Grist:</t>
        </r>
        <r>
          <rPr>
            <sz val="9"/>
            <color indexed="81"/>
            <rFont val="Tahoma"/>
            <family val="2"/>
          </rPr>
          <t xml:space="preserve">
Lookup in ComMaster</t>
        </r>
      </text>
    </comment>
    <comment ref="B1" authorId="0">
      <text>
        <r>
          <rPr>
            <b/>
            <sz val="9"/>
            <color indexed="81"/>
            <rFont val="Tahoma"/>
            <family val="2"/>
          </rPr>
          <t>Charlie Grist:</t>
        </r>
        <r>
          <rPr>
            <sz val="9"/>
            <color indexed="81"/>
            <rFont val="Tahoma"/>
            <family val="2"/>
          </rPr>
          <t xml:space="preserve">
New, NR, Retro</t>
        </r>
      </text>
    </comment>
    <comment ref="C1" authorId="0">
      <text>
        <r>
          <rPr>
            <b/>
            <sz val="9"/>
            <color indexed="81"/>
            <rFont val="Tahoma"/>
            <family val="2"/>
          </rPr>
          <t>Charlie Grist:</t>
        </r>
        <r>
          <rPr>
            <sz val="9"/>
            <color indexed="81"/>
            <rFont val="Tahoma"/>
            <family val="2"/>
          </rPr>
          <t xml:space="preserve">
Measure Index Name</t>
        </r>
      </text>
    </comment>
    <comment ref="E1" authorId="0">
      <text>
        <r>
          <rPr>
            <b/>
            <sz val="9"/>
            <color indexed="81"/>
            <rFont val="Tahoma"/>
            <family val="2"/>
          </rPr>
          <t>Charlie Grist:</t>
        </r>
        <r>
          <rPr>
            <sz val="9"/>
            <color indexed="81"/>
            <rFont val="Tahoma"/>
            <family val="2"/>
          </rPr>
          <t xml:space="preserve">
Use Massoud's Names</t>
        </r>
      </text>
    </comment>
    <comment ref="F1" authorId="0">
      <text>
        <r>
          <rPr>
            <b/>
            <sz val="9"/>
            <color indexed="81"/>
            <rFont val="Tahoma"/>
            <family val="2"/>
          </rPr>
          <t>Charlie Grist:</t>
        </r>
        <r>
          <rPr>
            <sz val="9"/>
            <color indexed="81"/>
            <rFont val="Tahoma"/>
            <family val="2"/>
          </rPr>
          <t xml:space="preserve">
From Shaped Savings column 14</t>
        </r>
      </text>
    </comment>
    <comment ref="G1" authorId="0">
      <text>
        <r>
          <rPr>
            <b/>
            <sz val="9"/>
            <color indexed="81"/>
            <rFont val="Tahoma"/>
            <family val="2"/>
          </rPr>
          <t>Charlie Grist:</t>
        </r>
        <r>
          <rPr>
            <sz val="9"/>
            <color indexed="81"/>
            <rFont val="Tahoma"/>
            <family val="2"/>
          </rPr>
          <t xml:space="preserve">
From SC or from Shaped Savings column 3.
</t>
        </r>
      </text>
    </comment>
    <comment ref="H1" authorId="0">
      <text>
        <r>
          <rPr>
            <b/>
            <sz val="9"/>
            <color indexed="81"/>
            <rFont val="Tahoma"/>
            <family val="2"/>
          </rPr>
          <t>Charlie Grist:</t>
        </r>
        <r>
          <rPr>
            <sz val="9"/>
            <color indexed="81"/>
            <rFont val="Tahoma"/>
            <family val="2"/>
          </rPr>
          <t xml:space="preserve">
From SC or from Shaped Savings column K (column 11)</t>
        </r>
      </text>
    </comment>
    <comment ref="I1" authorId="0">
      <text>
        <r>
          <rPr>
            <b/>
            <sz val="9"/>
            <color indexed="81"/>
            <rFont val="Tahoma"/>
            <family val="2"/>
          </rPr>
          <t>Charlie Grist:</t>
        </r>
        <r>
          <rPr>
            <sz val="9"/>
            <color indexed="81"/>
            <rFont val="Tahoma"/>
            <family val="2"/>
          </rPr>
          <t xml:space="preserve">
From SC</t>
        </r>
      </text>
    </comment>
    <comment ref="J1" authorId="0">
      <text>
        <r>
          <rPr>
            <b/>
            <sz val="9"/>
            <color indexed="81"/>
            <rFont val="Tahoma"/>
            <family val="2"/>
          </rPr>
          <t>Charlie Grist:</t>
        </r>
        <r>
          <rPr>
            <sz val="9"/>
            <color indexed="81"/>
            <rFont val="Tahoma"/>
            <family val="2"/>
          </rPr>
          <t xml:space="preserve">
From SC</t>
        </r>
      </text>
    </comment>
    <comment ref="K1" authorId="0">
      <text>
        <r>
          <rPr>
            <b/>
            <sz val="9"/>
            <color indexed="81"/>
            <rFont val="Tahoma"/>
            <family val="2"/>
          </rPr>
          <t>Charlie Grist:</t>
        </r>
        <r>
          <rPr>
            <sz val="9"/>
            <color indexed="81"/>
            <rFont val="Tahoma"/>
            <family val="2"/>
          </rPr>
          <t xml:space="preserve">
From SC</t>
        </r>
      </text>
    </comment>
    <comment ref="AF1" authorId="0">
      <text>
        <r>
          <rPr>
            <b/>
            <sz val="9"/>
            <color indexed="81"/>
            <rFont val="Tahoma"/>
            <family val="2"/>
          </rPr>
          <t>Charlie Grist:</t>
        </r>
        <r>
          <rPr>
            <sz val="9"/>
            <color indexed="81"/>
            <rFont val="Tahoma"/>
            <family val="2"/>
          </rPr>
          <t xml:space="preserve">
From Shaped Savings.  Copy whole row down since column increment is hardwired into formula.</t>
        </r>
      </text>
    </comment>
  </commentList>
</comments>
</file>

<file path=xl/comments2.xml><?xml version="1.0" encoding="utf-8"?>
<comments xmlns="http://schemas.openxmlformats.org/spreadsheetml/2006/main">
  <authors>
    <author>Charlie Grist</author>
  </authors>
  <commentList>
    <comment ref="A6" authorId="0">
      <text>
        <r>
          <rPr>
            <b/>
            <sz val="9"/>
            <color indexed="81"/>
            <rFont val="Tahoma"/>
            <family val="2"/>
          </rPr>
          <t>Charlie Grist:</t>
        </r>
        <r>
          <rPr>
            <sz val="9"/>
            <color indexed="81"/>
            <rFont val="Tahoma"/>
            <family val="2"/>
          </rPr>
          <t xml:space="preserve">
Link this to central switch SOMEPLACE.   Use to switch forecast.</t>
        </r>
      </text>
    </comment>
    <comment ref="A8" authorId="0">
      <text>
        <r>
          <rPr>
            <b/>
            <sz val="9"/>
            <color indexed="81"/>
            <rFont val="Tahoma"/>
            <family val="2"/>
          </rPr>
          <t>Charlie Grist:</t>
        </r>
        <r>
          <rPr>
            <sz val="9"/>
            <color indexed="81"/>
            <rFont val="Tahoma"/>
            <family val="2"/>
          </rPr>
          <t xml:space="preserve">
Use this to identify source file and range for 
 forecast.
</t>
        </r>
      </text>
    </comment>
    <comment ref="E13" authorId="0">
      <text>
        <r>
          <rPr>
            <b/>
            <sz val="9"/>
            <color indexed="81"/>
            <rFont val="Tahoma"/>
            <family val="2"/>
          </rPr>
          <t>Charlie Grist:</t>
        </r>
        <r>
          <rPr>
            <sz val="9"/>
            <color indexed="81"/>
            <rFont val="Tahoma"/>
            <family val="2"/>
          </rPr>
          <t xml:space="preserve">
Automate by lookup of "region" "Base" and "Applicable Stock"</t>
        </r>
      </text>
    </comment>
  </commentList>
</comments>
</file>

<file path=xl/comments3.xml><?xml version="1.0" encoding="utf-8"?>
<comments xmlns="http://schemas.openxmlformats.org/spreadsheetml/2006/main">
  <authors>
    <author>Charlie Grist</author>
  </authors>
  <commentList>
    <comment ref="A6" authorId="0">
      <text>
        <r>
          <rPr>
            <b/>
            <sz val="9"/>
            <color indexed="81"/>
            <rFont val="Tahoma"/>
            <family val="2"/>
          </rPr>
          <t>Charlie Grist:</t>
        </r>
        <r>
          <rPr>
            <sz val="9"/>
            <color indexed="81"/>
            <rFont val="Tahoma"/>
            <family val="2"/>
          </rPr>
          <t xml:space="preserve">
Link this to central switch SOMEPLACE.   Use to switch forecast.</t>
        </r>
      </text>
    </comment>
    <comment ref="A8" authorId="0">
      <text>
        <r>
          <rPr>
            <b/>
            <sz val="9"/>
            <color indexed="81"/>
            <rFont val="Tahoma"/>
            <family val="2"/>
          </rPr>
          <t>Charlie Grist:</t>
        </r>
        <r>
          <rPr>
            <sz val="9"/>
            <color indexed="81"/>
            <rFont val="Tahoma"/>
            <family val="2"/>
          </rPr>
          <t xml:space="preserve">
Use this to identify source file and range for 
 forecast.
</t>
        </r>
      </text>
    </comment>
    <comment ref="E13" authorId="0">
      <text>
        <r>
          <rPr>
            <b/>
            <sz val="9"/>
            <color indexed="81"/>
            <rFont val="Tahoma"/>
            <family val="2"/>
          </rPr>
          <t>Charlie Grist:</t>
        </r>
        <r>
          <rPr>
            <sz val="9"/>
            <color indexed="81"/>
            <rFont val="Tahoma"/>
            <family val="2"/>
          </rPr>
          <t xml:space="preserve">
Automate by lookup of "region" "Base" and "Applicable Stock"</t>
        </r>
      </text>
    </comment>
  </commentList>
</comments>
</file>

<file path=xl/comments4.xml><?xml version="1.0" encoding="utf-8"?>
<comments xmlns="http://schemas.openxmlformats.org/spreadsheetml/2006/main">
  <authors>
    <author xml:space="preserve"> </author>
    <author>Charlie Grist</author>
  </authors>
  <commentList>
    <comment ref="I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BH58"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58"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58"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58"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8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87"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87"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8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5.xml><?xml version="1.0" encoding="utf-8"?>
<comments xmlns="http://schemas.openxmlformats.org/spreadsheetml/2006/main">
  <authors>
    <author xml:space="preserve"> </author>
    <author>Christian</author>
  </authors>
  <commentList>
    <comment ref="I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BH58"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58"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58"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58"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8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87"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87"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8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6.xml><?xml version="1.0" encoding="utf-8"?>
<comments xmlns="http://schemas.openxmlformats.org/spreadsheetml/2006/main">
  <authors>
    <author xml:space="preserve"> </author>
    <author>Christian</author>
  </authors>
  <commentList>
    <comment ref="I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BH58"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58"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58"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58"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8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87"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87"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8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7.xml><?xml version="1.0" encoding="utf-8"?>
<comments xmlns="http://schemas.openxmlformats.org/spreadsheetml/2006/main">
  <authors>
    <author xml:space="preserve"> </author>
  </authors>
  <commentList>
    <comment ref="K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Q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C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D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E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F7" authorId="0">
      <text>
        <r>
          <rPr>
            <b/>
            <sz val="8"/>
            <color indexed="81"/>
            <rFont val="Tahoma"/>
            <family val="2"/>
          </rPr>
          <t xml:space="preserve"> :ProCost</t>
        </r>
        <r>
          <rPr>
            <sz val="8"/>
            <color indexed="81"/>
            <rFont val="Tahoma"/>
            <family val="2"/>
          </rPr>
          <t xml:space="preserve">
Physical life of the measure in years.  Must be &gt;=1.</t>
        </r>
      </text>
    </comment>
    <comment ref="G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H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I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J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O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P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Q7" authorId="0">
      <text>
        <r>
          <rPr>
            <b/>
            <sz val="8"/>
            <color indexed="81"/>
            <rFont val="Tahoma"/>
            <family val="2"/>
          </rPr>
          <t xml:space="preserve"> :</t>
        </r>
        <r>
          <rPr>
            <sz val="8"/>
            <color indexed="81"/>
            <rFont val="Tahoma"/>
            <family val="2"/>
          </rPr>
          <t xml:space="preserve">
Annual gas savings, or increases, in therms.</t>
        </r>
      </text>
    </comment>
    <comment ref="R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8.xml><?xml version="1.0" encoding="utf-8"?>
<comments xmlns="http://schemas.openxmlformats.org/spreadsheetml/2006/main">
  <authors>
    <author>Charlie Grist</author>
  </authors>
  <commentList>
    <comment ref="O57" authorId="0">
      <text>
        <r>
          <rPr>
            <b/>
            <sz val="9"/>
            <color indexed="81"/>
            <rFont val="Tahoma"/>
            <family val="2"/>
          </rPr>
          <t>Charlie Grist:</t>
        </r>
        <r>
          <rPr>
            <sz val="9"/>
            <color indexed="81"/>
            <rFont val="Tahoma"/>
            <family val="2"/>
          </rPr>
          <t xml:space="preserve">
University estimates from other data sources.  No data in CBSA 2014.</t>
        </r>
      </text>
    </comment>
    <comment ref="U57" authorId="0">
      <text>
        <r>
          <rPr>
            <b/>
            <sz val="9"/>
            <color indexed="81"/>
            <rFont val="Tahoma"/>
            <family val="2"/>
          </rPr>
          <t>Charlie Grist:</t>
        </r>
        <r>
          <rPr>
            <sz val="9"/>
            <color indexed="81"/>
            <rFont val="Tahoma"/>
            <family val="2"/>
          </rPr>
          <t xml:space="preserve">
Hospital estimates from other data sources.  No data in CBSA 2014.</t>
        </r>
      </text>
    </comment>
    <comment ref="E58" authorId="0">
      <text>
        <r>
          <rPr>
            <b/>
            <sz val="9"/>
            <color indexed="81"/>
            <rFont val="Tahoma"/>
            <family val="2"/>
          </rPr>
          <t>Charlie Grist:</t>
        </r>
        <r>
          <rPr>
            <sz val="9"/>
            <color indexed="81"/>
            <rFont val="Tahoma"/>
            <family val="2"/>
          </rPr>
          <t xml:space="preserve">
Value includes estimate for University and Hospital so is different than reported in CBSA</t>
        </r>
      </text>
    </comment>
  </commentList>
</comments>
</file>

<file path=xl/comments9.xml><?xml version="1.0" encoding="utf-8"?>
<comments xmlns="http://schemas.openxmlformats.org/spreadsheetml/2006/main">
  <authors>
    <author>Christian</author>
  </authors>
  <commentList>
    <comment ref="H7" authorId="0">
      <text>
        <r>
          <rPr>
            <b/>
            <sz val="9"/>
            <color indexed="81"/>
            <rFont val="Tahoma"/>
            <family val="2"/>
          </rPr>
          <t>Christian:</t>
        </r>
        <r>
          <rPr>
            <sz val="9"/>
            <color indexed="81"/>
            <rFont val="Tahoma"/>
            <family val="2"/>
          </rPr>
          <t xml:space="preserve">
Include M_Input with no O&amp;M.</t>
        </r>
      </text>
    </comment>
    <comment ref="BL13" authorId="0">
      <text>
        <r>
          <rPr>
            <b/>
            <sz val="9"/>
            <color indexed="81"/>
            <rFont val="Tahoma"/>
            <family val="2"/>
          </rPr>
          <t>Christian:</t>
        </r>
        <r>
          <rPr>
            <sz val="9"/>
            <color indexed="81"/>
            <rFont val="Tahoma"/>
            <family val="2"/>
          </rPr>
          <t xml:space="preserve">
5 minutes</t>
        </r>
      </text>
    </comment>
    <comment ref="BM13" authorId="0">
      <text>
        <r>
          <rPr>
            <b/>
            <sz val="9"/>
            <color indexed="81"/>
            <rFont val="Tahoma"/>
            <family val="2"/>
          </rPr>
          <t>Christian:</t>
        </r>
        <r>
          <rPr>
            <sz val="9"/>
            <color indexed="81"/>
            <rFont val="Tahoma"/>
            <family val="2"/>
          </rPr>
          <t xml:space="preserve">
20 minutes</t>
        </r>
      </text>
    </comment>
    <comment ref="AB25" authorId="0">
      <text>
        <r>
          <rPr>
            <b/>
            <sz val="9"/>
            <color indexed="81"/>
            <rFont val="Tahoma"/>
            <family val="2"/>
          </rPr>
          <t>Christian:</t>
        </r>
        <r>
          <rPr>
            <sz val="9"/>
            <color indexed="81"/>
            <rFont val="Tahoma"/>
            <family val="2"/>
          </rPr>
          <t xml:space="preserve">
175W or 185W system power depending on ballast type; assume the average</t>
        </r>
      </text>
    </comment>
    <comment ref="AH25" authorId="0">
      <text>
        <r>
          <rPr>
            <b/>
            <sz val="9"/>
            <color indexed="81"/>
            <rFont val="Tahoma"/>
            <family val="2"/>
          </rPr>
          <t>Christian:</t>
        </r>
        <r>
          <rPr>
            <sz val="9"/>
            <color indexed="81"/>
            <rFont val="Tahoma"/>
            <family val="2"/>
          </rPr>
          <t xml:space="preserve">
not listed</t>
        </r>
      </text>
    </comment>
    <comment ref="U26" authorId="0">
      <text>
        <r>
          <rPr>
            <b/>
            <sz val="9"/>
            <color indexed="81"/>
            <rFont val="Tahoma"/>
            <family val="2"/>
          </rPr>
          <t>Christian:</t>
        </r>
        <r>
          <rPr>
            <sz val="9"/>
            <color indexed="81"/>
            <rFont val="Tahoma"/>
            <family val="2"/>
          </rPr>
          <t xml:space="preserve">
was not listed. Assume ~70,000</t>
        </r>
      </text>
    </comment>
    <comment ref="AB26" authorId="0">
      <text>
        <r>
          <rPr>
            <b/>
            <sz val="9"/>
            <color indexed="81"/>
            <rFont val="Tahoma"/>
            <family val="2"/>
          </rPr>
          <t>Christian:</t>
        </r>
        <r>
          <rPr>
            <sz val="9"/>
            <color indexed="81"/>
            <rFont val="Tahoma"/>
            <family val="2"/>
          </rPr>
          <t xml:space="preserve">
not listed</t>
        </r>
      </text>
    </comment>
    <comment ref="AH26" authorId="0">
      <text>
        <r>
          <rPr>
            <b/>
            <sz val="9"/>
            <color indexed="81"/>
            <rFont val="Tahoma"/>
            <family val="2"/>
          </rPr>
          <t>Christian:</t>
        </r>
        <r>
          <rPr>
            <sz val="9"/>
            <color indexed="81"/>
            <rFont val="Tahoma"/>
            <family val="2"/>
          </rPr>
          <t xml:space="preserve">
not listed</t>
        </r>
      </text>
    </comment>
    <comment ref="AS28" authorId="0">
      <text>
        <r>
          <rPr>
            <b/>
            <sz val="9"/>
            <color indexed="81"/>
            <rFont val="Tahoma"/>
            <family val="2"/>
          </rPr>
          <t>Christian:</t>
        </r>
        <r>
          <rPr>
            <sz val="9"/>
            <color indexed="81"/>
            <rFont val="Tahoma"/>
            <family val="2"/>
          </rPr>
          <t xml:space="preserve">
Assume purchase of whole fixtures only.</t>
        </r>
      </text>
    </comment>
    <comment ref="BM28" authorId="0">
      <text>
        <r>
          <rPr>
            <b/>
            <sz val="9"/>
            <color indexed="81"/>
            <rFont val="Tahoma"/>
            <family val="2"/>
          </rPr>
          <t>Christian:</t>
        </r>
        <r>
          <rPr>
            <sz val="9"/>
            <color indexed="81"/>
            <rFont val="Tahoma"/>
            <family val="2"/>
          </rPr>
          <t xml:space="preserve">
No lift required; assume 15 minutes.</t>
        </r>
      </text>
    </comment>
    <comment ref="BN28" authorId="0">
      <text>
        <r>
          <rPr>
            <b/>
            <sz val="9"/>
            <color indexed="81"/>
            <rFont val="Tahoma"/>
            <family val="2"/>
          </rPr>
          <t>Christian:</t>
        </r>
        <r>
          <rPr>
            <sz val="9"/>
            <color indexed="81"/>
            <rFont val="Tahoma"/>
            <family val="2"/>
          </rPr>
          <t xml:space="preserve">
assume labor rate without vehicle</t>
        </r>
      </text>
    </comment>
    <comment ref="BO28" authorId="0">
      <text>
        <r>
          <rPr>
            <b/>
            <sz val="9"/>
            <color indexed="81"/>
            <rFont val="Tahoma"/>
            <family val="2"/>
          </rPr>
          <t>Christian:</t>
        </r>
        <r>
          <rPr>
            <sz val="9"/>
            <color indexed="81"/>
            <rFont val="Tahoma"/>
            <family val="2"/>
          </rPr>
          <t xml:space="preserve">
assume labor rate without vehicle</t>
        </r>
      </text>
    </comment>
    <comment ref="AB29" authorId="0">
      <text>
        <r>
          <rPr>
            <b/>
            <sz val="9"/>
            <color indexed="81"/>
            <rFont val="Tahoma"/>
            <family val="2"/>
          </rPr>
          <t>Christian:</t>
        </r>
        <r>
          <rPr>
            <sz val="9"/>
            <color indexed="81"/>
            <rFont val="Tahoma"/>
            <family val="2"/>
          </rPr>
          <t xml:space="preserve">
175W or 185W system power depending on ballast type; assume the average</t>
        </r>
      </text>
    </comment>
    <comment ref="AH29" authorId="0">
      <text>
        <r>
          <rPr>
            <b/>
            <sz val="9"/>
            <color indexed="81"/>
            <rFont val="Tahoma"/>
            <family val="2"/>
          </rPr>
          <t>Christian:</t>
        </r>
        <r>
          <rPr>
            <sz val="9"/>
            <color indexed="81"/>
            <rFont val="Tahoma"/>
            <family val="2"/>
          </rPr>
          <t xml:space="preserve">
not listed</t>
        </r>
      </text>
    </comment>
    <comment ref="BG29" authorId="0">
      <text>
        <r>
          <rPr>
            <b/>
            <sz val="9"/>
            <color indexed="81"/>
            <rFont val="Tahoma"/>
            <family val="2"/>
          </rPr>
          <t xml:space="preserve">Christian:
</t>
        </r>
        <r>
          <rPr>
            <sz val="9"/>
            <color indexed="81"/>
            <rFont val="Tahoma"/>
            <family val="2"/>
          </rPr>
          <t>Since these are largely screw-in products, assume incremental fixture cost is equal to incremental lamp costs.</t>
        </r>
      </text>
    </comment>
    <comment ref="BG30" authorId="0">
      <text>
        <r>
          <rPr>
            <b/>
            <sz val="9"/>
            <color indexed="81"/>
            <rFont val="Tahoma"/>
            <family val="2"/>
          </rPr>
          <t xml:space="preserve">Christian:
</t>
        </r>
        <r>
          <rPr>
            <sz val="9"/>
            <color indexed="81"/>
            <rFont val="Tahoma"/>
            <family val="2"/>
          </rPr>
          <t>Since these are largely screw-in products, assume incremental fixture cost is equal to incremental lamp costs.</t>
        </r>
      </text>
    </comment>
    <comment ref="AS31" authorId="0">
      <text>
        <r>
          <rPr>
            <b/>
            <sz val="9"/>
            <color indexed="81"/>
            <rFont val="Tahoma"/>
            <family val="2"/>
          </rPr>
          <t>Christian:</t>
        </r>
        <r>
          <rPr>
            <sz val="9"/>
            <color indexed="81"/>
            <rFont val="Tahoma"/>
            <family val="2"/>
          </rPr>
          <t xml:space="preserve">
Assume equal likelihood of fixture swaps and lamp swaps.</t>
        </r>
      </text>
    </comment>
    <comment ref="BP31" authorId="0">
      <text>
        <r>
          <rPr>
            <b/>
            <sz val="9"/>
            <color indexed="81"/>
            <rFont val="Tahoma"/>
            <family val="2"/>
          </rPr>
          <t>Christian:</t>
        </r>
        <r>
          <rPr>
            <sz val="9"/>
            <color indexed="81"/>
            <rFont val="Tahoma"/>
            <family val="2"/>
          </rPr>
          <t xml:space="preserve">
Assume lamp replacement is predominant; therefore NR incremental labor cost is the same in pre and post case, or zero.</t>
        </r>
      </text>
    </comment>
    <comment ref="BG32" authorId="0">
      <text>
        <r>
          <rPr>
            <b/>
            <sz val="9"/>
            <color indexed="81"/>
            <rFont val="Tahoma"/>
            <family val="2"/>
          </rPr>
          <t xml:space="preserve">Christian:
</t>
        </r>
        <r>
          <rPr>
            <sz val="9"/>
            <color indexed="81"/>
            <rFont val="Tahoma"/>
            <family val="2"/>
          </rPr>
          <t>Assume that lamp replacement is predominant; therefore NR incremental cost is equal to incremental lamp cost.</t>
        </r>
      </text>
    </comment>
    <comment ref="BG33" authorId="0">
      <text>
        <r>
          <rPr>
            <b/>
            <sz val="9"/>
            <color indexed="81"/>
            <rFont val="Tahoma"/>
            <family val="2"/>
          </rPr>
          <t xml:space="preserve">Christian:
</t>
        </r>
        <r>
          <rPr>
            <sz val="9"/>
            <color indexed="81"/>
            <rFont val="Tahoma"/>
            <family val="2"/>
          </rPr>
          <t>Assume that lamp replacement is predominant; therefore NR incremental cost is equal to incremental lamp cost.</t>
        </r>
      </text>
    </comment>
    <comment ref="AS34" authorId="0">
      <text>
        <r>
          <rPr>
            <b/>
            <sz val="9"/>
            <color indexed="81"/>
            <rFont val="Tahoma"/>
            <family val="2"/>
          </rPr>
          <t>Christian:</t>
        </r>
        <r>
          <rPr>
            <sz val="9"/>
            <color indexed="81"/>
            <rFont val="Tahoma"/>
            <family val="2"/>
          </rPr>
          <t xml:space="preserve">
Assume equal likelihood of fixture swaps and lamp swaps.</t>
        </r>
      </text>
    </comment>
    <comment ref="BG35" authorId="0">
      <text>
        <r>
          <rPr>
            <b/>
            <sz val="9"/>
            <color indexed="81"/>
            <rFont val="Tahoma"/>
            <family val="2"/>
          </rPr>
          <t xml:space="preserve">Christian:
</t>
        </r>
        <r>
          <rPr>
            <sz val="9"/>
            <color indexed="81"/>
            <rFont val="Tahoma"/>
            <family val="2"/>
          </rPr>
          <t>Assume that lamp replacement is predominant; therefore Retro incremental cost is equal to total LED lamp cost.</t>
        </r>
      </text>
    </comment>
    <comment ref="BG36" authorId="0">
      <text>
        <r>
          <rPr>
            <b/>
            <sz val="9"/>
            <color indexed="81"/>
            <rFont val="Tahoma"/>
            <family val="2"/>
          </rPr>
          <t xml:space="preserve">Christian:
</t>
        </r>
        <r>
          <rPr>
            <sz val="9"/>
            <color indexed="81"/>
            <rFont val="Tahoma"/>
            <family val="2"/>
          </rPr>
          <t>Assume that lamp replacement is predominant; therefore Retro incremental cost is equal to total LED lamp cost.</t>
        </r>
      </text>
    </comment>
    <comment ref="AH38" authorId="0">
      <text>
        <r>
          <rPr>
            <b/>
            <sz val="9"/>
            <color indexed="81"/>
            <rFont val="Tahoma"/>
            <family val="2"/>
          </rPr>
          <t>Christian:</t>
        </r>
        <r>
          <rPr>
            <sz val="9"/>
            <color indexed="81"/>
            <rFont val="Tahoma"/>
            <family val="2"/>
          </rPr>
          <t xml:space="preserve">
not listed</t>
        </r>
      </text>
    </comment>
    <comment ref="AB39" authorId="0">
      <text>
        <r>
          <rPr>
            <b/>
            <sz val="9"/>
            <color indexed="81"/>
            <rFont val="Tahoma"/>
            <family val="2"/>
          </rPr>
          <t>Christian:</t>
        </r>
        <r>
          <rPr>
            <sz val="9"/>
            <color indexed="81"/>
            <rFont val="Tahoma"/>
            <family val="2"/>
          </rPr>
          <t xml:space="preserve">
not listed</t>
        </r>
      </text>
    </comment>
    <comment ref="AH39" authorId="0">
      <text>
        <r>
          <rPr>
            <b/>
            <sz val="9"/>
            <color indexed="81"/>
            <rFont val="Tahoma"/>
            <family val="2"/>
          </rPr>
          <t>Christian:</t>
        </r>
        <r>
          <rPr>
            <sz val="9"/>
            <color indexed="81"/>
            <rFont val="Tahoma"/>
            <family val="2"/>
          </rPr>
          <t xml:space="preserve">
not listed</t>
        </r>
      </text>
    </comment>
    <comment ref="AB41" authorId="0">
      <text>
        <r>
          <rPr>
            <b/>
            <sz val="9"/>
            <color indexed="81"/>
            <rFont val="Tahoma"/>
            <family val="2"/>
          </rPr>
          <t>Christian:</t>
        </r>
        <r>
          <rPr>
            <sz val="9"/>
            <color indexed="81"/>
            <rFont val="Tahoma"/>
            <family val="2"/>
          </rPr>
          <t xml:space="preserve">
not listed</t>
        </r>
      </text>
    </comment>
    <comment ref="AH41" authorId="0">
      <text>
        <r>
          <rPr>
            <b/>
            <sz val="9"/>
            <color indexed="81"/>
            <rFont val="Tahoma"/>
            <family val="2"/>
          </rPr>
          <t>Christian:</t>
        </r>
        <r>
          <rPr>
            <sz val="9"/>
            <color indexed="81"/>
            <rFont val="Tahoma"/>
            <family val="2"/>
          </rPr>
          <t xml:space="preserve">
not listed</t>
        </r>
      </text>
    </comment>
    <comment ref="AB43" authorId="0">
      <text>
        <r>
          <rPr>
            <b/>
            <sz val="9"/>
            <color indexed="81"/>
            <rFont val="Tahoma"/>
            <family val="2"/>
          </rPr>
          <t>Christian:</t>
        </r>
        <r>
          <rPr>
            <sz val="9"/>
            <color indexed="81"/>
            <rFont val="Tahoma"/>
            <family val="2"/>
          </rPr>
          <t xml:space="preserve">
streetlighting fixture power for 400W HID: 458W</t>
        </r>
      </text>
    </comment>
    <comment ref="AH43" authorId="0">
      <text>
        <r>
          <rPr>
            <b/>
            <sz val="9"/>
            <color indexed="81"/>
            <rFont val="Tahoma"/>
            <family val="2"/>
          </rPr>
          <t>Christian:</t>
        </r>
        <r>
          <rPr>
            <sz val="9"/>
            <color indexed="81"/>
            <rFont val="Tahoma"/>
            <family val="2"/>
          </rPr>
          <t xml:space="preserve">
streetlighting 400W HID assumes 16,000 hrs</t>
        </r>
      </text>
    </comment>
    <comment ref="AB52" authorId="0">
      <text>
        <r>
          <rPr>
            <b/>
            <sz val="9"/>
            <color indexed="81"/>
            <rFont val="Tahoma"/>
            <family val="2"/>
          </rPr>
          <t>Christian:</t>
        </r>
        <r>
          <rPr>
            <sz val="9"/>
            <color indexed="81"/>
            <rFont val="Tahoma"/>
            <family val="2"/>
          </rPr>
          <t xml:space="preserve">
175W or 185W system power depending on ballast type; assume the average</t>
        </r>
      </text>
    </comment>
    <comment ref="U53" authorId="0">
      <text>
        <r>
          <rPr>
            <b/>
            <sz val="9"/>
            <color indexed="81"/>
            <rFont val="Tahoma"/>
            <family val="2"/>
          </rPr>
          <t>Christian:</t>
        </r>
        <r>
          <rPr>
            <sz val="9"/>
            <color indexed="81"/>
            <rFont val="Tahoma"/>
            <family val="2"/>
          </rPr>
          <t xml:space="preserve">
was not listed. Assume ~70,000</t>
        </r>
      </text>
    </comment>
    <comment ref="AB53" authorId="0">
      <text>
        <r>
          <rPr>
            <b/>
            <sz val="9"/>
            <color indexed="81"/>
            <rFont val="Tahoma"/>
            <family val="2"/>
          </rPr>
          <t>Christian:</t>
        </r>
        <r>
          <rPr>
            <sz val="9"/>
            <color indexed="81"/>
            <rFont val="Tahoma"/>
            <family val="2"/>
          </rPr>
          <t xml:space="preserve">
not listed</t>
        </r>
      </text>
    </comment>
    <comment ref="AB56" authorId="0">
      <text>
        <r>
          <rPr>
            <b/>
            <sz val="9"/>
            <color indexed="81"/>
            <rFont val="Tahoma"/>
            <family val="2"/>
          </rPr>
          <t>Christian:</t>
        </r>
        <r>
          <rPr>
            <sz val="9"/>
            <color indexed="81"/>
            <rFont val="Tahoma"/>
            <family val="2"/>
          </rPr>
          <t xml:space="preserve">
175W or 185W system power depending on ballast type; assume the average</t>
        </r>
      </text>
    </comment>
    <comment ref="AF65" authorId="0">
      <text>
        <r>
          <rPr>
            <b/>
            <sz val="9"/>
            <color indexed="81"/>
            <rFont val="Tahoma"/>
            <family val="2"/>
          </rPr>
          <t>Christian:</t>
        </r>
        <r>
          <rPr>
            <sz val="9"/>
            <color indexed="81"/>
            <rFont val="Tahoma"/>
            <family val="2"/>
          </rPr>
          <t xml:space="preserve">
2006$</t>
        </r>
      </text>
    </comment>
    <comment ref="AF66" authorId="0">
      <text>
        <r>
          <rPr>
            <b/>
            <sz val="9"/>
            <color indexed="81"/>
            <rFont val="Tahoma"/>
            <family val="2"/>
          </rPr>
          <t>Christian:</t>
        </r>
        <r>
          <rPr>
            <sz val="9"/>
            <color indexed="81"/>
            <rFont val="Tahoma"/>
            <family val="2"/>
          </rPr>
          <t xml:space="preserve">
2014$, Philips 75W lamp: https://www.1000bulbs.com/category/75-watt-incandescent-standard-shape-light-bulbs/</t>
        </r>
      </text>
    </comment>
    <comment ref="N67" authorId="0">
      <text>
        <r>
          <rPr>
            <b/>
            <sz val="9"/>
            <color indexed="81"/>
            <rFont val="Tahoma"/>
            <family val="2"/>
          </rPr>
          <t>Christian:</t>
        </r>
        <r>
          <rPr>
            <sz val="9"/>
            <color indexed="81"/>
            <rFont val="Tahoma"/>
            <family val="2"/>
          </rPr>
          <t xml:space="preserve">
Delivered lumens for CREE 75W equivalent LED:
https://www.1000bulbs.com/category/75-watt-equal-led-light-bulbs/</t>
        </r>
      </text>
    </comment>
  </commentList>
</comments>
</file>

<file path=xl/sharedStrings.xml><?xml version="1.0" encoding="utf-8"?>
<sst xmlns="http://schemas.openxmlformats.org/spreadsheetml/2006/main" count="9677" uniqueCount="1013">
  <si>
    <t>Measure:</t>
  </si>
  <si>
    <t>Item</t>
  </si>
  <si>
    <t>Methods &amp; Sources</t>
  </si>
  <si>
    <t>Note</t>
  </si>
  <si>
    <t>7P Updates</t>
  </si>
  <si>
    <t>Measures Described</t>
  </si>
  <si>
    <t>Energy Savings Calculation Basis</t>
  </si>
  <si>
    <t>Applicable Stock</t>
  </si>
  <si>
    <t>Baseline Saturation</t>
  </si>
  <si>
    <t>Permutations</t>
  </si>
  <si>
    <t>Costs</t>
  </si>
  <si>
    <t>Measure Life</t>
  </si>
  <si>
    <t>Savings Shape</t>
  </si>
  <si>
    <t>Achievability Ramp Rate</t>
  </si>
  <si>
    <t>Data Set Name</t>
  </si>
  <si>
    <t>Measure Index Name</t>
  </si>
  <si>
    <t>Costs must be denominated in the same year as 'Input Cost Reference Year' =</t>
  </si>
  <si>
    <t>Input Data</t>
  </si>
  <si>
    <t>Periodic Replacement Costs and Savings and Replacement Period</t>
  </si>
  <si>
    <t>Gas Inputs</t>
  </si>
  <si>
    <t>Retro or LO</t>
  </si>
  <si>
    <t>Early Retrofit Parameters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</si>
  <si>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</si>
  <si>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</si>
  <si>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</si>
  <si>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</si>
  <si>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</si>
  <si>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</si>
  <si>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</si>
  <si>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</si>
  <si>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</si>
  <si>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</si>
  <si>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</si>
  <si>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</si>
  <si>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</si>
  <si>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</si>
  <si>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</si>
  <si>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R or L</t>
  </si>
  <si>
    <t>Savings 2
(kWh)</t>
  </si>
  <si>
    <t>Remaining
Life (yrs)</t>
  </si>
  <si>
    <t>Salvage Value ($)</t>
  </si>
  <si>
    <t>New</t>
  </si>
  <si>
    <t>MOPP</t>
  </si>
  <si>
    <t>Baseline Energy Use</t>
  </si>
  <si>
    <t>Baseline Penetration</t>
  </si>
  <si>
    <t xml:space="preserve">Description </t>
  </si>
  <si>
    <t>Date Done</t>
  </si>
  <si>
    <t>Who</t>
  </si>
  <si>
    <t>Result</t>
  </si>
  <si>
    <t>New cost data</t>
  </si>
  <si>
    <t>New performance data</t>
  </si>
  <si>
    <t>Update Source Summary</t>
  </si>
  <si>
    <t>Build Measure Map</t>
  </si>
  <si>
    <t>Figure out weighting scheme</t>
  </si>
  <si>
    <t>Build SC models</t>
  </si>
  <si>
    <t>Get saturation estimate</t>
  </si>
  <si>
    <t>Run ProCost</t>
  </si>
  <si>
    <t>Check savings against total load estimate</t>
  </si>
  <si>
    <t>Calibrate baseline use and turnover with Massoud's forecast</t>
  </si>
  <si>
    <t>Estimate baseline energy use and frozen efficiency points</t>
  </si>
  <si>
    <t>Update APPLIC, BASE, TURN, ACHIEV and CHAR in ComMaster</t>
  </si>
  <si>
    <t>Costs to 2012$</t>
  </si>
  <si>
    <t>Develop shape of savings and put in GLS</t>
  </si>
  <si>
    <t>Outdoor</t>
  </si>
  <si>
    <t>Location</t>
  </si>
  <si>
    <t>Fixture_Category</t>
  </si>
  <si>
    <t>(All)</t>
  </si>
  <si>
    <t>Outdoor_Light_Use_Type</t>
  </si>
  <si>
    <t>P</t>
  </si>
  <si>
    <t>Column Labels</t>
  </si>
  <si>
    <t>Sum of Wt_PNW_Site_Watts2</t>
  </si>
  <si>
    <t>Values</t>
  </si>
  <si>
    <t>Pole</t>
  </si>
  <si>
    <t>Pole Total</t>
  </si>
  <si>
    <t>Row Labels</t>
  </si>
  <si>
    <t>Sum of Wt_PNW_Site_Watts</t>
  </si>
  <si>
    <t>Average of Watts_Per_Fixture</t>
  </si>
  <si>
    <t>Average of Watts_Per_Lamp</t>
  </si>
  <si>
    <t>POLE25</t>
  </si>
  <si>
    <t>POLE40</t>
  </si>
  <si>
    <t>POLE60</t>
  </si>
  <si>
    <t>ES</t>
  </si>
  <si>
    <t>F</t>
  </si>
  <si>
    <t>O</t>
  </si>
  <si>
    <t>S</t>
  </si>
  <si>
    <t>SF</t>
  </si>
  <si>
    <t>UN</t>
  </si>
  <si>
    <t>W</t>
  </si>
  <si>
    <t>CFL</t>
  </si>
  <si>
    <t>Can</t>
  </si>
  <si>
    <t>Manual</t>
  </si>
  <si>
    <t>HID</t>
  </si>
  <si>
    <t>Office</t>
  </si>
  <si>
    <t>Fluorescent T12</t>
  </si>
  <si>
    <t>Display</t>
  </si>
  <si>
    <t>None (Continuous)</t>
  </si>
  <si>
    <t>Fluorescent T5</t>
  </si>
  <si>
    <t>CMH</t>
  </si>
  <si>
    <t>Retail/Service</t>
  </si>
  <si>
    <t>Exit</t>
  </si>
  <si>
    <t>Other</t>
  </si>
  <si>
    <t>Fluorescent T8</t>
  </si>
  <si>
    <t>HPS</t>
  </si>
  <si>
    <t>School K-12</t>
  </si>
  <si>
    <t>Flood</t>
  </si>
  <si>
    <t>Photocell</t>
  </si>
  <si>
    <t>Grand Total</t>
  </si>
  <si>
    <t>IN</t>
  </si>
  <si>
    <t>Warehouse</t>
  </si>
  <si>
    <t>Head/Track</t>
  </si>
  <si>
    <t>Timeclock</t>
  </si>
  <si>
    <t>Incandescent</t>
  </si>
  <si>
    <t>LPS</t>
  </si>
  <si>
    <t>Grocery</t>
  </si>
  <si>
    <t>LF Ceiling Mount</t>
  </si>
  <si>
    <t>Timeclock/Photocell</t>
  </si>
  <si>
    <t>LED</t>
  </si>
  <si>
    <t>MH</t>
  </si>
  <si>
    <t>Restaurant</t>
  </si>
  <si>
    <t>NA</t>
  </si>
  <si>
    <t>Misc</t>
  </si>
  <si>
    <t>MV</t>
  </si>
  <si>
    <t>Lodging</t>
  </si>
  <si>
    <t>Other Fluorescent</t>
  </si>
  <si>
    <t>Un</t>
  </si>
  <si>
    <t>Residential Care</t>
  </si>
  <si>
    <t>Other Ceiling Mount</t>
  </si>
  <si>
    <t>Assembly</t>
  </si>
  <si>
    <t>Strip</t>
  </si>
  <si>
    <t>Task</t>
  </si>
  <si>
    <t>Wall</t>
  </si>
  <si>
    <t xml:space="preserve">Data are from file:  </t>
  </si>
  <si>
    <t>Q:\CG\Main\CBSA\CBSA 2013\Data and Reports\CBSA Raw Data CONFIDENTIAL\CBSA Oct 31 2014\GRISTv1_CBSA Public Detailed Lighting Table 2014-10-31.xlsx</t>
  </si>
  <si>
    <t>Sheet Used for Development of Reference Fixtures</t>
  </si>
  <si>
    <t>Data below are from:</t>
  </si>
  <si>
    <t>Sum of _Sf_PNW</t>
  </si>
  <si>
    <t>Count of Sf_PNW_LPD_Out</t>
  </si>
  <si>
    <t>Sum of Sf_PNW_LPD_Out2</t>
  </si>
  <si>
    <t>Q:\CG\Main\CBSA\CBSA 2013\Data and Reports\CBSA Raw Data CONFIDENTIAL\CBSA Oct 31 2014\GRISTv3_CBSA Public Site Summary Table 2014-10-31.xlsx</t>
  </si>
  <si>
    <t>Average of Calc_Out_Fixtures/KSF_Indoor</t>
  </si>
  <si>
    <t>Outdoor W per SF Indoor Space</t>
  </si>
  <si>
    <t>Count of Watts_Per_Lamp</t>
  </si>
  <si>
    <t>Parking Lot</t>
  </si>
  <si>
    <t>Lamp Watts</t>
  </si>
  <si>
    <t>Lamps per Fixture</t>
  </si>
  <si>
    <t>Fraction of Watts</t>
  </si>
  <si>
    <t>Fraction of Fixtures</t>
  </si>
  <si>
    <t>Fixtures per KSF Indoor Space</t>
  </si>
  <si>
    <t>Fixture_Type</t>
  </si>
  <si>
    <t>Sum of Wt_PNW_Site_Fixture_Qty</t>
  </si>
  <si>
    <t>Façade</t>
  </si>
  <si>
    <t>Walkway</t>
  </si>
  <si>
    <t>Fixture Type</t>
  </si>
  <si>
    <t>Pole Mount</t>
  </si>
  <si>
    <t>Wall Pack</t>
  </si>
  <si>
    <t>Lamp Type</t>
  </si>
  <si>
    <t>INC</t>
  </si>
  <si>
    <t>Data summarized from sheet CBSA Data.  Used to develop proxy measure costs and savings.</t>
  </si>
  <si>
    <t>Various</t>
  </si>
  <si>
    <t>Mine CBSA for reference fixtures, saturation</t>
  </si>
  <si>
    <t>CG</t>
  </si>
  <si>
    <t>CD</t>
  </si>
  <si>
    <t>HID 150W</t>
  </si>
  <si>
    <t>Make/Model</t>
  </si>
  <si>
    <t>Source</t>
  </si>
  <si>
    <t>Web</t>
  </si>
  <si>
    <t>LED 30W</t>
  </si>
  <si>
    <t>1000bulbs</t>
  </si>
  <si>
    <t>LED 38W</t>
  </si>
  <si>
    <t>HID 400W</t>
  </si>
  <si>
    <t>LPP Energy</t>
  </si>
  <si>
    <t>Style</t>
  </si>
  <si>
    <t>LED 32W</t>
  </si>
  <si>
    <t>LPP Energy LE-DLI-32-57-MV-5</t>
  </si>
  <si>
    <t>pole/wall mount</t>
  </si>
  <si>
    <t>http://lppenergy.com/led-flood/10-led-down-light-iris/32w-led-10-down-light-iris-120-277v-4431-nominal-lumens-75-175w-hid-replace-usa-made-fits-1-75-od-tube/</t>
  </si>
  <si>
    <t>Efficient Case Product Specifications and Costs</t>
  </si>
  <si>
    <t>Base Case Product Specifications and Costs</t>
  </si>
  <si>
    <t>Reference Fixtures</t>
  </si>
  <si>
    <t>Candidate Replacements</t>
  </si>
  <si>
    <t>Base Lamp/Fixt</t>
  </si>
  <si>
    <t>Platt</t>
  </si>
  <si>
    <t>wallpack</t>
  </si>
  <si>
    <t>Lamp Wattage</t>
  </si>
  <si>
    <t>https://www.platt.com/platt-electric-supply/Wallpacks-LED-Wallpack-LED/Lumark/XTOR3A/product.aspx?zpid=887100</t>
  </si>
  <si>
    <t>LED 85W</t>
  </si>
  <si>
    <t>https://www.platt.com/platt-electric-supply/Wallpacks-LED-Wallpack-LED/Lumark/XTOR9ARL/product.aspx?zpid=17772</t>
  </si>
  <si>
    <t>Lumark WPS15</t>
  </si>
  <si>
    <t>https://www.platt.com/platt-electric-supply/Wallpacks-H-I-D-CFL-Wallpack-High-Pressure-Sodium/Lumark/WPS15/product.aspx?zpid=842182</t>
  </si>
  <si>
    <t>Lithonia Lighting TWR1</t>
  </si>
  <si>
    <t>https://www.platt.com/platt-electric-supply/Wallpacks-H-I-D-CFL-Wallpack-Metal-Halide/Lithonia-Lighting/TWR1-150M-TB/product.aspx?zpid=794785</t>
  </si>
  <si>
    <t>https://www.platt.com/platt-electric-supply/Wallpacks-H-I-D-CFL-Wallpack-Metal-Halide/Lumark/WPP40/product.aspx?zpid=819040</t>
  </si>
  <si>
    <t>Lumark WPP40</t>
  </si>
  <si>
    <t>Lithonia Lighting TWH-400S-TB-LPI</t>
  </si>
  <si>
    <t>https://www.platt.com/platt-electric-supply/Wallpacks-H-I-D-CFL-Wallpack-High-Pressure-Sodium/Lithonia-Lighting/TWH-400S-TB-LPI/product.aspx?zpid=25999</t>
  </si>
  <si>
    <t>https://www.1000bulbs.com/product/64874/RAB-WP2SN150.html</t>
  </si>
  <si>
    <t>RAB WP2SN150</t>
  </si>
  <si>
    <t>PLT DC150150MHMTLP</t>
  </si>
  <si>
    <t>https://www.1000bulbs.com/product/112102/TF-DC150150MHMTLP.html</t>
  </si>
  <si>
    <t>RAB WP4CH400PSQ</t>
  </si>
  <si>
    <t>https://www.1000bulbs.com/product/64532/RAB-WP4CH400PSQ.html</t>
  </si>
  <si>
    <t>https://www.1000bulbs.com/product/59402/PLT-79084.html</t>
  </si>
  <si>
    <t>PLT 79084</t>
  </si>
  <si>
    <t>Base Fixt</t>
  </si>
  <si>
    <t>Fixture Make/Model</t>
  </si>
  <si>
    <t>Lumark XTOR3A 30W LED Wallpack</t>
  </si>
  <si>
    <t>wall pack</t>
  </si>
  <si>
    <t>Delivered Lumens per Watt</t>
  </si>
  <si>
    <t>Life (hours)</t>
  </si>
  <si>
    <t>Cree Lighting BXSPWA03FG-UZ 25W XSP Series LED Wallpack</t>
  </si>
  <si>
    <t>LED 25W</t>
  </si>
  <si>
    <t>https://www.platt.com/platt-electric-supply/Wallpacks-LED-Wallpack-LED/Cree-Lighting/BXSPWA03FG-UZ/product.aspx?zpid=119585</t>
  </si>
  <si>
    <t>Cooper Lighting XTOR3A Crosstour</t>
  </si>
  <si>
    <t>Crescent Electric</t>
  </si>
  <si>
    <t>http://www.cesco.com/b2c/product/Cooper-Lighting-XTOR3A-Crosstour-Junction-Box/587235</t>
  </si>
  <si>
    <t>Cooper Lighting AL2050LPCGY All-Pro</t>
  </si>
  <si>
    <t>Delivered Lumens</t>
  </si>
  <si>
    <t>LED 42W</t>
  </si>
  <si>
    <t>http://www.cesco.com/b2c/product/Cooper-Lighting-AL2050LPCGY-All-Pro-1-Light-LED/3228</t>
  </si>
  <si>
    <t>MaxLite LEDF-71130</t>
  </si>
  <si>
    <t>https://www.1000bulbs.com/product/88360/LEDF-71130.html</t>
  </si>
  <si>
    <t>wall/area light</t>
  </si>
  <si>
    <t>Luminaire Wattage</t>
  </si>
  <si>
    <t>$/klm (2012$)</t>
  </si>
  <si>
    <t>(RTF Standard Information Workbook)</t>
  </si>
  <si>
    <t>2014$ to 2012$ Adjustment, based on GDP Deflator:</t>
  </si>
  <si>
    <t>Lumark XTOR9ARL LED Wallpack</t>
  </si>
  <si>
    <t>Lithonia Lighting TWH LED 30C 50K 104W LED Wallpack</t>
  </si>
  <si>
    <t>LED 104W</t>
  </si>
  <si>
    <t>https://www.platt.com/platt-electric-supply/Wallpacks-LED-Wallpack-LED/Lithonia-Lighting/TWH-LED-30C-50K/product.aspx?zpid=21321</t>
  </si>
  <si>
    <t>Cooper Lighting XTOR9A-PC2</t>
  </si>
  <si>
    <t>http://www.cesco.com/b2c/product/Cooper-Lighting-XTOR9A-PC2-Lumark-Crosstour-Full/119370</t>
  </si>
  <si>
    <t>https://www.1000bulbs.com/product/96043/RAB-WPLEDC104.html</t>
  </si>
  <si>
    <t>RAB Lighting WPLEDC104</t>
  </si>
  <si>
    <t>Lamp Replacements</t>
  </si>
  <si>
    <t>Lamp/Luminaire Cost (2014$)</t>
  </si>
  <si>
    <t>Lamp Cost</t>
  </si>
  <si>
    <t>lamp</t>
  </si>
  <si>
    <t>Lamp/Luminaire Cost (2012$)</t>
  </si>
  <si>
    <t>2017 Forecasted Lamp/Luminaire Cost (2012$)</t>
  </si>
  <si>
    <t>2017 Forecasted Lamp/Luminaire Wattage</t>
  </si>
  <si>
    <t>Luminaire Replacements</t>
  </si>
  <si>
    <t>Luminaire Cost</t>
  </si>
  <si>
    <t>Light Efficient Design LED-8033E30</t>
  </si>
  <si>
    <t>https://www.platt.com/platt-electric-supply/LED-Post-Top-Site-Wall-Pack-Lamps-Pack/Light-Efficient-Design/LED-8033E30/Product.aspx?zpid=70941</t>
  </si>
  <si>
    <r>
      <t xml:space="preserve">2017 </t>
    </r>
    <r>
      <rPr>
        <u/>
        <sz val="10"/>
        <rFont val="Arial"/>
        <family val="2"/>
      </rPr>
      <t>Efficacy</t>
    </r>
    <r>
      <rPr>
        <sz val="10"/>
        <rFont val="Arial"/>
        <family val="2"/>
      </rPr>
      <t xml:space="preserve"> Adjustment for LED Parking Garage </t>
    </r>
    <r>
      <rPr>
        <u/>
        <sz val="10"/>
        <rFont val="Arial"/>
        <family val="2"/>
      </rPr>
      <t>Luminaire</t>
    </r>
    <r>
      <rPr>
        <sz val="10"/>
        <rFont val="Arial"/>
        <family val="2"/>
      </rPr>
      <t>:</t>
    </r>
  </si>
  <si>
    <t xml:space="preserve"> </t>
  </si>
  <si>
    <t>Light Efficient Design  LED-8033E57</t>
  </si>
  <si>
    <t>https://www.1000bulbs.com/product/101092/LED-8033E57.html</t>
  </si>
  <si>
    <t>Luminaire Watt</t>
  </si>
  <si>
    <t>Lamp Watt</t>
  </si>
  <si>
    <r>
      <t xml:space="preserve">2017 </t>
    </r>
    <r>
      <rPr>
        <u/>
        <sz val="10"/>
        <rFont val="Arial"/>
        <family val="2"/>
      </rPr>
      <t>Cost</t>
    </r>
    <r>
      <rPr>
        <sz val="10"/>
        <rFont val="Arial"/>
        <family val="2"/>
      </rPr>
      <t xml:space="preserve"> Adjustment for LED </t>
    </r>
    <r>
      <rPr>
        <u/>
        <sz val="10"/>
        <rFont val="Arial"/>
        <family val="2"/>
      </rPr>
      <t>Luminaire</t>
    </r>
    <r>
      <rPr>
        <sz val="10"/>
        <rFont val="Arial"/>
        <family val="2"/>
      </rPr>
      <t>:</t>
    </r>
  </si>
  <si>
    <r>
      <t xml:space="preserve">2017 </t>
    </r>
    <r>
      <rPr>
        <u/>
        <sz val="10"/>
        <rFont val="Arial"/>
        <family val="2"/>
      </rPr>
      <t>Cost</t>
    </r>
    <r>
      <rPr>
        <sz val="10"/>
        <rFont val="Arial"/>
        <family val="2"/>
      </rPr>
      <t xml:space="preserve"> Adjustment for LED </t>
    </r>
    <r>
      <rPr>
        <u/>
        <sz val="10"/>
        <rFont val="Arial"/>
        <family val="2"/>
      </rPr>
      <t>Lamp</t>
    </r>
    <r>
      <rPr>
        <sz val="10"/>
        <rFont val="Arial"/>
        <family val="2"/>
      </rPr>
      <t>:</t>
    </r>
  </si>
  <si>
    <r>
      <t xml:space="preserve">2017 </t>
    </r>
    <r>
      <rPr>
        <u/>
        <sz val="10"/>
        <rFont val="Arial"/>
        <family val="2"/>
      </rPr>
      <t>Efficacy</t>
    </r>
    <r>
      <rPr>
        <sz val="10"/>
        <rFont val="Arial"/>
        <family val="2"/>
      </rPr>
      <t xml:space="preserve"> Adjustment for LED Downlight </t>
    </r>
    <r>
      <rPr>
        <u/>
        <sz val="10"/>
        <rFont val="Arial"/>
        <family val="2"/>
      </rPr>
      <t>Luminaire</t>
    </r>
    <r>
      <rPr>
        <sz val="10"/>
        <rFont val="Arial"/>
        <family val="2"/>
      </rPr>
      <t>:</t>
    </r>
  </si>
  <si>
    <t>Cooper Lighting HPFZ15</t>
  </si>
  <si>
    <t>http://www.cesco.com/b2c/product/Cooper-Lighting-HPFZ15-Lumark-Z-PAK-Junction-Box/435560</t>
  </si>
  <si>
    <t>Cooper Lighting WPS40</t>
  </si>
  <si>
    <t>http://www.cesco.com/b2c/product/Cooper-Lighting-WPS40-Lumark-WP-Series-High/86119</t>
  </si>
  <si>
    <t>https://www.platt.com/platt-electric-supply/HID-High-Pressure-Sodium-Lamps-Standard/Philips-Lighting/C150S55-M/product.aspx?zpid=48763</t>
  </si>
  <si>
    <t>Philips Lighting C150S55/M 150 Watt Bulb Clear Ceramalux High Pressure Sodium</t>
  </si>
  <si>
    <t>https://www.platt.com/platt-electric-supply/HID-Metal-Halide-Traditional/Philips-Lighting/MH150-U-M/product.aspx?zpid=267260</t>
  </si>
  <si>
    <t>Philips Lighting MH150/U/M 150 Watt Standard Metal Halide Bulb</t>
  </si>
  <si>
    <t>Philips Lighting MHC150/U/M/4K ALTO 150 Watt Pulse Start Metal Halide Bulb</t>
  </si>
  <si>
    <t>https://www.platt.com/platt-electric-supply/HID-Metal-Halide-Pulse-Start-Traditional/Philips-Lighting/MHC150-U-M-4K-ALTO/product.aspx?zpid=528210</t>
  </si>
  <si>
    <t>Philips Lighting MH400/U/E 400 Watt Standard Metal Halide Bulb</t>
  </si>
  <si>
    <t>https://www.platt.com/platt-electric-supply/HID-Metal-Halide-Traditional/Philips-Lighting/MH400-U-E/product.aspx?zpid=882680</t>
  </si>
  <si>
    <t>Philips Lighting MS400/U/PS 400 Watt Pulse Start Metal Halide Bulb</t>
  </si>
  <si>
    <t>https://www.platt.com/platt-electric-supply/HID-Metal-Halide-Pulse-Start-Traditional/Philips-Lighting/MS400-U-PS/product.aspx?zpid=786890</t>
  </si>
  <si>
    <t xml:space="preserve">Philips Lighting C400S51/ALTO 400 Watt Bulb Clear Ceramalux High Pressure </t>
  </si>
  <si>
    <t>CFL 26W / INC 75W</t>
  </si>
  <si>
    <t>LED 135W</t>
  </si>
  <si>
    <t>LED 180W</t>
  </si>
  <si>
    <t>LED 421W</t>
  </si>
  <si>
    <t>N/A - fixture data from 7th Plan Streetlighting workbook</t>
  </si>
  <si>
    <t>N/A</t>
  </si>
  <si>
    <t>NWPCC 7th Plan Streetlighting analysis</t>
  </si>
  <si>
    <t>pole mount</t>
  </si>
  <si>
    <t>HPS 250W</t>
  </si>
  <si>
    <t>MH 400W</t>
  </si>
  <si>
    <t>MH 1000W</t>
  </si>
  <si>
    <t>N/A - lamp data from 7th Plan Streetlighting workbook</t>
  </si>
  <si>
    <t>Energy Savings and Incremental Cost</t>
  </si>
  <si>
    <t>N/A - data from RTF Residential Lighting analysis</t>
  </si>
  <si>
    <t>CFL 26W</t>
  </si>
  <si>
    <t>INC 75W</t>
  </si>
  <si>
    <t>RTF Residential Lighting analysis</t>
  </si>
  <si>
    <t>RTF Standard Information Workbook</t>
  </si>
  <si>
    <t>2006$ to 2012$ Adjustment, based on GDP Deflator:</t>
  </si>
  <si>
    <r>
      <t xml:space="preserve">2017 </t>
    </r>
    <r>
      <rPr>
        <u/>
        <sz val="10"/>
        <rFont val="Arial"/>
        <family val="2"/>
      </rPr>
      <t>Efficacy</t>
    </r>
    <r>
      <rPr>
        <sz val="10"/>
        <rFont val="Arial"/>
        <family val="2"/>
      </rPr>
      <t xml:space="preserve"> Adjustment for LED Omnidirectional </t>
    </r>
    <r>
      <rPr>
        <u/>
        <sz val="10"/>
        <rFont val="Arial"/>
        <family val="2"/>
      </rPr>
      <t>Lamp</t>
    </r>
    <r>
      <rPr>
        <sz val="10"/>
        <rFont val="Arial"/>
        <family val="2"/>
      </rPr>
      <t>:</t>
    </r>
  </si>
  <si>
    <t>http://www.nwcouncil.org/energy/powerplan/7/technical</t>
  </si>
  <si>
    <t>LED 12W</t>
  </si>
  <si>
    <t>http://rtf.nwcouncil.org/measures/res/ResLightingCFLandLEDLamps_v3_3.xlsm</t>
  </si>
  <si>
    <t>http://rtf.nwcouncil.org/measures/support/files/RTFStandardInformationWorkbook_v2_0.xlsx</t>
  </si>
  <si>
    <t>general purpose LED lamp</t>
  </si>
  <si>
    <t>Lamp Cost (2006$)</t>
  </si>
  <si>
    <t>Watts &amp; Life - RTF Residential Lighting analysis
Cost - RTF Standard Information Workbook</t>
  </si>
  <si>
    <t>N/A - data from RTF &amp; Council 7th Plan Residential Lighting analyses</t>
  </si>
  <si>
    <t>NWPCC 7th Plan Res Lighting Analysis</t>
  </si>
  <si>
    <t>From</t>
  </si>
  <si>
    <t>To</t>
  </si>
  <si>
    <t>Application</t>
  </si>
  <si>
    <t>Measure Index</t>
  </si>
  <si>
    <t>Reference Fixture</t>
  </si>
  <si>
    <t>NR</t>
  </si>
  <si>
    <t>Retro</t>
  </si>
  <si>
    <t>Annual Hours of Operation</t>
  </si>
  <si>
    <t>Fixture Watts Pre</t>
  </si>
  <si>
    <t>Fixture Watts Post</t>
  </si>
  <si>
    <t>Annual Energy Consumption Pre (kWh)</t>
  </si>
  <si>
    <t>Annual Energy Consumption Post (kWh)</t>
  </si>
  <si>
    <t>Annual Energy Savings (kWh)</t>
  </si>
  <si>
    <t>Fixture Watt Reduct</t>
  </si>
  <si>
    <t>Lamp Cost Pre (2012$)</t>
  </si>
  <si>
    <t>Lamp Cost Post (2012$)</t>
  </si>
  <si>
    <t>Fixture Cost Pre (2012$)</t>
  </si>
  <si>
    <t>Fixture Cost Post (2012$)</t>
  </si>
  <si>
    <t>Energy Use and Savings</t>
  </si>
  <si>
    <t>Delivered Lumens Post</t>
  </si>
  <si>
    <t>Equipment Costs</t>
  </si>
  <si>
    <t>Lifetime</t>
  </si>
  <si>
    <t>Lookup IDs --&gt;</t>
  </si>
  <si>
    <t>Lifetime Pre (Hours)</t>
  </si>
  <si>
    <t>Lifetime Post (Hours)</t>
  </si>
  <si>
    <t>Lifetime Pre (Yrs)</t>
  </si>
  <si>
    <t>Lifetime Post (Yrs)</t>
  </si>
  <si>
    <t>Labor Rate</t>
  </si>
  <si>
    <t>$/hr</t>
  </si>
  <si>
    <t>Vehicle Rate</t>
  </si>
  <si>
    <t>Total Rate</t>
  </si>
  <si>
    <t>Source: NWPCC 7th Plan Streetlight workbook.</t>
  </si>
  <si>
    <t>""</t>
  </si>
  <si>
    <t>Lamp Change Hours</t>
  </si>
  <si>
    <t>Fixture Change Hours</t>
  </si>
  <si>
    <t>Lamp Change Labor Cost (2012$)</t>
  </si>
  <si>
    <t>Fixture Change Labor Cost (2012$)</t>
  </si>
  <si>
    <t>Incremental Equip Cost  (2012$)</t>
  </si>
  <si>
    <t>Incremental Labor Cost  (2012$)</t>
  </si>
  <si>
    <t>Total Incremental Cost, Equip + Labor  (2012$)</t>
  </si>
  <si>
    <t>Install Labor Costs</t>
  </si>
  <si>
    <t>O&amp;M Labor Cost, Pre</t>
  </si>
  <si>
    <t>O&amp;M Materials Cost, Pre</t>
  </si>
  <si>
    <t>Periodic O&amp;M Interval (Yrs)</t>
  </si>
  <si>
    <t>O&amp;M Total Cost (2012$)</t>
  </si>
  <si>
    <t>PROGRAMCODE</t>
  </si>
  <si>
    <t>RECOGNIZEDDT</t>
  </si>
  <si>
    <t>MEASURECODE</t>
  </si>
  <si>
    <t>MEASUREDESC</t>
  </si>
  <si>
    <t>QTY</t>
  </si>
  <si>
    <t>UNITCOSTINSTALL</t>
  </si>
  <si>
    <t>TOTALCOSTINSTALL</t>
  </si>
  <si>
    <t>BE</t>
  </si>
  <si>
    <t>EXLED90W</t>
  </si>
  <si>
    <t>Exterior LED Fixture, 90W or Less</t>
  </si>
  <si>
    <t>EXTLED350W</t>
  </si>
  <si>
    <t>Exterior LED Fixture, 350W or Less</t>
  </si>
  <si>
    <t>EXTLED150W</t>
  </si>
  <si>
    <t>Exterior LED Fixture, 150W or Less</t>
  </si>
  <si>
    <t>EXLED40W</t>
  </si>
  <si>
    <t>Exterior LED Fixture, 40W or Less</t>
  </si>
  <si>
    <t>EXTLED110W</t>
  </si>
  <si>
    <t>Exterior LED Fixture, 110W or Less</t>
  </si>
  <si>
    <t>EXTLED400W</t>
  </si>
  <si>
    <t>Exterior LED Fixture, 400W or Less</t>
  </si>
  <si>
    <t>BEM</t>
  </si>
  <si>
    <t>PEF</t>
  </si>
  <si>
    <t>PEL</t>
  </si>
  <si>
    <t>Periodic O&amp;M Costs</t>
  </si>
  <si>
    <t>(within Lifetime of Measure)</t>
  </si>
  <si>
    <t>Other ProCost Inputs</t>
  </si>
  <si>
    <t>S-All-Lgt-Streetlight-All-All-U</t>
  </si>
  <si>
    <t>Retrofit [R] or Lost-Opportunity [LO]?</t>
  </si>
  <si>
    <t>Exterior Lighting: Parking Lot</t>
  </si>
  <si>
    <t>Exterior Lighting: Façade</t>
  </si>
  <si>
    <t>All Exterior Fixtures</t>
  </si>
  <si>
    <t>Avg.</t>
  </si>
  <si>
    <t>Median</t>
  </si>
  <si>
    <t>Lower Quartile</t>
  </si>
  <si>
    <t>Avg. Unit Installed Cost (2014$)</t>
  </si>
  <si>
    <t>Median Unit Installed Cost (2014$)</t>
  </si>
  <si>
    <t>Lower Quartile Installed Cost (2014$)</t>
  </si>
  <si>
    <t>Exterior Lighting: Walkway</t>
  </si>
  <si>
    <t>Avg HID 150W Replacement</t>
  </si>
  <si>
    <t>N/A - assume equal likelihood of lamp replacement vs. fixture replacement</t>
  </si>
  <si>
    <t>Discussions w/ Evergreen Consulting. Noted that "corn-cob" style LED lamp replacements are common in walkway luminaires.</t>
  </si>
  <si>
    <t>Fixture form factors vary widely; see comments at right.</t>
  </si>
  <si>
    <t>Shaped Savings Results; By Category and sorted by TRC BC ratio</t>
  </si>
  <si>
    <t>Savings Allocation by Category and Month for Segments 1</t>
  </si>
  <si>
    <t>Savings Allocation by Category and Month for Segments 2</t>
  </si>
  <si>
    <t>Category</t>
  </si>
  <si>
    <t>Measure</t>
  </si>
  <si>
    <t>Busbar Savings</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</si>
  <si>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</si>
  <si>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</si>
  <si>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</si>
  <si>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</si>
  <si>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</si>
  <si>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</si>
  <si>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</si>
  <si>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TRC Net Levelized Cost (Net of All Benefits) in mills/kWh</t>
  </si>
  <si>
    <t>TRC B/C Ratio</t>
  </si>
  <si>
    <t>Net Electric &amp; Gas System CO2 Avoided (Lifetime Tons)</t>
  </si>
  <si>
    <t>Wholesale KW</t>
  </si>
  <si>
    <t>Jan</t>
  </si>
  <si>
    <t>Feb</t>
  </si>
  <si>
    <t>Mar</t>
  </si>
  <si>
    <t>Apr</t>
  </si>
  <si>
    <t>May</t>
  </si>
  <si>
    <t>Jun</t>
  </si>
  <si>
    <t>Jul</t>
  </si>
  <si>
    <t>Aug</t>
  </si>
  <si>
    <t>Sep</t>
  </si>
  <si>
    <t>Oct</t>
  </si>
  <si>
    <t>Nov</t>
  </si>
  <si>
    <t>Dec</t>
  </si>
  <si>
    <t>Exterior Lighting: Parking Lot - HPS 250W - New</t>
  </si>
  <si>
    <t>Exterior Lighting: Walkway - HID 150W - New</t>
  </si>
  <si>
    <t>Exterior Lighting: Façade - HID 150W - New</t>
  </si>
  <si>
    <t>Exterior Lighting: Walkway - INC 75W - New</t>
  </si>
  <si>
    <t>Exterior Lighting: Walkway - INC 75W - NR</t>
  </si>
  <si>
    <t>Exterior Lighting: Façade - HID 400W - New</t>
  </si>
  <si>
    <t>Exterior Lighting: Walkway - HID 150W - Retro</t>
  </si>
  <si>
    <t>Exterior Lighting: Walkway - CFL 26W - New</t>
  </si>
  <si>
    <t>Exterior Lighting: Walkway - CFL 26W - NR</t>
  </si>
  <si>
    <t>Exterior Lighting: Walkway - INC 75W - Retro</t>
  </si>
  <si>
    <t>Exterior Lighting: Parking Lot - MH 400W - New</t>
  </si>
  <si>
    <t>Exterior Lighting: Parking Lot - MH 1000W - New</t>
  </si>
  <si>
    <t>Exterior Lighting: Façade - HID 400W - NR</t>
  </si>
  <si>
    <t>Exterior Lighting: Façade - HID 400W - Retro</t>
  </si>
  <si>
    <t>Exterior Lighting: Parking Lot - HPS 250W - NR</t>
  </si>
  <si>
    <t>Exterior Lighting: Walkway - HID 150W - NR</t>
  </si>
  <si>
    <t>Exterior Lighting: Parking Lot - MH 400W - NR</t>
  </si>
  <si>
    <t>Exterior Lighting: Façade - HID 150W - NR</t>
  </si>
  <si>
    <t>Exterior Lighting: Parking Lot - HPS 250W - Retro</t>
  </si>
  <si>
    <t>Exterior Lighting: Parking Lot - MH 400W - Retro</t>
  </si>
  <si>
    <t>Exterior Lighting: Parking Lot - MH 1000W - NR</t>
  </si>
  <si>
    <t>Exterior Lighting: Parking Lot - MH 1000W - Retro</t>
  </si>
  <si>
    <t>Exterior Lighting: Façade - HID 150W - Retro</t>
  </si>
  <si>
    <t>Exterior Lighting: Walkway - CFL 26W - Retro</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</si>
  <si>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</si>
  <si>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</si>
  <si>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</si>
  <si>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</si>
  <si>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</si>
  <si>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</si>
  <si>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</si>
  <si>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</si>
  <si>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</si>
  <si>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</si>
  <si>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</si>
  <si>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</si>
  <si>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</si>
  <si>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C:\Users\Christian\Google Drive\Christian\RTF\ProCost &amp; Other RTF Tools\ProCost\Batch Tool\Starter Files\MC_AND_LOADSHAPE_v3.0_24segment-7P-D9 - NewSegValues.xlsx</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</si>
  <si>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</si>
  <si>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</si>
  <si>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</si>
  <si>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</si>
  <si>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</si>
  <si>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</si>
  <si>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</si>
  <si>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</si>
  <si>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</si>
  <si>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</si>
  <si>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</si>
  <si>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</si>
  <si>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</si>
  <si>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</si>
  <si>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</si>
  <si>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</si>
  <si>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</si>
  <si>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</si>
  <si>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</si>
  <si>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</si>
  <si>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</si>
  <si>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</si>
  <si>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</si>
  <si>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</si>
  <si>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</si>
  <si>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</si>
  <si>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</si>
  <si>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</si>
  <si>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</si>
  <si>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</si>
  <si>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</si>
  <si>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</si>
  <si>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</si>
  <si>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</si>
  <si>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</si>
  <si>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</si>
  <si>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</si>
  <si>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</si>
  <si>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</si>
  <si>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</si>
  <si>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</si>
  <si>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</si>
  <si>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</si>
  <si>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</si>
  <si>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</si>
  <si>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</si>
  <si>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</si>
  <si>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</si>
  <si>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</si>
  <si>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</si>
  <si>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</si>
  <si>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</si>
  <si>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</si>
  <si>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</si>
  <si>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</si>
  <si>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</si>
  <si>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</si>
  <si>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</si>
  <si>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</si>
  <si>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</si>
  <si>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</si>
  <si>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</si>
  <si>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Savings</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</si>
  <si>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</si>
  <si>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</si>
  <si>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</si>
  <si>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</si>
  <si>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</si>
  <si>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</si>
  <si>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</si>
  <si>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</si>
  <si>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</si>
  <si>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</si>
  <si>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</si>
  <si>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</si>
  <si>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</si>
  <si>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</si>
  <si>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</si>
  <si>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</si>
  <si>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</si>
  <si>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</si>
  <si>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</si>
  <si>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</si>
  <si>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</si>
  <si>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</si>
  <si>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</si>
  <si>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</si>
  <si>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</si>
  <si>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</si>
  <si>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</si>
  <si>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</si>
  <si>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</si>
  <si>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</si>
  <si>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</si>
  <si>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</si>
  <si>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Total</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</si>
  <si>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</si>
  <si>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</si>
  <si>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</si>
  <si>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</si>
  <si>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</si>
  <si>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</si>
  <si>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</si>
  <si>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</si>
  <si>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</si>
  <si>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</si>
  <si>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</si>
  <si>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</si>
  <si>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</si>
  <si>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</si>
  <si>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</si>
  <si>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</si>
  <si>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</si>
  <si>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</si>
  <si>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</si>
  <si>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</si>
  <si>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</si>
  <si>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</si>
  <si>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</si>
  <si>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</si>
  <si>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</si>
  <si>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</si>
  <si>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</si>
  <si>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</si>
  <si>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</si>
  <si>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</si>
  <si>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</si>
  <si>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</si>
  <si>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</si>
  <si>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</si>
  <si>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</si>
  <si>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</si>
  <si>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</si>
  <si>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</si>
  <si>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</si>
  <si>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</si>
  <si>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</si>
  <si>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</si>
  <si>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</si>
  <si>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</si>
  <si>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</si>
  <si>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</si>
  <si>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</si>
  <si>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</si>
  <si>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</si>
  <si>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</si>
  <si>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</si>
  <si>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</si>
  <si>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</si>
  <si>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</si>
  <si>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</si>
  <si>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</si>
  <si>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</si>
  <si>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</si>
  <si>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</si>
  <si>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</si>
  <si>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Exterior Lighting: Parking Lot - HPS 250W to LED 135W - New</t>
  </si>
  <si>
    <t>(na)</t>
  </si>
  <si>
    <t>Exterior Lighting: Parking Lot - MH 400W to LED 180W - New</t>
  </si>
  <si>
    <t>Exterior Lighting: Parking Lot - MH 1000W to LED 421W - New</t>
  </si>
  <si>
    <t>Exterior Lighting: Parking Lot - HPS 250W to LED 135W - NR</t>
  </si>
  <si>
    <t>Exterior Lighting: Parking Lot - MH 400W to LED 180W - NR</t>
  </si>
  <si>
    <t>Exterior Lighting: Parking Lot - MH 1000W to LED 421W - NR</t>
  </si>
  <si>
    <t>Exterior Lighting: Parking Lot - HPS 250W to LED 135W - Retro</t>
  </si>
  <si>
    <t>Exterior Lighting: Parking Lot - MH 400W to LED 180W - Retro</t>
  </si>
  <si>
    <t>Exterior Lighting: Parking Lot - MH 1000W to LED 421W - Retro</t>
  </si>
  <si>
    <t>Exterior Lighting: Façade - HID 150W to LED 27W - New</t>
  </si>
  <si>
    <t>Exterior Lighting: Façade - HID 400W to LED 82W - New</t>
  </si>
  <si>
    <t>Exterior Lighting: Façade - HID 150W to LED 27W - NR</t>
  </si>
  <si>
    <t>Exterior Lighting: Façade - HID 400W to LED 82W - NR</t>
  </si>
  <si>
    <t>Exterior Lighting: Façade - HID 150W to LED 27W - Retro</t>
  </si>
  <si>
    <t>Exterior Lighting: Façade - HID 400W to LED 82W - Retro</t>
  </si>
  <si>
    <t>Exterior Lighting: Walkway - HID 150W to LED 28W - New</t>
  </si>
  <si>
    <t>Exterior Lighting: Walkway - CFL 26W to LED 12W - New</t>
  </si>
  <si>
    <t>Exterior Lighting: Walkway - INC 75W to LED 12W - New</t>
  </si>
  <si>
    <t>Exterior Lighting: Walkway - HID 150W to LED 29W - NR</t>
  </si>
  <si>
    <t>Exterior Lighting: Walkway - CFL 26W to LED 12W - NR</t>
  </si>
  <si>
    <t>Exterior Lighting: Walkway - INC 75W to LED 12W - NR</t>
  </si>
  <si>
    <t>Exterior Lighting: Walkway - HID 150W to LED 29W - Retro</t>
  </si>
  <si>
    <t>Exterior Lighting: Walkway - CFL 26W to LED 12W - Retro</t>
  </si>
  <si>
    <t>Exterior Lighting: Walkway - INC 75W to LED 12W - Retro</t>
  </si>
  <si>
    <t>Category Results; Sorted by TRC Levelized Cost</t>
  </si>
  <si>
    <t>Supply Curve Results; Categories sorted by TRC Net Levelized Cost</t>
  </si>
  <si>
    <t>Totals for Categories with Benefits Exceeding Costs.    Levelized cost is TRC Net Levelized Cost (Net of Benefits)</t>
  </si>
  <si>
    <t>Savings Allocation by Cost Bin and Month for Segments 1</t>
  </si>
  <si>
    <t>Savings Allocation by Cost Bin and Month for Segments 2</t>
  </si>
  <si>
    <t>Totals Basis</t>
  </si>
  <si>
    <t>Busbar Electric Savings in kWh</t>
  </si>
  <si>
    <t>Measures with B/C &gt; 1.00</t>
  </si>
  <si>
    <t>Categories with B/C &gt; 1.00</t>
  </si>
  <si>
    <t>Supply Curve Results:  By TRC Net Levelized Cost - Net of Benefits</t>
  </si>
  <si>
    <t>Block 1: &lt;= 0 mills/kWh</t>
  </si>
  <si>
    <t>Block 2: &lt;= 10 mills/kWh</t>
  </si>
  <si>
    <t>Block 3: 10-20 mills/kWh</t>
  </si>
  <si>
    <t>Block 4: 20-30 mills/kWh</t>
  </si>
  <si>
    <t>Block 5: 30-40 mills/kWh</t>
  </si>
  <si>
    <t>Block 6: 40-50 mills/kWh</t>
  </si>
  <si>
    <t>Block 7: 50-60 mills/kWh</t>
  </si>
  <si>
    <t>Block 8: 60-70 mills/kWh</t>
  </si>
  <si>
    <t>Block 9: 70-80 mills/kWh</t>
  </si>
  <si>
    <t>Block 10: 80-90 mills/kWh</t>
  </si>
  <si>
    <t>Block 11: 90-100 mills/kWh</t>
  </si>
  <si>
    <t>Block 12: 100-110 mills/kWh</t>
  </si>
  <si>
    <t>Block 13: 110-120 mills/kWh</t>
  </si>
  <si>
    <t>Block 14: 120-130 mills/kWh</t>
  </si>
  <si>
    <t>Block 15: 130-140 mills/kWh</t>
  </si>
  <si>
    <t>Block 16: 140-150 mills/kWh</t>
  </si>
  <si>
    <t>Block 17: 150-160 mills/kWh</t>
  </si>
  <si>
    <t>Block 18: 160-170 mills/kWh</t>
  </si>
  <si>
    <t>Block 19: 170-180 mills/kWh</t>
  </si>
  <si>
    <t>Block 20: 180-190 mills/kWh</t>
  </si>
  <si>
    <t>Block 21: 190-200 mills/kWh</t>
  </si>
  <si>
    <t>Block 22: &gt; 200 mills/kWh</t>
  </si>
  <si>
    <t>Convert to Table w/ 2012$</t>
  </si>
  <si>
    <t>Avg. Unit Installed Cost (2012$)</t>
  </si>
  <si>
    <t>Median Unit Installed Cost (2012$)</t>
  </si>
  <si>
    <t>Lower Quartile Installed Cost (2012$)</t>
  </si>
  <si>
    <t>Fixtures per Pole?</t>
  </si>
  <si>
    <t>Poles per KSF Indoor Space?</t>
  </si>
  <si>
    <t>Total Inc. Cost per Delta Watt</t>
  </si>
  <si>
    <t>slope</t>
  </si>
  <si>
    <t>int</t>
  </si>
  <si>
    <t>Chart Label</t>
  </si>
  <si>
    <t>7th Plan Built-Up Cost</t>
  </si>
  <si>
    <t>Use ETO Data Trendline to Estimate In Between Wattages (2012$)</t>
  </si>
  <si>
    <t>ETO Avg Cost</t>
  </si>
  <si>
    <t>ETO Median Cost</t>
  </si>
  <si>
    <t>ETO Lower Quartile Cost</t>
  </si>
  <si>
    <t>LED Fixture W</t>
  </si>
  <si>
    <t>i.e. from 400W (the largest category in the ETO data) to 421W.</t>
  </si>
  <si>
    <t xml:space="preserve">*Note that n (number of instances of a fixture in the ETO database) is small for the very large LED exterior fixtures. For example, </t>
  </si>
  <si>
    <t>n=6 for 400W fixtures, whereas n=191 for 90W fixtures. In addition, we are extrapolating slightly beyond the ETO data's limits,</t>
  </si>
  <si>
    <t>n, ETO dataset</t>
  </si>
  <si>
    <t>Wednesday, 14 January , 2015 at 5:07 PM</t>
  </si>
  <si>
    <t>Representative Fixture W</t>
  </si>
  <si>
    <t>WattPost/WattPre</t>
  </si>
  <si>
    <t>Total Inc. Cost per  Watt Pre</t>
  </si>
  <si>
    <t>Build-Up of Other Metrics for Supply Curve Development</t>
  </si>
  <si>
    <t>Fraction Watts Non-LED</t>
  </si>
  <si>
    <t>Units Methodology</t>
  </si>
  <si>
    <t>Forecast Version</t>
  </si>
  <si>
    <t>Vintage</t>
  </si>
  <si>
    <t>Measure Bundle</t>
  </si>
  <si>
    <t>Region</t>
  </si>
  <si>
    <t>Report Year</t>
  </si>
  <si>
    <t>Total Potential (aMW)</t>
  </si>
  <si>
    <t>TOTAL</t>
  </si>
  <si>
    <t>TOTAL MAX</t>
  </si>
  <si>
    <t>Measure Applicability Factor</t>
  </si>
  <si>
    <t>Max Units</t>
  </si>
  <si>
    <t>Units</t>
  </si>
  <si>
    <t>Acheivable and 85% Max Per Year</t>
  </si>
  <si>
    <t>Achievability =&gt;</t>
  </si>
  <si>
    <t>Sum with 85% max</t>
  </si>
  <si>
    <t>Max Units 85%</t>
  </si>
  <si>
    <t>SUPPLY CURVE SAVINGS BY BUNDLE</t>
  </si>
  <si>
    <t>MWa</t>
  </si>
  <si>
    <t>lvlcost</t>
  </si>
  <si>
    <t>segment</t>
  </si>
  <si>
    <t>measure</t>
  </si>
  <si>
    <t>Program Ramp Annual Energy</t>
  </si>
  <si>
    <t>RECOMBINE MEASURE BUNDLES INTO SUPPLY CURVE CUMULATIVE</t>
  </si>
  <si>
    <t>&gt;=-9999</t>
  </si>
  <si>
    <t>&lt;=0</t>
  </si>
  <si>
    <t>&gt;0</t>
  </si>
  <si>
    <t>&lt;=10</t>
  </si>
  <si>
    <t>&gt;10</t>
  </si>
  <si>
    <t>&lt;=20</t>
  </si>
  <si>
    <t>&gt;20</t>
  </si>
  <si>
    <t>&lt;=30</t>
  </si>
  <si>
    <t>&gt;30</t>
  </si>
  <si>
    <t>&lt;=40</t>
  </si>
  <si>
    <t>&gt;40</t>
  </si>
  <si>
    <t>&lt;=50</t>
  </si>
  <si>
    <t>&gt;50</t>
  </si>
  <si>
    <t>&lt;=60</t>
  </si>
  <si>
    <t>&gt;60</t>
  </si>
  <si>
    <t>&lt;=70</t>
  </si>
  <si>
    <t>&gt;70</t>
  </si>
  <si>
    <t>&lt;=80</t>
  </si>
  <si>
    <t>&gt;80</t>
  </si>
  <si>
    <t>&lt;=90</t>
  </si>
  <si>
    <t>&gt;90</t>
  </si>
  <si>
    <t>&lt;=100</t>
  </si>
  <si>
    <t>&gt;100</t>
  </si>
  <si>
    <t>&lt;=110</t>
  </si>
  <si>
    <t>&gt;110</t>
  </si>
  <si>
    <t>&lt;=120</t>
  </si>
  <si>
    <t>&gt;120</t>
  </si>
  <si>
    <t>&lt;=130</t>
  </si>
  <si>
    <t>&gt;130</t>
  </si>
  <si>
    <t>&lt;=140</t>
  </si>
  <si>
    <t>&gt;140</t>
  </si>
  <si>
    <t>&lt;=150</t>
  </si>
  <si>
    <t>&gt;150</t>
  </si>
  <si>
    <t>&lt;=160</t>
  </si>
  <si>
    <t>&gt;160</t>
  </si>
  <si>
    <t>&lt;=170</t>
  </si>
  <si>
    <t>&gt;170</t>
  </si>
  <si>
    <t>&lt;=180</t>
  </si>
  <si>
    <t>&gt;180</t>
  </si>
  <si>
    <t>&lt;=190</t>
  </si>
  <si>
    <t>&gt;190</t>
  </si>
  <si>
    <t>&lt;=200</t>
  </si>
  <si>
    <t>Block 22: 200-210 mills/kWh</t>
  </si>
  <si>
    <t>&gt;200</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</si>
  <si>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</si>
  <si>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</si>
  <si>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</si>
  <si>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</si>
  <si>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</si>
  <si>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</si>
  <si>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</si>
  <si>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</si>
  <si>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</si>
  <si>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</si>
  <si>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</si>
  <si>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</si>
  <si>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</si>
  <si>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</si>
  <si>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</si>
  <si>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</si>
  <si>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</si>
  <si>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</si>
  <si>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</si>
  <si>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</si>
  <si>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</si>
  <si>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</si>
  <si>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</si>
  <si>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</si>
  <si>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</si>
  <si>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</si>
  <si>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</si>
  <si>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</si>
  <si>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&gt;300 mills/kWh</t>
  </si>
  <si>
    <t>&gt;300</t>
  </si>
  <si>
    <t>&lt;=999</t>
  </si>
  <si>
    <t>RECOMBINE MEASURE BUNDLES INTO SUPPLY CURVE INREMENETAL</t>
  </si>
  <si>
    <t>SC_New</t>
  </si>
  <si>
    <t>Total per Year</t>
  </si>
  <si>
    <t>Total Cumulative</t>
  </si>
  <si>
    <t># UNITS RESIDUAL &amp; AVAILABLE TO NR/RETROFIT POOL</t>
  </si>
  <si>
    <t>Luminaires</t>
  </si>
  <si>
    <t>Life Offset</t>
  </si>
  <si>
    <t>Residual from Ramp Rate</t>
  </si>
  <si>
    <t>Available Residuals (do-overs)</t>
  </si>
  <si>
    <t>Max Annual Carryover to SC-NR</t>
  </si>
  <si>
    <t>CHECK</t>
  </si>
  <si>
    <t>Residual</t>
  </si>
  <si>
    <t>Achiev plus Residual</t>
  </si>
  <si>
    <t>Total Units</t>
  </si>
  <si>
    <t>Diff between ACH plus Resid and Total</t>
  </si>
  <si>
    <t>85% per year check</t>
  </si>
  <si>
    <t>Total Opportuntiies over 20 years</t>
  </si>
  <si>
    <t>REG_Office</t>
  </si>
  <si>
    <t>Large Off</t>
  </si>
  <si>
    <t>Medium Off</t>
  </si>
  <si>
    <t>Small Off</t>
  </si>
  <si>
    <t>REG_Retail</t>
  </si>
  <si>
    <t>XLarge Ret</t>
  </si>
  <si>
    <t>Large Ret</t>
  </si>
  <si>
    <t>Medium Ret</t>
  </si>
  <si>
    <t>Small Ret</t>
  </si>
  <si>
    <t>REG_K-12</t>
  </si>
  <si>
    <t>REG_University</t>
  </si>
  <si>
    <t>University</t>
  </si>
  <si>
    <t>REG_Warehouse</t>
  </si>
  <si>
    <t>REG_Grocery</t>
  </si>
  <si>
    <t>Supermarket</t>
  </si>
  <si>
    <t>REG_Grocery Other</t>
  </si>
  <si>
    <t>MiniMart</t>
  </si>
  <si>
    <t>REG_Restaurant</t>
  </si>
  <si>
    <t>REG_Hotel</t>
  </si>
  <si>
    <t>REG_hospital</t>
  </si>
  <si>
    <t>Hospital</t>
  </si>
  <si>
    <t>REG_Hospital Other</t>
  </si>
  <si>
    <t>REG_Assembly</t>
  </si>
  <si>
    <t>REG_Other</t>
  </si>
  <si>
    <t>Base</t>
  </si>
  <si>
    <t>Forecast Lookup Range</t>
  </si>
  <si>
    <t>7P Forecasts D2.xlsx'!ComRegionNewBase</t>
  </si>
  <si>
    <t>Total Incremental</t>
  </si>
  <si>
    <t>Retail</t>
  </si>
  <si>
    <t>School</t>
  </si>
  <si>
    <t>Food
Service</t>
  </si>
  <si>
    <t>Residential
Care</t>
  </si>
  <si>
    <t>Exterior</t>
  </si>
  <si>
    <t>Source:  CBSA Report Lighitng Tables 2014-11-26.xlsx</t>
  </si>
  <si>
    <t>Health</t>
  </si>
  <si>
    <t>All</t>
  </si>
  <si>
    <t>Look Up Name</t>
  </si>
  <si>
    <t>Variable</t>
  </si>
  <si>
    <t>Xlarge Retail</t>
  </si>
  <si>
    <t>Large Retail</t>
  </si>
  <si>
    <t>Medium Retail</t>
  </si>
  <si>
    <t>Small Retail</t>
  </si>
  <si>
    <t>K-12</t>
  </si>
  <si>
    <t>Res Care</t>
  </si>
  <si>
    <t>LPD_Out_IndoorSF</t>
  </si>
  <si>
    <t>Sum of kw.pnw.frac</t>
  </si>
  <si>
    <t>Fluorescent T8/T5</t>
  </si>
  <si>
    <t>building_type</t>
  </si>
  <si>
    <t>lpd.o.mean</t>
  </si>
  <si>
    <t>n</t>
  </si>
  <si>
    <t>eb</t>
  </si>
  <si>
    <t>Signage</t>
  </si>
  <si>
    <t>Distribution of Outdoor Watts</t>
  </si>
  <si>
    <t>Sum Check</t>
  </si>
  <si>
    <t>Floor Area 2013 from CBSA</t>
  </si>
  <si>
    <t>variable</t>
  </si>
  <si>
    <t>value.mean.lpd</t>
  </si>
  <si>
    <t>Sum of kw.pnw.tot</t>
  </si>
  <si>
    <t>Distribution of Wattage By Use Type in Watts</t>
  </si>
  <si>
    <t>Distribution of Wattage By Use Type in %Watts</t>
  </si>
  <si>
    <t>From Grist CBSA State Case Weights 2014-12-19.xlsx</t>
  </si>
  <si>
    <t>Sum of Sf_State</t>
  </si>
  <si>
    <t>Distribtuion of LPD in W/KSF Building Floor Area including Hospital and Univeristy</t>
  </si>
  <si>
    <t>Proxy Measure Name</t>
  </si>
  <si>
    <t>Use Type</t>
  </si>
  <si>
    <t>Non-Building Stock</t>
  </si>
  <si>
    <t>Baseline Lamp Type</t>
  </si>
  <si>
    <t>LPD in W/KSF</t>
  </si>
  <si>
    <t>Fixture Share</t>
  </si>
  <si>
    <t>LPD for Measure &amp; Fixture</t>
  </si>
  <si>
    <t>Watt Saved per KSF</t>
  </si>
  <si>
    <t>Baseline Lamp Type LPD in W/KSF</t>
  </si>
  <si>
    <t>kWh Saved per KSF Floor Space</t>
  </si>
  <si>
    <t>aMW</t>
  </si>
  <si>
    <t xml:space="preserve">aMW Savings </t>
  </si>
  <si>
    <t>Total Inc. Cost per KSF</t>
  </si>
  <si>
    <t>cost per kWh in KSF</t>
  </si>
  <si>
    <t>cost per kWh in fixture</t>
  </si>
  <si>
    <t>kWh/kWh</t>
  </si>
  <si>
    <t>Cost/Cost</t>
  </si>
  <si>
    <t>Units per KSF Floor Area</t>
  </si>
  <si>
    <t>Weight by KSF Floor Area</t>
  </si>
  <si>
    <t>\\nas2\Q\SeventhPlan\Conservation Analysis\Global EE Inputs\MC Files\MC_AND_LOADSHAPE_v3.0_24segment-7P-D9 - NewSegValues.xlsx</t>
  </si>
  <si>
    <t>UNITS FOR NEW STOCK</t>
  </si>
  <si>
    <t>DOE 2014 SSL Assessment</t>
  </si>
  <si>
    <t>Sales Penetration Estimates for SSL</t>
  </si>
  <si>
    <t>Type</t>
  </si>
  <si>
    <t>Sub Type</t>
  </si>
  <si>
    <t>DOE Forecast 2015</t>
  </si>
  <si>
    <t xml:space="preserve"> NEEA Sales Estimates 2014</t>
  </si>
  <si>
    <t>Council FC Forecast Baseline</t>
  </si>
  <si>
    <t>General Service</t>
  </si>
  <si>
    <t>Decorative</t>
  </si>
  <si>
    <t>Directional</t>
  </si>
  <si>
    <t>PAR Lamp</t>
  </si>
  <si>
    <t>MR Lamp</t>
  </si>
  <si>
    <t>PAR Fixture</t>
  </si>
  <si>
    <t>MR Fixture</t>
  </si>
  <si>
    <t>Downlight</t>
  </si>
  <si>
    <t>DL Lamp</t>
  </si>
  <si>
    <t>DL Luminaire</t>
  </si>
  <si>
    <t>Linear Fluorescent Fixture</t>
  </si>
  <si>
    <t>Commercial</t>
  </si>
  <si>
    <t>Industrtial</t>
  </si>
  <si>
    <t>Low/High Bay</t>
  </si>
  <si>
    <t>Street &amp; Roadway</t>
  </si>
  <si>
    <t>Parking</t>
  </si>
  <si>
    <t>Lot</t>
  </si>
  <si>
    <t>Garage</t>
  </si>
  <si>
    <t>NEW FLOOR AREA APPLICABLE &amp; ACHIEVABLE BY YEAR FOR BUNDLE</t>
  </si>
  <si>
    <t>UNITS APPLICABLE BY YEAR</t>
  </si>
  <si>
    <t>Unit Multiplier (per KSF Floor Area)</t>
  </si>
  <si>
    <t>Normalize to Total Wattage</t>
  </si>
  <si>
    <t>Calculate Outdoor LPD per Builidng Floor Area</t>
  </si>
  <si>
    <t>Add Wattage for missing Hospital and University</t>
  </si>
  <si>
    <t>Start with map of total wattage by Use Type and Lamp Type.</t>
  </si>
  <si>
    <t>7P Forecasts D2.xlsx'!ComRegionExistBase</t>
  </si>
  <si>
    <t># UNITS FOR EXISTING STOCK</t>
  </si>
  <si>
    <t># UNITS CARRYOVER FROM UNTREATED NEW STOCK</t>
  </si>
  <si>
    <t># UNITS TOTAL FOR NR POOL</t>
  </si>
  <si>
    <t>Annual Pool</t>
  </si>
  <si>
    <t>Total Pool (Max)</t>
  </si>
  <si>
    <t>APPLY MEASURE APPLICABILITY, SATURATION TURNOVER RATE FOR MAX ANNUAL # UNITS</t>
  </si>
  <si>
    <t>Existing Stock</t>
  </si>
  <si>
    <t>Applicability</t>
  </si>
  <si>
    <t>Saturation</t>
  </si>
  <si>
    <t>Turnover Rate</t>
  </si>
  <si>
    <t>Annual Max</t>
  </si>
  <si>
    <t>Carryover from Untreated New</t>
  </si>
  <si>
    <t>INCREMENTAL ACHIEVABILITY</t>
  </si>
  <si>
    <t>Program Max</t>
  </si>
  <si>
    <t>CUMULATIVE ADOPTION</t>
  </si>
  <si>
    <t>kWh per Luminaire</t>
  </si>
  <si>
    <t>Max Annual Available</t>
  </si>
  <si>
    <t>SC-NR</t>
  </si>
  <si>
    <t>Cumulative at Earliest Deployment</t>
  </si>
  <si>
    <t>Weight LPD for Measure &amp; Fixture</t>
  </si>
  <si>
    <t>HPS 250W-New</t>
  </si>
  <si>
    <t>MH 400W-New</t>
  </si>
  <si>
    <t>MH 1000W-New</t>
  </si>
  <si>
    <t>HID 150W-New</t>
  </si>
  <si>
    <t>HID 400W-New</t>
  </si>
  <si>
    <t>CFL 26W-New</t>
  </si>
  <si>
    <t>INC 75W-New</t>
  </si>
  <si>
    <t>Existing</t>
  </si>
  <si>
    <t>User total stock.  Not differentiaed by Btype.</t>
  </si>
  <si>
    <t>Use sector total.  Measure not differentiated by Btype</t>
  </si>
  <si>
    <t>Turnover for NR</t>
  </si>
  <si>
    <t>HPS 250W-NR</t>
  </si>
  <si>
    <t>MH 400W-NR</t>
  </si>
  <si>
    <t>MH 1000W-NR</t>
  </si>
  <si>
    <t>HID 150W-NR</t>
  </si>
  <si>
    <t>HID 400W-NR</t>
  </si>
  <si>
    <t>CFL 26W-NR</t>
  </si>
  <si>
    <t>INC 75W-NR</t>
  </si>
  <si>
    <t xml:space="preserve">SSL fixtures are now available for the outdoor lighting in many form factors.  </t>
  </si>
  <si>
    <t>CBSA</t>
  </si>
  <si>
    <t>Measure applies to all floor area including new.</t>
  </si>
  <si>
    <t>LED has a small share of existing stock per CBSA.  About 2% by Watts and 4% by count.</t>
  </si>
  <si>
    <t>30% in New and NR for parking lot.  For façade and walkway and other exterior sites - about 25%.</t>
  </si>
  <si>
    <t>Based on Navigant 2014 estimates.  See DOE 2014 Sales Pen</t>
  </si>
  <si>
    <t>Varies by measure.  Typically 50K to 70K hours.</t>
  </si>
  <si>
    <t>Streetlight</t>
  </si>
  <si>
    <t>Exterior Building Lighting</t>
  </si>
  <si>
    <t xml:space="preserve">Exterior Building Lighting.  Includes Parking Lot, Façade, Walkway, Outdoor Sales, Signage and Other.  Does not include embedded Parking Garage or stand alone parking structures. </t>
  </si>
  <si>
    <t>Calculations normalized to W per 1000 SF of total building area.  Outdoor LPD is Outdoor W/KSF IndoorFloorArea.</t>
  </si>
  <si>
    <t>Used CBSA outdoor wattage by baseline technology type; HID, CFL and INC.  LF and LED make up small shares of existing stock.  CBSA used to produce a 49 cell matrix of wattage distribution by Use Type and Baseline Technology.  Calculation is Post/Pre Watts times 4300 hours per year times LPD for the major cells of the matrix.</t>
  </si>
  <si>
    <t xml:space="preserve"> Proxy measures were developed to reflect measures that would be applicable to the most prevalent fixture types, lamps types, wattages.  These proxy fixtures &amp; lamp replacements were aligned to the three most prevalent outdoor use types; parking lot, facade lighting, and walkway.    Several size categories each.  </t>
  </si>
  <si>
    <t>Based on retail costs from www sites as noted.  Also considered costs from recent ETO program and advice of Evergreen Consulting.  Included lamp and labor replacement cost avoidance in the POM cycle.</t>
  </si>
  <si>
    <t>Fast.  SSL technology and cost for outdoor application is rapidly falling.  New fixture costs are a small premium over incumbent in some applications</t>
  </si>
  <si>
    <t>Find suitable proxy measures</t>
  </si>
  <si>
    <t>Check ETO data</t>
  </si>
  <si>
    <t xml:space="preserve">Use total building floor area as the driver.  Savings and costs are calculated per KSF of indoor floor area.  </t>
  </si>
  <si>
    <t>Use total building floor area as the driver.  Savings and costs are calculated per KSF of indoor floor area.  Rfesidual flows to SC-NR</t>
  </si>
  <si>
    <t>Add controls measures for façade and walkway and potentially parking</t>
  </si>
  <si>
    <t>Add RPM Page</t>
  </si>
  <si>
    <t>Automate Forecast Population</t>
  </si>
  <si>
    <t xml:space="preserve">Review Proxy Measure selection and watt reduction with Evergreen, BPA others. </t>
  </si>
  <si>
    <t>Revise penetration with sales data from BPA/NEEA when available</t>
  </si>
  <si>
    <t>Review Proxy Measure selection and watt reduction with Evergreen, BPA others.  SSL applications for HID can show large power reductions due to better fixture performance and control of light output.  Find out what contractors are installing to replace the common fixture classes.</t>
  </si>
  <si>
    <t>ParkingLot</t>
  </si>
  <si>
    <t>BuildingFacade</t>
  </si>
  <si>
    <t>Walkway/Area</t>
  </si>
  <si>
    <t>HPS 250WParkingLot</t>
  </si>
  <si>
    <t>MH 400WParkingLot</t>
  </si>
  <si>
    <t>MH 1000WParkingLot</t>
  </si>
  <si>
    <t>HID 150WBuildingFacade</t>
  </si>
  <si>
    <t>HID 400WBuildingFacade</t>
  </si>
  <si>
    <t>HID 150WWalkway/Area</t>
  </si>
  <si>
    <t>CFL 26WWalkway/Area</t>
  </si>
  <si>
    <t>INC 75WWalkway/Area</t>
  </si>
  <si>
    <t>ExteriorSales</t>
  </si>
  <si>
    <t>SportingField</t>
  </si>
  <si>
    <t>Per KSF/Per Fixture</t>
  </si>
  <si>
    <t>Fixtures/KSF</t>
  </si>
  <si>
    <t>Monday, 19 January , 2015 at 4:52 PM</t>
  </si>
  <si>
    <t>Convert Savings and Cost per fixture to savings and costs per KSF floor area for sup[ply curve unts</t>
  </si>
  <si>
    <t>Ramp Rate</t>
  </si>
  <si>
    <t>Resource Type</t>
  </si>
  <si>
    <t>Measure Category</t>
  </si>
  <si>
    <t>Sector</t>
  </si>
  <si>
    <t>End Use</t>
  </si>
  <si>
    <t>kW per unit</t>
  </si>
  <si>
    <t>kWh per unit</t>
  </si>
  <si>
    <t>TRC Net Levelized Cost (Net of All Benefits)</t>
  </si>
  <si>
    <t>MAX</t>
  </si>
  <si>
    <t>Lighting</t>
  </si>
</sst>
</file>

<file path=xl/styles.xml><?xml version="1.0" encoding="utf-8"?>
<styleSheet xmlns="http://schemas.openxmlformats.org/spreadsheetml/2006/main">
  <numFmts count="23">
    <numFmt numFmtId="5" formatCode="&quot;$&quot;#,##0_);\(&quot;$&quot;#,##0\)"/>
    <numFmt numFmtId="44" formatCode="_(&quot;$&quot;* #,##0.00_);_(&quot;$&quot;* \(#,##0.00\);_(&quot;$&quot;* &quot;-&quot;??_);_(@_)"/>
    <numFmt numFmtId="43" formatCode="_(* #,##0.00_);_(* \(#,##0.00\);_(* &quot;-&quot;??_);_(@_)"/>
    <numFmt numFmtId="164" formatCode="0.0"/>
    <numFmt numFmtId="165" formatCode="0.00000000000000"/>
    <numFmt numFmtId="166" formatCode="0.000000"/>
    <numFmt numFmtId="167" formatCode="0.0000"/>
    <numFmt numFmtId="168" formatCode="_(* #,##0_);_(* \(#,##0\);_(* &quot;-&quot;??_);_(@_)"/>
    <numFmt numFmtId="169" formatCode="_(&quot;$&quot;* #,##0_);_(&quot;$&quot;* \(#,##0\);_(&quot;$&quot;* &quot;-&quot;??_);_(@_)"/>
    <numFmt numFmtId="170" formatCode="m/d/\ h:mm"/>
    <numFmt numFmtId="171" formatCode="0.000"/>
    <numFmt numFmtId="172" formatCode="&quot;$&quot;#,##0.00"/>
    <numFmt numFmtId="173" formatCode="&quot;$&quot;#,##0"/>
    <numFmt numFmtId="174" formatCode="0.0;[Red]\-0.0"/>
    <numFmt numFmtId="175" formatCode="\ "/>
    <numFmt numFmtId="176" formatCode="_(* #,##0.000_);_(* \(#,##0.000\);_(* &quot;-&quot;?_);_(@_)"/>
    <numFmt numFmtId="177" formatCode="_(* #,##0.0_);_(* \(#,##0.0\);_(* &quot;-&quot;?_);_(@_)"/>
    <numFmt numFmtId="178" formatCode="_(* #,##0.0_);_(* \(#,##0.0\);_(* &quot;-&quot;??_);_(@_)"/>
    <numFmt numFmtId="179" formatCode="_(* #,##0.0000_);_(* \(#,##0.0000\);_(* &quot;-&quot;??_);_(@_)"/>
    <numFmt numFmtId="180" formatCode="_(&quot;$&quot;* #,##0.0000_);_(&quot;$&quot;* \(#,##0.0000\);_(&quot;$&quot;* &quot;-&quot;??_);_(@_)"/>
    <numFmt numFmtId="181" formatCode="0.0%"/>
    <numFmt numFmtId="182" formatCode="_(* #,##0.000_);_(* \(#,##0.000\);_(* &quot;-&quot;??_);_(@_)"/>
    <numFmt numFmtId="183" formatCode="_(&quot;$&quot;* #,##0.0_);_(&quot;$&quot;* \(#,##0.0\);_(&quot;$&quot;* &quot;-&quot;??_);_(@_)"/>
  </numFmts>
  <fonts count="64">
    <font>
      <sz val="10"/>
      <color theme="1"/>
      <name val="Arial"/>
      <family val="2"/>
    </font>
    <font>
      <sz val="10"/>
      <color theme="1"/>
      <name val="Arial"/>
      <family val="2"/>
    </font>
    <font>
      <sz val="11"/>
      <color theme="1"/>
      <name val="Calibri"/>
      <family val="2"/>
      <scheme val="minor"/>
    </font>
    <font>
      <b/>
      <sz val="14"/>
      <color theme="1"/>
      <name val="Calibri"/>
      <family val="2"/>
      <scheme val="minor"/>
    </font>
    <font>
      <sz val="10"/>
      <name val="Arial"/>
      <family val="2"/>
    </font>
    <font>
      <b/>
      <sz val="11"/>
      <name val="Calibri"/>
      <family val="2"/>
      <scheme val="minor"/>
    </font>
    <font>
      <sz val="11"/>
      <name val="Calibri"/>
      <family val="2"/>
      <scheme val="minor"/>
    </font>
    <font>
      <sz val="12"/>
      <name val="Arial"/>
      <family val="2"/>
    </font>
    <font>
      <b/>
      <i/>
      <sz val="10"/>
      <name val="Arial"/>
      <family val="2"/>
    </font>
    <font>
      <b/>
      <sz val="10"/>
      <color rgb="FFFF000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b/>
      <sz val="8"/>
      <color indexed="81"/>
      <name val="Tahoma"/>
      <family val="2"/>
    </font>
    <font>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Times New Roman"/>
      <family val="1"/>
    </font>
    <font>
      <i/>
      <sz val="11"/>
      <color indexed="23"/>
      <name val="Calibri"/>
      <family val="2"/>
    </font>
    <font>
      <sz val="11"/>
      <color indexed="17"/>
      <name val="Calibri"/>
      <family val="2"/>
    </font>
    <font>
      <b/>
      <sz val="12"/>
      <name val="Times New Roman"/>
      <family val="1"/>
    </font>
    <font>
      <b/>
      <sz val="15"/>
      <color indexed="56"/>
      <name val="Calibri"/>
      <family val="2"/>
    </font>
    <font>
      <b/>
      <sz val="15"/>
      <color indexed="62"/>
      <name val="Calibri"/>
      <family val="2"/>
    </font>
    <font>
      <b/>
      <sz val="11"/>
      <color indexed="56"/>
      <name val="Calibri"/>
      <family val="2"/>
    </font>
    <font>
      <b/>
      <sz val="11"/>
      <color indexed="62"/>
      <name val="Calibri"/>
      <family val="2"/>
    </font>
    <font>
      <u/>
      <sz val="10"/>
      <color indexed="12"/>
      <name val="Arial"/>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2"/>
      <color theme="1"/>
      <name val="Palatino Linotype"/>
      <family val="2"/>
    </font>
    <font>
      <sz val="10"/>
      <name val="MS Sans Serif"/>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i/>
      <sz val="26"/>
      <color rgb="FF000000"/>
      <name val="Calibri"/>
      <family val="2"/>
    </font>
    <font>
      <sz val="11"/>
      <color theme="1"/>
      <name val="Calibri"/>
      <family val="2"/>
    </font>
    <font>
      <i/>
      <sz val="10"/>
      <color theme="1"/>
      <name val="Arial"/>
      <family val="2"/>
    </font>
    <font>
      <i/>
      <u/>
      <sz val="10"/>
      <color theme="10"/>
      <name val="Arial"/>
      <family val="2"/>
    </font>
    <font>
      <i/>
      <sz val="12"/>
      <color theme="1"/>
      <name val="Arial"/>
      <family val="2"/>
    </font>
    <font>
      <sz val="12"/>
      <color theme="1"/>
      <name val="Arial"/>
      <family val="2"/>
    </font>
    <font>
      <i/>
      <sz val="14"/>
      <color theme="1"/>
      <name val="Arial"/>
      <family val="2"/>
    </font>
    <font>
      <sz val="14"/>
      <color theme="1"/>
      <name val="Arial"/>
      <family val="2"/>
    </font>
    <font>
      <i/>
      <u/>
      <sz val="12"/>
      <color theme="10"/>
      <name val="Arial"/>
      <family val="2"/>
    </font>
    <font>
      <sz val="9"/>
      <color rgb="FF000000"/>
      <name val="Arial"/>
      <family val="2"/>
    </font>
    <font>
      <sz val="9"/>
      <color indexed="81"/>
      <name val="Tahoma"/>
      <family val="2"/>
    </font>
    <font>
      <b/>
      <sz val="9"/>
      <color indexed="81"/>
      <name val="Tahoma"/>
      <family val="2"/>
    </font>
    <font>
      <u/>
      <sz val="10"/>
      <name val="Arial"/>
      <family val="2"/>
    </font>
    <font>
      <b/>
      <sz val="10"/>
      <color theme="1"/>
      <name val="Arial"/>
      <family val="2"/>
    </font>
    <font>
      <sz val="10"/>
      <color theme="0" tint="-0.34998626667073579"/>
      <name val="Arial"/>
      <family val="2"/>
    </font>
    <font>
      <sz val="10"/>
      <color indexed="9"/>
      <name val="Arial"/>
      <family val="2"/>
    </font>
    <font>
      <sz val="10"/>
      <color indexed="10"/>
      <name val="Arial"/>
      <family val="2"/>
    </font>
    <font>
      <sz val="10"/>
      <color theme="0"/>
      <name val="Arial"/>
      <family val="2"/>
    </font>
    <font>
      <b/>
      <sz val="11"/>
      <color theme="1"/>
      <name val="Calibri"/>
      <family val="2"/>
      <scheme val="minor"/>
    </font>
    <font>
      <sz val="10"/>
      <color theme="0" tint="-0.499984740745262"/>
      <name val="Arial"/>
      <family val="2"/>
    </font>
    <font>
      <sz val="11"/>
      <color indexed="8"/>
      <name val="Calibri"/>
      <family val="2"/>
      <scheme val="minor"/>
    </font>
    <font>
      <b/>
      <sz val="11"/>
      <color indexed="8"/>
      <name val="Calibri"/>
      <family val="2"/>
      <scheme val="minor"/>
    </font>
  </fonts>
  <fills count="53">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theme="3"/>
        <bgColor indexed="64"/>
      </patternFill>
    </fill>
    <fill>
      <patternFill patternType="solid">
        <fgColor theme="6" tint="0.59999389629810485"/>
        <bgColor indexed="64"/>
      </patternFill>
    </fill>
    <fill>
      <patternFill patternType="solid">
        <fgColor indexed="22"/>
        <bgColor indexed="64"/>
      </patternFill>
    </fill>
    <fill>
      <patternFill patternType="solid">
        <fgColor theme="0" tint="-0.249977111117893"/>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rgb="FFDDD9C3"/>
        <bgColor rgb="FF000000"/>
      </patternFill>
    </fill>
    <fill>
      <patternFill patternType="solid">
        <fgColor theme="6" tint="0.39997558519241921"/>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indexed="57"/>
        <bgColor indexed="64"/>
      </patternFill>
    </fill>
    <fill>
      <patternFill patternType="solid">
        <fgColor indexed="60"/>
        <bgColor indexed="64"/>
      </patternFill>
    </fill>
    <fill>
      <patternFill patternType="solid">
        <fgColor indexed="31"/>
        <bgColor indexed="64"/>
      </patternFill>
    </fill>
    <fill>
      <patternFill patternType="solid">
        <fgColor rgb="FFFFC00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8" tint="0.59999389629810485"/>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91">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alignment readingOrder="1"/>
    </xf>
    <xf numFmtId="0" fontId="4" fillId="0" borderId="0">
      <alignment readingOrder="1"/>
    </xf>
    <xf numFmtId="0" fontId="4" fillId="0" borderId="0"/>
    <xf numFmtId="0" fontId="7" fillId="0" borderId="0"/>
    <xf numFmtId="0" fontId="4" fillId="0" borderId="0"/>
    <xf numFmtId="0" fontId="4" fillId="0" borderId="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21" borderId="0" applyNumberFormat="0" applyBorder="0" applyAlignment="0" applyProtection="0"/>
    <xf numFmtId="0" fontId="17" fillId="13"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13" borderId="0" applyNumberFormat="0" applyBorder="0" applyAlignment="0" applyProtection="0"/>
    <xf numFmtId="0" fontId="18" fillId="25" borderId="0" applyNumberFormat="0" applyBorder="0" applyAlignment="0" applyProtection="0"/>
    <xf numFmtId="0" fontId="18" fillId="19"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17" borderId="0" applyNumberFormat="0" applyBorder="0" applyAlignment="0" applyProtection="0"/>
    <xf numFmtId="0" fontId="18" fillId="27"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13" borderId="0" applyNumberFormat="0" applyBorder="0" applyAlignment="0" applyProtection="0"/>
    <xf numFmtId="0" fontId="18" fillId="25" borderId="0" applyNumberFormat="0" applyBorder="0" applyAlignment="0" applyProtection="0"/>
    <xf numFmtId="0" fontId="18" fillId="30" borderId="0" applyNumberFormat="0" applyBorder="0" applyAlignment="0" applyProtection="0"/>
    <xf numFmtId="0" fontId="18" fillId="24" borderId="0" applyNumberFormat="0" applyBorder="0" applyAlignment="0" applyProtection="0"/>
    <xf numFmtId="0" fontId="18" fillId="31" borderId="0" applyNumberFormat="0" applyBorder="0" applyAlignment="0" applyProtection="0"/>
    <xf numFmtId="0" fontId="19" fillId="13" borderId="0" applyNumberFormat="0" applyBorder="0" applyAlignment="0" applyProtection="0"/>
    <xf numFmtId="0" fontId="19" fillId="15" borderId="0" applyNumberFormat="0" applyBorder="0" applyAlignment="0" applyProtection="0"/>
    <xf numFmtId="0" fontId="20" fillId="19" borderId="12" applyNumberFormat="0" applyAlignment="0" applyProtection="0"/>
    <xf numFmtId="0" fontId="20" fillId="12" borderId="12" applyNumberFormat="0" applyAlignment="0" applyProtection="0"/>
    <xf numFmtId="0" fontId="21" fillId="32" borderId="1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4" borderId="0" applyNumberFormat="0" applyAlignment="0"/>
    <xf numFmtId="170" fontId="22" fillId="0" borderId="0"/>
    <xf numFmtId="0" fontId="23" fillId="0" borderId="0" applyNumberFormat="0" applyFill="0" applyBorder="0" applyAlignment="0" applyProtection="0"/>
    <xf numFmtId="0" fontId="24" fillId="14" borderId="0" applyNumberFormat="0" applyBorder="0" applyAlignment="0" applyProtection="0"/>
    <xf numFmtId="0" fontId="25" fillId="0" borderId="0">
      <alignment horizontal="center" wrapText="1"/>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17" borderId="12" applyNumberFormat="0" applyAlignment="0" applyProtection="0"/>
    <xf numFmtId="0" fontId="33" fillId="0" borderId="18" applyNumberFormat="0" applyFill="0" applyAlignment="0" applyProtection="0"/>
    <xf numFmtId="0" fontId="34" fillId="35" borderId="0" applyNumberFormat="0" applyBorder="0" applyAlignment="0" applyProtection="0"/>
    <xf numFmtId="0" fontId="17" fillId="0" borderId="0"/>
    <xf numFmtId="0" fontId="17" fillId="0" borderId="0"/>
    <xf numFmtId="0" fontId="17" fillId="0" borderId="0"/>
    <xf numFmtId="0" fontId="4" fillId="0" borderId="0"/>
    <xf numFmtId="0" fontId="2"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4" fillId="0" borderId="0">
      <alignment readingOrder="1"/>
    </xf>
    <xf numFmtId="0" fontId="2"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alignment readingOrder="1"/>
    </xf>
    <xf numFmtId="0" fontId="4" fillId="0" borderId="0">
      <alignment readingOrder="1"/>
    </xf>
    <xf numFmtId="0" fontId="4" fillId="0" borderId="0">
      <alignment readingOrder="1"/>
    </xf>
    <xf numFmtId="0" fontId="17" fillId="0" borderId="0"/>
    <xf numFmtId="0" fontId="4" fillId="0" borderId="0">
      <alignment readingOrder="1"/>
    </xf>
    <xf numFmtId="0" fontId="4" fillId="0" borderId="0"/>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36" fillId="0" borderId="0"/>
    <xf numFmtId="0" fontId="17" fillId="0" borderId="0"/>
    <xf numFmtId="0" fontId="17" fillId="0" borderId="0"/>
    <xf numFmtId="0" fontId="17" fillId="0" borderId="0"/>
    <xf numFmtId="0" fontId="17" fillId="0" borderId="0"/>
    <xf numFmtId="0" fontId="4" fillId="0" borderId="0">
      <alignment readingOrder="1"/>
    </xf>
    <xf numFmtId="0" fontId="4" fillId="0" borderId="0">
      <alignment readingOrder="1"/>
    </xf>
    <xf numFmtId="0" fontId="4" fillId="0" borderId="0">
      <alignment readingOrder="1"/>
    </xf>
    <xf numFmtId="0" fontId="17" fillId="36" borderId="19" applyNumberFormat="0" applyFont="0" applyAlignment="0" applyProtection="0"/>
    <xf numFmtId="0" fontId="4" fillId="36" borderId="19" applyNumberFormat="0" applyFont="0" applyAlignment="0" applyProtection="0"/>
    <xf numFmtId="0" fontId="37" fillId="19" borderId="20" applyNumberFormat="0" applyAlignment="0" applyProtection="0"/>
    <xf numFmtId="0" fontId="37" fillId="12" borderId="20"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21" applyNumberFormat="0" applyFill="0" applyAlignment="0" applyProtection="0"/>
    <xf numFmtId="0" fontId="40" fillId="0" borderId="22" applyNumberFormat="0" applyFill="0" applyAlignment="0" applyProtection="0"/>
    <xf numFmtId="0" fontId="41" fillId="0" borderId="0" applyNumberFormat="0" applyFill="0" applyBorder="0" applyAlignment="0" applyProtection="0"/>
    <xf numFmtId="0" fontId="4" fillId="0" borderId="0"/>
    <xf numFmtId="0" fontId="4" fillId="0" borderId="0"/>
    <xf numFmtId="0" fontId="31" fillId="0" borderId="0" applyNumberFormat="0" applyFill="0" applyBorder="0" applyAlignment="0" applyProtection="0">
      <alignment vertical="top"/>
      <protection locked="0"/>
    </xf>
    <xf numFmtId="9" fontId="1" fillId="0" borderId="0" applyFont="0" applyFill="0" applyBorder="0" applyAlignment="0" applyProtection="0"/>
    <xf numFmtId="0" fontId="4" fillId="0" borderId="0"/>
  </cellStyleXfs>
  <cellXfs count="398">
    <xf numFmtId="0" fontId="0" fillId="0" borderId="0" xfId="0"/>
    <xf numFmtId="0" fontId="2" fillId="0" borderId="0" xfId="0" applyFont="1"/>
    <xf numFmtId="0" fontId="3" fillId="2" borderId="1" xfId="0" applyFont="1" applyFill="1" applyBorder="1"/>
    <xf numFmtId="0" fontId="3" fillId="2" borderId="2" xfId="0" applyFont="1" applyFill="1" applyBorder="1"/>
    <xf numFmtId="0" fontId="3" fillId="2" borderId="3" xfId="0" applyFont="1" applyFill="1" applyBorder="1"/>
    <xf numFmtId="0" fontId="5" fillId="3" borderId="4" xfId="3" applyFont="1" applyFill="1" applyBorder="1" applyAlignment="1">
      <alignment horizontal="left" vertical="center" wrapText="1"/>
    </xf>
    <xf numFmtId="0" fontId="5" fillId="3" borderId="5" xfId="3" applyFont="1" applyFill="1" applyBorder="1" applyAlignment="1">
      <alignment horizontal="left" vertical="center" wrapText="1"/>
    </xf>
    <xf numFmtId="0" fontId="6" fillId="0" borderId="5" xfId="3" applyNumberFormat="1" applyFont="1" applyFill="1" applyBorder="1" applyAlignment="1">
      <alignment horizontal="left" vertical="center" wrapText="1"/>
    </xf>
    <xf numFmtId="0" fontId="6" fillId="0" borderId="5" xfId="3" applyFont="1" applyFill="1" applyBorder="1" applyAlignment="1">
      <alignment horizontal="left" vertical="center" wrapText="1"/>
    </xf>
    <xf numFmtId="0" fontId="2" fillId="0" borderId="5" xfId="3" applyFont="1" applyFill="1" applyBorder="1" applyAlignment="1">
      <alignment horizontal="left" vertical="center" wrapText="1"/>
    </xf>
    <xf numFmtId="0" fontId="6" fillId="0" borderId="5" xfId="3" applyFont="1" applyBorder="1" applyAlignment="1">
      <alignment horizontal="left" vertical="center" wrapText="1" readingOrder="1"/>
    </xf>
    <xf numFmtId="0" fontId="6" fillId="0" borderId="5" xfId="3" applyNumberFormat="1" applyFont="1" applyBorder="1" applyAlignment="1">
      <alignment horizontal="left" vertical="center" wrapText="1" readingOrder="1"/>
    </xf>
    <xf numFmtId="0" fontId="6" fillId="0" borderId="5" xfId="3" applyFont="1" applyBorder="1" applyAlignment="1">
      <alignment vertical="center" wrapText="1" readingOrder="1"/>
    </xf>
    <xf numFmtId="0" fontId="6" fillId="0" borderId="5" xfId="3" applyFont="1" applyBorder="1" applyAlignment="1">
      <alignment wrapText="1" readingOrder="1"/>
    </xf>
    <xf numFmtId="0" fontId="6" fillId="0" borderId="5" xfId="3" applyNumberFormat="1" applyFont="1" applyBorder="1" applyAlignment="1">
      <alignment vertical="center" wrapText="1" readingOrder="1"/>
    </xf>
    <xf numFmtId="0" fontId="8" fillId="0" borderId="0" xfId="6" applyFont="1"/>
    <xf numFmtId="0" fontId="9" fillId="0" borderId="0" xfId="8" applyFont="1"/>
    <xf numFmtId="0" fontId="4" fillId="0" borderId="0" xfId="6" applyFont="1"/>
    <xf numFmtId="5" fontId="4" fillId="0" borderId="0" xfId="6" applyNumberFormat="1" applyFont="1"/>
    <xf numFmtId="164" fontId="4" fillId="0" borderId="0" xfId="6" applyNumberFormat="1" applyFont="1"/>
    <xf numFmtId="164" fontId="9" fillId="0" borderId="0" xfId="6" applyNumberFormat="1" applyFont="1"/>
    <xf numFmtId="0" fontId="4" fillId="0" borderId="0" xfId="6" applyFont="1" applyFill="1"/>
    <xf numFmtId="165" fontId="4" fillId="0" borderId="0" xfId="6" applyNumberFormat="1" applyFont="1"/>
    <xf numFmtId="0" fontId="8" fillId="0" borderId="0" xfId="6" applyFont="1" applyAlignment="1">
      <alignment horizontal="left"/>
    </xf>
    <xf numFmtId="0" fontId="0" fillId="0" borderId="0" xfId="0">
      <alignment readingOrder="1"/>
    </xf>
    <xf numFmtId="166" fontId="0" fillId="0" borderId="0" xfId="0" applyNumberFormat="1" applyAlignment="1">
      <alignment horizontal="center" readingOrder="1"/>
    </xf>
    <xf numFmtId="167" fontId="0" fillId="0" borderId="0" xfId="0" applyNumberFormat="1" applyAlignment="1">
      <alignment horizontal="center" readingOrder="1"/>
    </xf>
    <xf numFmtId="0" fontId="4" fillId="0" borderId="0" xfId="0" applyFont="1">
      <alignment readingOrder="1"/>
    </xf>
    <xf numFmtId="0" fontId="4" fillId="0" borderId="0" xfId="6" applyFont="1" applyAlignment="1">
      <alignment horizontal="center"/>
    </xf>
    <xf numFmtId="0" fontId="10" fillId="4" borderId="6" xfId="6" applyFont="1" applyFill="1" applyBorder="1" applyAlignment="1">
      <alignment horizontal="centerContinuous"/>
    </xf>
    <xf numFmtId="0" fontId="11" fillId="4" borderId="6" xfId="6" applyFont="1" applyFill="1" applyBorder="1" applyAlignment="1">
      <alignment horizontal="centerContinuous"/>
    </xf>
    <xf numFmtId="0" fontId="11" fillId="4" borderId="7" xfId="6" applyFont="1" applyFill="1" applyBorder="1" applyAlignment="1">
      <alignment horizontal="centerContinuous"/>
    </xf>
    <xf numFmtId="0" fontId="12" fillId="4" borderId="8" xfId="6" applyFont="1" applyFill="1" applyBorder="1" applyAlignment="1">
      <alignment horizontal="centerContinuous"/>
    </xf>
    <xf numFmtId="0" fontId="11" fillId="7" borderId="8" xfId="6" applyFont="1" applyFill="1" applyBorder="1" applyAlignment="1">
      <alignment horizontal="center"/>
    </xf>
    <xf numFmtId="0" fontId="11" fillId="0" borderId="0" xfId="6" applyFont="1" applyFill="1" applyBorder="1" applyAlignment="1">
      <alignment horizontal="centerContinuous"/>
    </xf>
    <xf numFmtId="0" fontId="12" fillId="0" borderId="0" xfId="6" applyFont="1" applyFill="1" applyBorder="1" applyAlignment="1">
      <alignment horizontal="centerContinuous"/>
    </xf>
    <xf numFmtId="0" fontId="13" fillId="0" borderId="0" xfId="6" applyFont="1" applyFill="1" applyBorder="1" applyAlignment="1">
      <alignment horizontal="centerContinuous"/>
    </xf>
    <xf numFmtId="0" fontId="4" fillId="0" borderId="0" xfId="6" applyFont="1" applyFill="1" applyBorder="1"/>
    <xf numFmtId="0" fontId="13" fillId="9" borderId="5" xfId="6" applyFont="1" applyFill="1" applyBorder="1" applyAlignment="1">
      <alignment horizontal="center" wrapText="1"/>
    </xf>
    <xf numFmtId="0" fontId="13" fillId="9" borderId="11" xfId="6" applyFont="1" applyFill="1" applyBorder="1" applyAlignment="1">
      <alignment horizontal="center" wrapText="1"/>
    </xf>
    <xf numFmtId="0" fontId="13" fillId="9" borderId="4" xfId="6" applyFont="1" applyFill="1" applyBorder="1" applyAlignment="1">
      <alignment horizontal="center" wrapText="1"/>
    </xf>
    <xf numFmtId="0" fontId="13" fillId="9" borderId="4" xfId="0" applyFont="1" applyFill="1" applyBorder="1" applyAlignment="1">
      <alignment horizontal="center" wrapText="1"/>
    </xf>
    <xf numFmtId="0" fontId="13" fillId="10" borderId="8" xfId="6" applyFont="1" applyFill="1" applyBorder="1" applyAlignment="1">
      <alignment horizontal="center" wrapText="1"/>
    </xf>
    <xf numFmtId="0" fontId="13" fillId="10" borderId="5" xfId="6" applyFont="1" applyFill="1" applyBorder="1" applyAlignment="1">
      <alignment horizontal="center" wrapText="1"/>
    </xf>
    <xf numFmtId="0" fontId="13" fillId="0" borderId="0" xfId="6" applyFont="1" applyFill="1" applyBorder="1" applyAlignment="1">
      <alignment horizontal="center" wrapText="1"/>
    </xf>
    <xf numFmtId="164" fontId="0" fillId="0" borderId="0" xfId="0" applyNumberFormat="1">
      <alignment readingOrder="1"/>
    </xf>
    <xf numFmtId="168" fontId="4" fillId="0" borderId="0" xfId="1" applyNumberFormat="1" applyFont="1">
      <alignment readingOrder="1"/>
    </xf>
    <xf numFmtId="0" fontId="4" fillId="0" borderId="0" xfId="4">
      <alignment readingOrder="1"/>
    </xf>
    <xf numFmtId="169" fontId="4" fillId="0" borderId="0" xfId="2" applyNumberFormat="1" applyFont="1">
      <alignment readingOrder="1"/>
    </xf>
    <xf numFmtId="0" fontId="4" fillId="0" borderId="0" xfId="5" applyFont="1"/>
    <xf numFmtId="164" fontId="0" fillId="0" borderId="0" xfId="0" applyNumberFormat="1" applyAlignment="1">
      <alignment horizontal="center" readingOrder="1"/>
    </xf>
    <xf numFmtId="0" fontId="4" fillId="0" borderId="0" xfId="4" applyFont="1" applyAlignment="1">
      <alignment horizontal="center" readingOrder="1"/>
    </xf>
    <xf numFmtId="0" fontId="3" fillId="8" borderId="2" xfId="0" applyFont="1" applyFill="1" applyBorder="1"/>
    <xf numFmtId="0" fontId="14" fillId="3" borderId="0" xfId="7" applyFont="1" applyFill="1"/>
    <xf numFmtId="0" fontId="4" fillId="0" borderId="0" xfId="7" applyFont="1"/>
    <xf numFmtId="0" fontId="0" fillId="0" borderId="0" xfId="0" applyFont="1"/>
    <xf numFmtId="0" fontId="0" fillId="0" borderId="0" xfId="0" applyAlignment="1">
      <alignment horizontal="center"/>
    </xf>
    <xf numFmtId="0" fontId="4" fillId="37" borderId="0" xfId="7" applyFont="1" applyFill="1" applyAlignment="1">
      <alignment horizontal="center"/>
    </xf>
    <xf numFmtId="0" fontId="0" fillId="3" borderId="0" xfId="0" applyFill="1"/>
    <xf numFmtId="168" fontId="0" fillId="0" borderId="0" xfId="0" applyNumberFormat="1"/>
    <xf numFmtId="9" fontId="0" fillId="0" borderId="0" xfId="0" applyNumberFormat="1"/>
    <xf numFmtId="168" fontId="0" fillId="0" borderId="0" xfId="0" applyNumberFormat="1" applyAlignment="1">
      <alignment wrapText="1"/>
    </xf>
    <xf numFmtId="0" fontId="0" fillId="0" borderId="0" xfId="0" applyAlignment="1">
      <alignment wrapText="1"/>
    </xf>
    <xf numFmtId="168" fontId="0" fillId="0" borderId="0" xfId="0" applyNumberFormat="1" applyAlignment="1">
      <alignment horizontal="left"/>
    </xf>
    <xf numFmtId="168" fontId="0" fillId="0" borderId="0" xfId="0" applyNumberFormat="1" applyAlignment="1">
      <alignment horizontal="left" indent="1"/>
    </xf>
    <xf numFmtId="0" fontId="42" fillId="38" borderId="0" xfId="0" applyFont="1" applyFill="1" applyBorder="1" applyAlignment="1">
      <alignment horizontal="left" vertical="center"/>
    </xf>
    <xf numFmtId="0" fontId="43" fillId="38" borderId="0" xfId="0" applyFont="1" applyFill="1" applyBorder="1"/>
    <xf numFmtId="0" fontId="43" fillId="0" borderId="0" xfId="0" applyFont="1" applyBorder="1"/>
    <xf numFmtId="0" fontId="44" fillId="0" borderId="0" xfId="0" applyFont="1"/>
    <xf numFmtId="0" fontId="45" fillId="0" borderId="0" xfId="188" applyFont="1" applyAlignment="1" applyProtection="1"/>
    <xf numFmtId="0" fontId="48" fillId="3" borderId="0" xfId="0" applyFont="1" applyFill="1"/>
    <xf numFmtId="0" fontId="49" fillId="3" borderId="0" xfId="0" applyFont="1" applyFill="1"/>
    <xf numFmtId="0" fontId="46" fillId="3" borderId="0" xfId="0" applyFont="1" applyFill="1"/>
    <xf numFmtId="0" fontId="50" fillId="3" borderId="0" xfId="188" applyFont="1" applyFill="1" applyAlignment="1" applyProtection="1"/>
    <xf numFmtId="0" fontId="47" fillId="3" borderId="0" xfId="0" applyFont="1" applyFill="1"/>
    <xf numFmtId="43" fontId="0" fillId="0" borderId="0" xfId="0" applyNumberFormat="1"/>
    <xf numFmtId="168" fontId="43" fillId="0" borderId="0" xfId="1" applyNumberFormat="1" applyFont="1" applyBorder="1"/>
    <xf numFmtId="2" fontId="43" fillId="0" borderId="0" xfId="0" applyNumberFormat="1" applyFont="1" applyBorder="1"/>
    <xf numFmtId="2" fontId="0" fillId="0" borderId="0" xfId="0" applyNumberFormat="1"/>
    <xf numFmtId="168" fontId="0" fillId="0" borderId="0" xfId="0" applyNumberFormat="1" applyAlignment="1">
      <alignment horizontal="left" wrapText="1"/>
    </xf>
    <xf numFmtId="9" fontId="0" fillId="0" borderId="0" xfId="0" applyNumberFormat="1" applyAlignment="1">
      <alignment wrapText="1"/>
    </xf>
    <xf numFmtId="0" fontId="43" fillId="3" borderId="0" xfId="0" applyFont="1" applyFill="1" applyBorder="1" applyAlignment="1">
      <alignment wrapText="1"/>
    </xf>
    <xf numFmtId="0" fontId="0" fillId="3" borderId="0" xfId="0" applyFill="1" applyAlignment="1">
      <alignment wrapText="1"/>
    </xf>
    <xf numFmtId="168" fontId="0" fillId="0" borderId="10" xfId="0" applyNumberFormat="1" applyBorder="1"/>
    <xf numFmtId="168" fontId="0" fillId="39" borderId="10" xfId="0" applyNumberFormat="1" applyFill="1" applyBorder="1" applyAlignment="1">
      <alignment horizontal="left" indent="1"/>
    </xf>
    <xf numFmtId="168" fontId="0" fillId="39" borderId="10" xfId="0" applyNumberFormat="1" applyFill="1" applyBorder="1"/>
    <xf numFmtId="168" fontId="0" fillId="39" borderId="8" xfId="0" applyNumberFormat="1" applyFill="1" applyBorder="1"/>
    <xf numFmtId="164" fontId="0" fillId="39" borderId="9" xfId="0" applyNumberFormat="1" applyFill="1" applyBorder="1"/>
    <xf numFmtId="10" fontId="0" fillId="0" borderId="0" xfId="0" applyNumberFormat="1"/>
    <xf numFmtId="0" fontId="0" fillId="0" borderId="0" xfId="0" applyFill="1" applyAlignment="1">
      <alignment wrapText="1"/>
    </xf>
    <xf numFmtId="168" fontId="0" fillId="40" borderId="0" xfId="0" applyNumberFormat="1" applyFill="1"/>
    <xf numFmtId="168" fontId="0" fillId="40" borderId="0" xfId="0" applyNumberFormat="1" applyFill="1" applyAlignment="1">
      <alignment wrapText="1"/>
    </xf>
    <xf numFmtId="168" fontId="0" fillId="0" borderId="9" xfId="0" applyNumberFormat="1" applyBorder="1" applyAlignment="1">
      <alignment horizontal="left"/>
    </xf>
    <xf numFmtId="9" fontId="0" fillId="0" borderId="8" xfId="0" applyNumberFormat="1" applyBorder="1"/>
    <xf numFmtId="168" fontId="0" fillId="39" borderId="9" xfId="0" applyNumberFormat="1" applyFill="1" applyBorder="1" applyAlignment="1">
      <alignment horizontal="left"/>
    </xf>
    <xf numFmtId="9" fontId="0" fillId="39" borderId="8" xfId="0" applyNumberFormat="1" applyFill="1" applyBorder="1"/>
    <xf numFmtId="9" fontId="0" fillId="0" borderId="10" xfId="0" applyNumberFormat="1" applyBorder="1"/>
    <xf numFmtId="43" fontId="0" fillId="0" borderId="8" xfId="0" applyNumberFormat="1" applyBorder="1"/>
    <xf numFmtId="9" fontId="0" fillId="39" borderId="10" xfId="0" applyNumberFormat="1" applyFill="1" applyBorder="1"/>
    <xf numFmtId="43" fontId="0" fillId="39" borderId="8" xfId="0" applyNumberFormat="1" applyFill="1" applyBorder="1"/>
    <xf numFmtId="0" fontId="0" fillId="40" borderId="0" xfId="0" applyFill="1"/>
    <xf numFmtId="0" fontId="0" fillId="40" borderId="0" xfId="0" applyFill="1" applyAlignment="1">
      <alignment wrapText="1"/>
    </xf>
    <xf numFmtId="168" fontId="0" fillId="0" borderId="9" xfId="0" applyNumberFormat="1" applyBorder="1"/>
    <xf numFmtId="164" fontId="0" fillId="0" borderId="8" xfId="0" applyNumberFormat="1" applyBorder="1"/>
    <xf numFmtId="0" fontId="31" fillId="0" borderId="0" xfId="188" applyAlignment="1" applyProtection="1"/>
    <xf numFmtId="44" fontId="0" fillId="0" borderId="0" xfId="2" applyFont="1"/>
    <xf numFmtId="1" fontId="0" fillId="0" borderId="0" xfId="0" applyNumberFormat="1"/>
    <xf numFmtId="1" fontId="0" fillId="0" borderId="0" xfId="0" applyNumberFormat="1" applyFont="1"/>
    <xf numFmtId="44" fontId="1" fillId="0" borderId="0" xfId="2" applyFont="1"/>
    <xf numFmtId="0" fontId="51" fillId="0" borderId="0" xfId="0" applyFont="1"/>
    <xf numFmtId="44" fontId="0" fillId="0" borderId="0" xfId="0" applyNumberFormat="1"/>
    <xf numFmtId="164" fontId="0" fillId="0" borderId="0" xfId="0" applyNumberFormat="1" applyFont="1"/>
    <xf numFmtId="44" fontId="0" fillId="0" borderId="0" xfId="2" applyFont="1" applyBorder="1"/>
    <xf numFmtId="0" fontId="0" fillId="0" borderId="0" xfId="0" applyBorder="1"/>
    <xf numFmtId="0" fontId="31" fillId="0" borderId="0" xfId="188" applyBorder="1" applyAlignment="1" applyProtection="1"/>
    <xf numFmtId="44" fontId="1" fillId="0" borderId="0" xfId="2" applyFont="1" applyBorder="1"/>
    <xf numFmtId="0" fontId="0" fillId="3" borderId="0" xfId="0" applyFill="1" applyBorder="1" applyAlignment="1">
      <alignment wrapText="1"/>
    </xf>
    <xf numFmtId="1" fontId="0" fillId="0" borderId="0" xfId="2" applyNumberFormat="1" applyFont="1"/>
    <xf numFmtId="168" fontId="0" fillId="0" borderId="0" xfId="1" applyNumberFormat="1" applyFont="1"/>
    <xf numFmtId="0" fontId="0" fillId="0" borderId="0" xfId="0" applyAlignment="1">
      <alignment horizontal="right"/>
    </xf>
    <xf numFmtId="0" fontId="4" fillId="2" borderId="0" xfId="4" applyFill="1" applyAlignment="1">
      <alignment horizontal="right" readingOrder="1"/>
    </xf>
    <xf numFmtId="0" fontId="4" fillId="0" borderId="0" xfId="4" applyFill="1" applyAlignment="1">
      <alignment horizontal="right" readingOrder="1"/>
    </xf>
    <xf numFmtId="0" fontId="0" fillId="0" borderId="0" xfId="0" applyFill="1"/>
    <xf numFmtId="0" fontId="4" fillId="0" borderId="0" xfId="4" applyFill="1">
      <alignment readingOrder="1"/>
    </xf>
    <xf numFmtId="2" fontId="4" fillId="0" borderId="0" xfId="4" applyNumberFormat="1" applyFill="1">
      <alignment readingOrder="1"/>
    </xf>
    <xf numFmtId="0" fontId="4" fillId="2" borderId="0" xfId="0" applyFont="1" applyFill="1"/>
    <xf numFmtId="0" fontId="4" fillId="2" borderId="0" xfId="4" applyFont="1" applyFill="1" applyAlignment="1">
      <alignment horizontal="right" readingOrder="1"/>
    </xf>
    <xf numFmtId="0" fontId="0" fillId="2" borderId="0" xfId="0" applyFill="1"/>
    <xf numFmtId="43" fontId="0" fillId="0" borderId="0" xfId="1" applyNumberFormat="1" applyFont="1"/>
    <xf numFmtId="1" fontId="0" fillId="0" borderId="0" xfId="0" applyNumberFormat="1" applyBorder="1"/>
    <xf numFmtId="0" fontId="0" fillId="0" borderId="0" xfId="0" applyFill="1" applyBorder="1" applyAlignment="1">
      <alignment wrapText="1"/>
    </xf>
    <xf numFmtId="169" fontId="0" fillId="0" borderId="0" xfId="2" applyNumberFormat="1" applyFont="1"/>
    <xf numFmtId="9" fontId="0" fillId="2" borderId="0" xfId="189" applyFont="1" applyFill="1"/>
    <xf numFmtId="9" fontId="4" fillId="2" borderId="0" xfId="189" applyFont="1" applyFill="1"/>
    <xf numFmtId="168" fontId="0" fillId="0" borderId="0" xfId="1" applyNumberFormat="1" applyFont="1" applyBorder="1"/>
    <xf numFmtId="169" fontId="55" fillId="0" borderId="0" xfId="2" applyNumberFormat="1" applyFont="1"/>
    <xf numFmtId="1" fontId="55" fillId="0" borderId="0" xfId="2" applyNumberFormat="1" applyFont="1"/>
    <xf numFmtId="168" fontId="55" fillId="0" borderId="0" xfId="1" applyNumberFormat="1" applyFont="1"/>
    <xf numFmtId="0" fontId="55" fillId="0" borderId="0" xfId="0" applyFont="1" applyBorder="1"/>
    <xf numFmtId="44" fontId="55" fillId="0" borderId="0" xfId="2" applyFont="1" applyBorder="1"/>
    <xf numFmtId="168" fontId="55" fillId="0" borderId="0" xfId="1" applyNumberFormat="1" applyFont="1" applyBorder="1"/>
    <xf numFmtId="0" fontId="0" fillId="0" borderId="0" xfId="0" applyFill="1" applyBorder="1"/>
    <xf numFmtId="44" fontId="0" fillId="0" borderId="0" xfId="2" applyFont="1" applyFill="1" applyBorder="1"/>
    <xf numFmtId="1" fontId="55" fillId="0" borderId="0" xfId="0" applyNumberFormat="1" applyFont="1"/>
    <xf numFmtId="168" fontId="55" fillId="0" borderId="0" xfId="0" applyNumberFormat="1" applyFont="1"/>
    <xf numFmtId="169" fontId="0" fillId="0" borderId="0" xfId="2" applyNumberFormat="1" applyFont="1" applyAlignment="1">
      <alignment wrapText="1"/>
    </xf>
    <xf numFmtId="0" fontId="55" fillId="0" borderId="0" xfId="0" applyFont="1"/>
    <xf numFmtId="44" fontId="55" fillId="0" borderId="0" xfId="2" applyFont="1"/>
    <xf numFmtId="9" fontId="0" fillId="0" borderId="0" xfId="189" applyFont="1" applyFill="1"/>
    <xf numFmtId="168" fontId="55" fillId="0" borderId="0" xfId="1" applyNumberFormat="1" applyFont="1" applyFill="1"/>
    <xf numFmtId="0" fontId="31" fillId="0" borderId="0" xfId="188" applyFill="1" applyAlignment="1" applyProtection="1"/>
    <xf numFmtId="0" fontId="4" fillId="3" borderId="0" xfId="4" applyFill="1" applyBorder="1" applyAlignment="1">
      <alignment wrapText="1" readingOrder="1"/>
    </xf>
    <xf numFmtId="0" fontId="56" fillId="0" borderId="0" xfId="0" applyFont="1" applyAlignment="1">
      <alignment horizontal="right"/>
    </xf>
    <xf numFmtId="0" fontId="56" fillId="0" borderId="0" xfId="0" applyFont="1"/>
    <xf numFmtId="0" fontId="56" fillId="0" borderId="0" xfId="0" applyFont="1" applyAlignment="1">
      <alignment wrapText="1"/>
    </xf>
    <xf numFmtId="9" fontId="0" fillId="0" borderId="0" xfId="189" applyFont="1"/>
    <xf numFmtId="0" fontId="56" fillId="0" borderId="0" xfId="0" applyFont="1" applyAlignment="1">
      <alignment horizontal="right" wrapText="1"/>
    </xf>
    <xf numFmtId="168" fontId="0" fillId="41" borderId="0" xfId="0" applyNumberFormat="1" applyFill="1"/>
    <xf numFmtId="171" fontId="0" fillId="0" borderId="0" xfId="0" applyNumberFormat="1"/>
    <xf numFmtId="164" fontId="0" fillId="0" borderId="0" xfId="0" applyNumberFormat="1"/>
    <xf numFmtId="0" fontId="4" fillId="0" borderId="0" xfId="4" applyAlignment="1">
      <alignment horizontal="right" readingOrder="1"/>
    </xf>
    <xf numFmtId="44" fontId="0" fillId="0" borderId="0" xfId="2" applyNumberFormat="1" applyFont="1"/>
    <xf numFmtId="169" fontId="0" fillId="0" borderId="0" xfId="0" applyNumberFormat="1"/>
    <xf numFmtId="164" fontId="0" fillId="41" borderId="0" xfId="0" applyNumberFormat="1" applyFill="1"/>
    <xf numFmtId="169" fontId="0" fillId="0" borderId="0" xfId="2" applyNumberFormat="1" applyFont="1" applyFill="1"/>
    <xf numFmtId="14" fontId="0" fillId="0" borderId="0" xfId="0" applyNumberFormat="1"/>
    <xf numFmtId="172" fontId="0" fillId="0" borderId="0" xfId="0" applyNumberFormat="1"/>
    <xf numFmtId="44" fontId="0" fillId="41" borderId="0" xfId="2" applyFont="1" applyFill="1"/>
    <xf numFmtId="0" fontId="0" fillId="0" borderId="0" xfId="0" applyAlignment="1">
      <alignment vertical="top"/>
    </xf>
    <xf numFmtId="164" fontId="4" fillId="0" borderId="0" xfId="4" applyNumberFormat="1">
      <alignment readingOrder="1"/>
    </xf>
    <xf numFmtId="44" fontId="4" fillId="0" borderId="0" xfId="4" applyNumberFormat="1">
      <alignment readingOrder="1"/>
    </xf>
    <xf numFmtId="0" fontId="0" fillId="41" borderId="0" xfId="0" applyFill="1"/>
    <xf numFmtId="173" fontId="0" fillId="0" borderId="0" xfId="0" applyNumberFormat="1"/>
    <xf numFmtId="0" fontId="0" fillId="42" borderId="0" xfId="0" applyFill="1"/>
    <xf numFmtId="168" fontId="0" fillId="42" borderId="0" xfId="1" applyNumberFormat="1" applyFont="1" applyFill="1"/>
    <xf numFmtId="1" fontId="0" fillId="42" borderId="0" xfId="0" applyNumberFormat="1" applyFill="1"/>
    <xf numFmtId="9" fontId="0" fillId="42" borderId="0" xfId="189" applyFont="1" applyFill="1"/>
    <xf numFmtId="169" fontId="0" fillId="42" borderId="0" xfId="2" applyNumberFormat="1" applyFont="1" applyFill="1"/>
    <xf numFmtId="164" fontId="0" fillId="42" borderId="0" xfId="0" applyNumberFormat="1" applyFill="1"/>
    <xf numFmtId="171" fontId="0" fillId="42" borderId="0" xfId="0" applyNumberFormat="1" applyFill="1"/>
    <xf numFmtId="44" fontId="0" fillId="42" borderId="0" xfId="2" applyNumberFormat="1" applyFont="1" applyFill="1"/>
    <xf numFmtId="44" fontId="0" fillId="42" borderId="0" xfId="0" applyNumberFormat="1" applyFill="1"/>
    <xf numFmtId="44" fontId="0" fillId="42" borderId="0" xfId="2" applyFont="1" applyFill="1"/>
    <xf numFmtId="169" fontId="0" fillId="41" borderId="0" xfId="2" applyNumberFormat="1" applyFont="1" applyFill="1"/>
    <xf numFmtId="169" fontId="55" fillId="0" borderId="0" xfId="0" applyNumberFormat="1" applyFont="1"/>
    <xf numFmtId="44" fontId="0" fillId="0" borderId="0" xfId="2" applyNumberFormat="1" applyFont="1" applyFill="1"/>
    <xf numFmtId="44" fontId="0" fillId="41" borderId="0" xfId="0" applyNumberFormat="1" applyFill="1"/>
    <xf numFmtId="0" fontId="57" fillId="44" borderId="9" xfId="0" applyFont="1" applyFill="1" applyBorder="1" applyAlignment="1">
      <alignment horizontal="left" readingOrder="1"/>
    </xf>
    <xf numFmtId="0" fontId="57" fillId="44" borderId="8" xfId="0" applyFont="1" applyFill="1" applyBorder="1" applyAlignment="1">
      <alignment horizontal="center" wrapText="1" readingOrder="1"/>
    </xf>
    <xf numFmtId="0" fontId="13" fillId="33" borderId="5" xfId="0" applyFont="1" applyFill="1" applyBorder="1" applyAlignment="1">
      <alignment horizontal="center" wrapText="1" readingOrder="1"/>
    </xf>
    <xf numFmtId="0" fontId="13" fillId="33" borderId="8" xfId="0" applyFont="1" applyFill="1" applyBorder="1" applyAlignment="1">
      <alignment horizontal="center" wrapText="1" readingOrder="1"/>
    </xf>
    <xf numFmtId="164" fontId="13" fillId="33" borderId="8" xfId="0" applyNumberFormat="1" applyFont="1" applyFill="1" applyBorder="1" applyAlignment="1">
      <alignment horizontal="center" wrapText="1" readingOrder="1"/>
    </xf>
    <xf numFmtId="164" fontId="13" fillId="33" borderId="23" xfId="0" applyNumberFormat="1" applyFont="1" applyFill="1" applyBorder="1" applyAlignment="1">
      <alignment horizontal="centerContinuous" wrapText="1" readingOrder="1"/>
    </xf>
    <xf numFmtId="164" fontId="13" fillId="33" borderId="24" xfId="0" applyNumberFormat="1" applyFont="1" applyFill="1" applyBorder="1" applyAlignment="1">
      <alignment horizontal="centerContinuous" wrapText="1" readingOrder="1"/>
    </xf>
    <xf numFmtId="164" fontId="13" fillId="33" borderId="3" xfId="0" applyNumberFormat="1" applyFont="1" applyFill="1" applyBorder="1" applyAlignment="1">
      <alignment horizontal="centerContinuous" wrapText="1" readingOrder="1"/>
    </xf>
    <xf numFmtId="0" fontId="13" fillId="34" borderId="5" xfId="0" applyFont="1" applyFill="1" applyBorder="1" applyAlignment="1">
      <alignment horizontal="center" wrapText="1" readingOrder="1"/>
    </xf>
    <xf numFmtId="0" fontId="13" fillId="34" borderId="8" xfId="0" applyFont="1" applyFill="1" applyBorder="1" applyAlignment="1">
      <alignment horizontal="center" wrapText="1" readingOrder="1"/>
    </xf>
    <xf numFmtId="164" fontId="13" fillId="34" borderId="8" xfId="0" applyNumberFormat="1" applyFont="1" applyFill="1" applyBorder="1" applyAlignment="1">
      <alignment horizontal="center" wrapText="1" readingOrder="1"/>
    </xf>
    <xf numFmtId="1" fontId="0" fillId="0" borderId="0" xfId="0" applyNumberFormat="1">
      <alignment readingOrder="1"/>
    </xf>
    <xf numFmtId="164" fontId="12" fillId="0" borderId="0" xfId="0" applyNumberFormat="1" applyFont="1">
      <alignment readingOrder="1"/>
    </xf>
    <xf numFmtId="164" fontId="58" fillId="0" borderId="0" xfId="0" applyNumberFormat="1" applyFont="1">
      <alignment readingOrder="1"/>
    </xf>
    <xf numFmtId="0" fontId="57" fillId="45" borderId="9" xfId="0" applyFont="1" applyFill="1" applyBorder="1" applyAlignment="1">
      <alignment horizontal="left" wrapText="1" readingOrder="1"/>
    </xf>
    <xf numFmtId="0" fontId="57" fillId="45" borderId="8" xfId="0" applyFont="1" applyFill="1" applyBorder="1" applyAlignment="1">
      <alignment horizontal="center" wrapText="1" readingOrder="1"/>
    </xf>
    <xf numFmtId="0" fontId="57" fillId="44" borderId="10" xfId="0" applyFont="1" applyFill="1" applyBorder="1" applyAlignment="1">
      <alignment horizontal="center" wrapText="1" readingOrder="1"/>
    </xf>
    <xf numFmtId="0" fontId="0" fillId="0" borderId="25" xfId="0" applyBorder="1">
      <alignment readingOrder="1"/>
    </xf>
    <xf numFmtId="0" fontId="0" fillId="0" borderId="26" xfId="0" applyBorder="1">
      <alignment readingOrder="1"/>
    </xf>
    <xf numFmtId="0" fontId="0" fillId="0" borderId="27" xfId="0" applyBorder="1">
      <alignment readingOrder="1"/>
    </xf>
    <xf numFmtId="0" fontId="0" fillId="0" borderId="28" xfId="0" applyBorder="1">
      <alignment readingOrder="1"/>
    </xf>
    <xf numFmtId="0" fontId="0" fillId="0" borderId="0" xfId="0" applyBorder="1">
      <alignment readingOrder="1"/>
    </xf>
    <xf numFmtId="0" fontId="0" fillId="0" borderId="29" xfId="0" applyBorder="1">
      <alignment readingOrder="1"/>
    </xf>
    <xf numFmtId="0" fontId="0" fillId="0" borderId="30" xfId="0" applyBorder="1">
      <alignment readingOrder="1"/>
    </xf>
    <xf numFmtId="0" fontId="0" fillId="0" borderId="31" xfId="0" applyBorder="1">
      <alignment readingOrder="1"/>
    </xf>
    <xf numFmtId="0" fontId="0" fillId="0" borderId="32" xfId="0" applyBorder="1">
      <alignment readingOrder="1"/>
    </xf>
    <xf numFmtId="0" fontId="13" fillId="46" borderId="1" xfId="0" applyFont="1" applyFill="1" applyBorder="1" applyAlignment="1">
      <alignment horizontal="centerContinuous" wrapText="1" readingOrder="1"/>
    </xf>
    <xf numFmtId="0" fontId="13" fillId="46" borderId="3" xfId="0" applyFont="1" applyFill="1" applyBorder="1" applyAlignment="1">
      <alignment horizontal="centerContinuous" wrapText="1" readingOrder="1"/>
    </xf>
    <xf numFmtId="164" fontId="13" fillId="46" borderId="1" xfId="0" applyNumberFormat="1" applyFont="1" applyFill="1" applyBorder="1" applyAlignment="1">
      <alignment horizontal="centerContinuous" wrapText="1" readingOrder="1"/>
    </xf>
    <xf numFmtId="164" fontId="13" fillId="46" borderId="2" xfId="0" applyNumberFormat="1" applyFont="1" applyFill="1" applyBorder="1" applyAlignment="1">
      <alignment horizontal="centerContinuous" wrapText="1" readingOrder="1"/>
    </xf>
    <xf numFmtId="164" fontId="13" fillId="46" borderId="3" xfId="0" applyNumberFormat="1" applyFont="1" applyFill="1" applyBorder="1" applyAlignment="1">
      <alignment horizontal="centerContinuous" wrapText="1" readingOrder="1"/>
    </xf>
    <xf numFmtId="164" fontId="13" fillId="46" borderId="10" xfId="0" applyNumberFormat="1" applyFont="1" applyFill="1" applyBorder="1" applyAlignment="1">
      <alignment horizontal="center" wrapText="1" readingOrder="1"/>
    </xf>
    <xf numFmtId="174" fontId="13" fillId="34" borderId="8" xfId="0" applyNumberFormat="1" applyFont="1" applyFill="1" applyBorder="1" applyAlignment="1">
      <alignment horizontal="center" wrapText="1" readingOrder="1"/>
    </xf>
    <xf numFmtId="0" fontId="13" fillId="33" borderId="1" xfId="0" applyFont="1" applyFill="1" applyBorder="1" applyAlignment="1">
      <alignment horizontal="centerContinuous" wrapText="1" readingOrder="1"/>
    </xf>
    <xf numFmtId="0" fontId="13" fillId="33" borderId="2" xfId="0" applyFont="1" applyFill="1" applyBorder="1" applyAlignment="1">
      <alignment horizontal="centerContinuous" wrapText="1" readingOrder="1"/>
    </xf>
    <xf numFmtId="164" fontId="13" fillId="33" borderId="2" xfId="0" applyNumberFormat="1" applyFont="1" applyFill="1" applyBorder="1" applyAlignment="1">
      <alignment horizontal="centerContinuous" wrapText="1" readingOrder="1"/>
    </xf>
    <xf numFmtId="164" fontId="13" fillId="33" borderId="10" xfId="0" applyNumberFormat="1" applyFont="1" applyFill="1" applyBorder="1" applyAlignment="1">
      <alignment horizontal="center" wrapText="1" readingOrder="1"/>
    </xf>
    <xf numFmtId="164" fontId="13" fillId="33" borderId="1" xfId="0" applyNumberFormat="1" applyFont="1" applyFill="1" applyBorder="1" applyAlignment="1">
      <alignment horizontal="centerContinuous" wrapText="1" readingOrder="1"/>
    </xf>
    <xf numFmtId="0" fontId="14" fillId="0" borderId="0" xfId="0" applyFont="1">
      <alignment readingOrder="1"/>
    </xf>
    <xf numFmtId="164" fontId="14" fillId="0" borderId="0" xfId="0" applyNumberFormat="1" applyFont="1">
      <alignment readingOrder="1"/>
    </xf>
    <xf numFmtId="175" fontId="14" fillId="0" borderId="0" xfId="0" applyNumberFormat="1" applyFont="1">
      <alignment readingOrder="1"/>
    </xf>
    <xf numFmtId="175" fontId="0" fillId="0" borderId="0" xfId="0" applyNumberFormat="1">
      <alignment readingOrder="1"/>
    </xf>
    <xf numFmtId="175" fontId="58" fillId="0" borderId="0" xfId="0" applyNumberFormat="1" applyFont="1">
      <alignment readingOrder="1"/>
    </xf>
    <xf numFmtId="0" fontId="0" fillId="47" borderId="0" xfId="0" applyFill="1" applyAlignment="1">
      <alignment wrapText="1"/>
    </xf>
    <xf numFmtId="169" fontId="1" fillId="0" borderId="0" xfId="2" applyNumberFormat="1" applyFont="1"/>
    <xf numFmtId="0" fontId="4" fillId="39" borderId="0" xfId="4" applyFill="1" applyBorder="1" applyAlignment="1">
      <alignment wrapText="1" readingOrder="1"/>
    </xf>
    <xf numFmtId="0" fontId="0" fillId="39" borderId="0" xfId="0" applyFill="1"/>
    <xf numFmtId="0" fontId="14" fillId="2" borderId="7" xfId="0" applyFont="1" applyFill="1" applyBorder="1">
      <alignment readingOrder="1"/>
    </xf>
    <xf numFmtId="0" fontId="0" fillId="0" borderId="0" xfId="0" applyFill="1">
      <alignment readingOrder="1"/>
    </xf>
    <xf numFmtId="0" fontId="0" fillId="2" borderId="35" xfId="0" applyFill="1" applyBorder="1">
      <alignment readingOrder="1"/>
    </xf>
    <xf numFmtId="0" fontId="0" fillId="0" borderId="0" xfId="0" applyFill="1" applyAlignment="1">
      <alignment vertical="center" wrapText="1" readingOrder="1"/>
    </xf>
    <xf numFmtId="0" fontId="14" fillId="2" borderId="35" xfId="0" applyFont="1" applyFill="1" applyBorder="1">
      <alignment readingOrder="1"/>
    </xf>
    <xf numFmtId="0" fontId="0" fillId="2" borderId="10" xfId="0" applyNumberFormat="1" applyFill="1" applyBorder="1" applyAlignment="1">
      <alignment vertical="center" wrapText="1" readingOrder="1"/>
    </xf>
    <xf numFmtId="0" fontId="0" fillId="2" borderId="8" xfId="0" applyNumberFormat="1" applyFill="1" applyBorder="1" applyAlignment="1">
      <alignment vertical="center" wrapText="1" readingOrder="1"/>
    </xf>
    <xf numFmtId="0" fontId="0" fillId="2" borderId="38" xfId="0" applyNumberFormat="1" applyFill="1" applyBorder="1" applyAlignment="1">
      <alignment vertical="center" wrapText="1" readingOrder="1"/>
    </xf>
    <xf numFmtId="0" fontId="0" fillId="2" borderId="39" xfId="0" applyNumberFormat="1" applyFill="1" applyBorder="1" applyAlignment="1">
      <alignment vertical="center" wrapText="1" readingOrder="1"/>
    </xf>
    <xf numFmtId="0" fontId="0" fillId="3" borderId="0" xfId="0" applyFill="1">
      <alignment readingOrder="1"/>
    </xf>
    <xf numFmtId="0" fontId="59" fillId="48" borderId="0" xfId="0" applyFont="1" applyFill="1">
      <alignment readingOrder="1"/>
    </xf>
    <xf numFmtId="1" fontId="0" fillId="0" borderId="0" xfId="0" quotePrefix="1" applyNumberFormat="1">
      <alignment readingOrder="1"/>
    </xf>
    <xf numFmtId="0" fontId="0" fillId="3" borderId="0" xfId="0" applyFill="1" applyAlignment="1">
      <alignment vertical="center" wrapText="1" readingOrder="1"/>
    </xf>
    <xf numFmtId="0" fontId="0" fillId="0" borderId="0" xfId="0" quotePrefix="1">
      <alignment readingOrder="1"/>
    </xf>
    <xf numFmtId="164" fontId="55" fillId="49" borderId="0" xfId="0" applyNumberFormat="1" applyFont="1" applyFill="1" applyAlignment="1">
      <alignment horizontal="center" readingOrder="1"/>
    </xf>
    <xf numFmtId="0" fontId="60" fillId="42" borderId="9" xfId="0" applyFont="1" applyFill="1" applyBorder="1"/>
    <xf numFmtId="0" fontId="60" fillId="42" borderId="8" xfId="0" applyFont="1" applyFill="1" applyBorder="1"/>
    <xf numFmtId="0" fontId="0" fillId="2" borderId="0" xfId="0" applyFill="1">
      <alignment readingOrder="1"/>
    </xf>
    <xf numFmtId="9" fontId="0" fillId="2" borderId="0" xfId="0" applyNumberFormat="1" applyFill="1">
      <alignment readingOrder="1"/>
    </xf>
    <xf numFmtId="168" fontId="0" fillId="0" borderId="0" xfId="1" applyNumberFormat="1" applyFont="1" applyFill="1">
      <alignment readingOrder="1"/>
    </xf>
    <xf numFmtId="168" fontId="0" fillId="0" borderId="0" xfId="1" applyNumberFormat="1" applyFont="1">
      <alignment readingOrder="1"/>
    </xf>
    <xf numFmtId="168" fontId="0" fillId="2" borderId="0" xfId="1" applyNumberFormat="1" applyFont="1" applyFill="1">
      <alignment readingOrder="1"/>
    </xf>
    <xf numFmtId="168" fontId="0" fillId="0" borderId="0" xfId="0" applyNumberFormat="1">
      <alignment readingOrder="1"/>
    </xf>
    <xf numFmtId="1" fontId="0" fillId="0" borderId="0" xfId="0" applyNumberFormat="1" applyFill="1">
      <alignment readingOrder="1"/>
    </xf>
    <xf numFmtId="1" fontId="0" fillId="3" borderId="0" xfId="0" applyNumberFormat="1" applyFill="1">
      <alignment readingOrder="1"/>
    </xf>
    <xf numFmtId="9" fontId="4" fillId="3" borderId="0" xfId="189" applyFont="1" applyFill="1">
      <alignment readingOrder="1"/>
    </xf>
    <xf numFmtId="9" fontId="0" fillId="0" borderId="0" xfId="189" applyFont="1">
      <alignment readingOrder="1"/>
    </xf>
    <xf numFmtId="9" fontId="0" fillId="0" borderId="0" xfId="162" applyFont="1" applyAlignment="1">
      <alignment horizontal="center" readingOrder="1"/>
    </xf>
    <xf numFmtId="9" fontId="0" fillId="0" borderId="0" xfId="0" applyNumberFormat="1" applyAlignment="1">
      <alignment horizontal="center" readingOrder="1"/>
    </xf>
    <xf numFmtId="0" fontId="60" fillId="3" borderId="5" xfId="0" applyFont="1" applyFill="1" applyBorder="1"/>
    <xf numFmtId="9" fontId="60" fillId="3" borderId="5" xfId="162" applyFont="1" applyFill="1" applyBorder="1"/>
    <xf numFmtId="9" fontId="4" fillId="0" borderId="0" xfId="162" applyFill="1" applyAlignment="1">
      <alignment horizontal="center" readingOrder="1"/>
    </xf>
    <xf numFmtId="0" fontId="60" fillId="3" borderId="7" xfId="0" applyFont="1" applyFill="1" applyBorder="1"/>
    <xf numFmtId="0" fontId="60" fillId="3" borderId="6" xfId="0" applyFont="1" applyFill="1" applyBorder="1"/>
    <xf numFmtId="0" fontId="60" fillId="3" borderId="33" xfId="0" applyFont="1" applyFill="1" applyBorder="1"/>
    <xf numFmtId="0" fontId="60" fillId="3" borderId="11" xfId="0" applyFont="1" applyFill="1" applyBorder="1"/>
    <xf numFmtId="0" fontId="60" fillId="3" borderId="38" xfId="0" applyFont="1" applyFill="1" applyBorder="1"/>
    <xf numFmtId="1" fontId="0" fillId="49" borderId="0" xfId="0" applyNumberFormat="1" applyFill="1" applyAlignment="1">
      <alignment horizontal="center" readingOrder="1"/>
    </xf>
    <xf numFmtId="164" fontId="0" fillId="49" borderId="0" xfId="0" applyNumberFormat="1" applyFill="1" applyAlignment="1">
      <alignment horizontal="center" readingOrder="1"/>
    </xf>
    <xf numFmtId="2" fontId="0" fillId="0" borderId="0" xfId="0" applyNumberFormat="1">
      <alignment readingOrder="1"/>
    </xf>
    <xf numFmtId="164" fontId="0" fillId="2" borderId="0" xfId="0" applyNumberFormat="1" applyFill="1">
      <alignment readingOrder="1"/>
    </xf>
    <xf numFmtId="0" fontId="0" fillId="0" borderId="0" xfId="0" applyAlignment="1">
      <alignment horizontal="center" readingOrder="1"/>
    </xf>
    <xf numFmtId="0" fontId="0" fillId="3" borderId="0" xfId="0" applyFill="1" applyAlignment="1">
      <alignment horizontal="center" readingOrder="1"/>
    </xf>
    <xf numFmtId="171" fontId="0" fillId="0" borderId="0" xfId="0" applyNumberFormat="1">
      <alignment readingOrder="1"/>
    </xf>
    <xf numFmtId="176" fontId="0" fillId="0" borderId="0" xfId="0" applyNumberFormat="1">
      <alignment readingOrder="1"/>
    </xf>
    <xf numFmtId="177" fontId="0" fillId="0" borderId="0" xfId="0" applyNumberFormat="1">
      <alignment readingOrder="1"/>
    </xf>
    <xf numFmtId="0" fontId="60" fillId="49" borderId="5" xfId="0" applyFont="1" applyFill="1" applyBorder="1"/>
    <xf numFmtId="164" fontId="60" fillId="49" borderId="5" xfId="0" applyNumberFormat="1" applyFont="1" applyFill="1" applyBorder="1"/>
    <xf numFmtId="2" fontId="0" fillId="0" borderId="0" xfId="0" applyNumberFormat="1" applyFill="1">
      <alignment readingOrder="1"/>
    </xf>
    <xf numFmtId="0" fontId="60" fillId="42" borderId="5" xfId="0" applyFont="1" applyFill="1" applyBorder="1"/>
    <xf numFmtId="0" fontId="0" fillId="0" borderId="0" xfId="0" applyFill="1" applyBorder="1">
      <alignment readingOrder="1"/>
    </xf>
    <xf numFmtId="0" fontId="0" fillId="50" borderId="0" xfId="0" applyFill="1">
      <alignment readingOrder="1"/>
    </xf>
    <xf numFmtId="178" fontId="4" fillId="50" borderId="0" xfId="1" applyNumberFormat="1" applyFont="1" applyFill="1" applyAlignment="1">
      <alignment horizontal="center" readingOrder="1"/>
    </xf>
    <xf numFmtId="0" fontId="0" fillId="8" borderId="0" xfId="0" applyFill="1">
      <alignment readingOrder="1"/>
    </xf>
    <xf numFmtId="168" fontId="0" fillId="8" borderId="0" xfId="0" applyNumberFormat="1" applyFill="1">
      <alignment readingOrder="1"/>
    </xf>
    <xf numFmtId="168" fontId="0" fillId="8" borderId="0" xfId="1" applyNumberFormat="1" applyFont="1" applyFill="1">
      <alignment readingOrder="1"/>
    </xf>
    <xf numFmtId="178" fontId="0" fillId="0" borderId="0" xfId="1" applyNumberFormat="1" applyFont="1" applyFill="1">
      <alignment readingOrder="1"/>
    </xf>
    <xf numFmtId="49" fontId="55" fillId="47" borderId="11" xfId="0" applyNumberFormat="1" applyFont="1" applyFill="1" applyBorder="1">
      <alignment readingOrder="1"/>
    </xf>
    <xf numFmtId="0" fontId="61" fillId="47" borderId="0" xfId="0" applyFont="1" applyFill="1">
      <alignment readingOrder="1"/>
    </xf>
    <xf numFmtId="0" fontId="61" fillId="0" borderId="0" xfId="0" applyFont="1"/>
    <xf numFmtId="0" fontId="4" fillId="0" borderId="0" xfId="190"/>
    <xf numFmtId="0" fontId="4" fillId="3" borderId="5" xfId="190" applyFill="1" applyBorder="1"/>
    <xf numFmtId="0" fontId="4" fillId="3" borderId="5" xfId="190" applyFill="1" applyBorder="1" applyAlignment="1">
      <alignment wrapText="1"/>
    </xf>
    <xf numFmtId="0" fontId="4" fillId="3" borderId="5" xfId="190" applyFont="1" applyFill="1" applyBorder="1"/>
    <xf numFmtId="0" fontId="0" fillId="51" borderId="0" xfId="0" applyFill="1"/>
    <xf numFmtId="2" fontId="0" fillId="51" borderId="0" xfId="0" applyNumberFormat="1" applyFill="1"/>
    <xf numFmtId="171" fontId="0" fillId="51" borderId="0" xfId="0" applyNumberFormat="1" applyFill="1"/>
    <xf numFmtId="0" fontId="62" fillId="3" borderId="0" xfId="5" applyFont="1" applyFill="1"/>
    <xf numFmtId="0" fontId="62" fillId="3" borderId="0" xfId="5" applyFont="1" applyFill="1" applyAlignment="1">
      <alignment wrapText="1"/>
    </xf>
    <xf numFmtId="0" fontId="62" fillId="0" borderId="0" xfId="5" applyFont="1" applyAlignment="1">
      <alignment horizontal="left"/>
    </xf>
    <xf numFmtId="9" fontId="62" fillId="0" borderId="0" xfId="5" applyNumberFormat="1" applyFont="1"/>
    <xf numFmtId="179" fontId="0" fillId="0" borderId="0" xfId="1" applyNumberFormat="1" applyFont="1"/>
    <xf numFmtId="179" fontId="0" fillId="0" borderId="0" xfId="0" applyNumberFormat="1"/>
    <xf numFmtId="0" fontId="4" fillId="0" borderId="0" xfId="190" applyFont="1"/>
    <xf numFmtId="168" fontId="4" fillId="0" borderId="0" xfId="1" applyNumberFormat="1" applyFont="1" applyFill="1"/>
    <xf numFmtId="0" fontId="4" fillId="3" borderId="9" xfId="190" applyFill="1" applyBorder="1"/>
    <xf numFmtId="0" fontId="63" fillId="37" borderId="0" xfId="0" applyFont="1" applyFill="1"/>
    <xf numFmtId="168" fontId="63" fillId="0" borderId="0" xfId="1" applyNumberFormat="1" applyFont="1"/>
    <xf numFmtId="10" fontId="0" fillId="0" borderId="0" xfId="189" applyNumberFormat="1" applyFont="1"/>
    <xf numFmtId="10" fontId="55" fillId="0" borderId="0" xfId="189" applyNumberFormat="1" applyFont="1"/>
    <xf numFmtId="9" fontId="0" fillId="0" borderId="0" xfId="189" applyNumberFormat="1" applyFont="1"/>
    <xf numFmtId="9" fontId="55" fillId="0" borderId="0" xfId="189" applyNumberFormat="1" applyFont="1"/>
    <xf numFmtId="171" fontId="55" fillId="39" borderId="5" xfId="0" applyNumberFormat="1" applyFont="1" applyFill="1" applyBorder="1"/>
    <xf numFmtId="2" fontId="0" fillId="47" borderId="0" xfId="0" applyNumberFormat="1" applyFill="1"/>
    <xf numFmtId="0" fontId="0" fillId="0" borderId="0" xfId="0" applyAlignment="1"/>
    <xf numFmtId="168" fontId="0" fillId="0" borderId="0" xfId="0" applyNumberFormat="1" applyAlignment="1"/>
    <xf numFmtId="1" fontId="0" fillId="0" borderId="0" xfId="0" applyNumberFormat="1" applyAlignment="1"/>
    <xf numFmtId="0" fontId="0" fillId="3" borderId="5" xfId="0" applyFill="1" applyBorder="1"/>
    <xf numFmtId="9" fontId="0" fillId="0" borderId="0" xfId="189" applyFont="1" applyAlignment="1">
      <alignment horizontal="left"/>
    </xf>
    <xf numFmtId="0" fontId="0" fillId="3" borderId="6" xfId="0" applyFill="1" applyBorder="1"/>
    <xf numFmtId="0" fontId="0" fillId="3" borderId="33" xfId="0" applyFill="1" applyBorder="1"/>
    <xf numFmtId="0" fontId="0" fillId="3" borderId="34" xfId="0" applyFill="1" applyBorder="1"/>
    <xf numFmtId="0" fontId="0" fillId="37" borderId="36" xfId="0" applyFill="1" applyBorder="1"/>
    <xf numFmtId="43" fontId="0" fillId="0" borderId="0" xfId="1" applyFont="1" applyBorder="1"/>
    <xf numFmtId="43" fontId="0" fillId="0" borderId="37" xfId="1" applyFont="1" applyBorder="1"/>
    <xf numFmtId="0" fontId="63" fillId="37" borderId="11" xfId="0" applyFont="1" applyFill="1" applyBorder="1"/>
    <xf numFmtId="43" fontId="55" fillId="0" borderId="38" xfId="1" applyFont="1" applyBorder="1"/>
    <xf numFmtId="43" fontId="55" fillId="0" borderId="39" xfId="1" applyFont="1" applyBorder="1"/>
    <xf numFmtId="9" fontId="0" fillId="0" borderId="7" xfId="189" applyFont="1" applyBorder="1"/>
    <xf numFmtId="9" fontId="0" fillId="0" borderId="35" xfId="189" applyFont="1" applyBorder="1"/>
    <xf numFmtId="9" fontId="0" fillId="0" borderId="4" xfId="189" applyFont="1" applyBorder="1"/>
    <xf numFmtId="0" fontId="0" fillId="37" borderId="5" xfId="0" applyFill="1" applyBorder="1"/>
    <xf numFmtId="168" fontId="0" fillId="0" borderId="5" xfId="0" applyNumberFormat="1" applyBorder="1"/>
    <xf numFmtId="1" fontId="0" fillId="0" borderId="0" xfId="0" applyNumberFormat="1" applyAlignment="1">
      <alignment horizontal="center" vertical="center"/>
    </xf>
    <xf numFmtId="180" fontId="0" fillId="0" borderId="0" xfId="0" applyNumberFormat="1"/>
    <xf numFmtId="168" fontId="4" fillId="0" borderId="0" xfId="1" applyNumberFormat="1" applyFont="1" applyAlignment="1">
      <alignment horizontal="center" readingOrder="1"/>
    </xf>
    <xf numFmtId="9" fontId="0" fillId="0" borderId="0" xfId="189" applyFont="1" applyAlignment="1">
      <alignment horizontal="center" readingOrder="1"/>
    </xf>
    <xf numFmtId="0" fontId="0" fillId="52" borderId="0" xfId="0" applyFill="1"/>
    <xf numFmtId="168" fontId="1" fillId="50" borderId="0" xfId="1" applyNumberFormat="1" applyFont="1" applyFill="1">
      <alignment readingOrder="1"/>
    </xf>
    <xf numFmtId="0" fontId="2" fillId="3" borderId="0" xfId="0" applyFont="1" applyFill="1" applyBorder="1"/>
    <xf numFmtId="168" fontId="0" fillId="2" borderId="0" xfId="0" applyNumberFormat="1" applyFill="1">
      <alignment readingOrder="1"/>
    </xf>
    <xf numFmtId="0" fontId="60" fillId="42" borderId="7" xfId="0" applyFont="1" applyFill="1" applyBorder="1"/>
    <xf numFmtId="0" fontId="60" fillId="3" borderId="9" xfId="0" applyFont="1" applyFill="1" applyBorder="1"/>
    <xf numFmtId="9" fontId="0" fillId="49" borderId="0" xfId="189" applyFont="1" applyFill="1">
      <alignment readingOrder="1"/>
    </xf>
    <xf numFmtId="9" fontId="0" fillId="49" borderId="0" xfId="162" applyFont="1" applyFill="1" applyAlignment="1">
      <alignment horizontal="center" readingOrder="1"/>
    </xf>
    <xf numFmtId="1" fontId="0" fillId="2" borderId="0" xfId="0" applyNumberFormat="1" applyFill="1">
      <alignment readingOrder="1"/>
    </xf>
    <xf numFmtId="0" fontId="60" fillId="2" borderId="5" xfId="0" applyFont="1" applyFill="1" applyBorder="1"/>
    <xf numFmtId="0" fontId="0" fillId="3" borderId="0" xfId="0" applyFill="1" applyAlignment="1">
      <alignment horizontal="right" readingOrder="1"/>
    </xf>
    <xf numFmtId="43" fontId="0" fillId="0" borderId="0" xfId="0" applyNumberFormat="1">
      <alignment readingOrder="1"/>
    </xf>
    <xf numFmtId="0" fontId="55" fillId="0" borderId="0" xfId="0" applyFont="1">
      <alignment readingOrder="1"/>
    </xf>
    <xf numFmtId="0" fontId="0" fillId="0" borderId="0" xfId="0" applyAlignment="1">
      <alignment horizontal="left" vertical="center" wrapText="1"/>
    </xf>
    <xf numFmtId="0" fontId="61" fillId="0" borderId="0" xfId="0" applyFont="1" applyAlignment="1">
      <alignment horizontal="left" vertical="center" wrapText="1"/>
    </xf>
    <xf numFmtId="15" fontId="61" fillId="0" borderId="0" xfId="0" applyNumberFormat="1" applyFont="1" applyAlignment="1">
      <alignment horizontal="center" vertical="center"/>
    </xf>
    <xf numFmtId="15" fontId="61" fillId="0" borderId="0" xfId="7" applyNumberFormat="1" applyFont="1" applyAlignment="1">
      <alignment horizontal="center" vertical="center"/>
    </xf>
    <xf numFmtId="15" fontId="61" fillId="0" borderId="0" xfId="7" applyNumberFormat="1"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15" fontId="1" fillId="0" borderId="0" xfId="7" applyNumberFormat="1" applyFont="1" applyFill="1" applyAlignment="1">
      <alignment horizontal="center" vertical="center"/>
    </xf>
    <xf numFmtId="181" fontId="0" fillId="0" borderId="0" xfId="189" applyNumberFormat="1" applyFont="1"/>
    <xf numFmtId="9" fontId="0" fillId="0" borderId="7" xfId="189" applyFont="1" applyFill="1" applyBorder="1"/>
    <xf numFmtId="9" fontId="0" fillId="0" borderId="35" xfId="189" applyFont="1" applyFill="1" applyBorder="1"/>
    <xf numFmtId="9" fontId="0" fillId="0" borderId="4" xfId="189" applyFont="1" applyFill="1" applyBorder="1"/>
    <xf numFmtId="182" fontId="0" fillId="0" borderId="0" xfId="1" applyNumberFormat="1" applyFont="1"/>
    <xf numFmtId="39" fontId="0" fillId="0" borderId="0" xfId="1" applyNumberFormat="1" applyFont="1" applyAlignment="1">
      <alignment horizontal="center" vertical="center"/>
    </xf>
    <xf numFmtId="0" fontId="44" fillId="39" borderId="0" xfId="0" applyFont="1" applyFill="1">
      <alignment readingOrder="1"/>
    </xf>
    <xf numFmtId="0" fontId="4" fillId="39" borderId="0" xfId="0" applyFont="1" applyFill="1">
      <alignment readingOrder="1"/>
    </xf>
    <xf numFmtId="0" fontId="0" fillId="39" borderId="0" xfId="0" applyFill="1">
      <alignment readingOrder="1"/>
    </xf>
    <xf numFmtId="183" fontId="4" fillId="0" borderId="0" xfId="2" applyNumberFormat="1" applyFont="1">
      <alignment readingOrder="1"/>
    </xf>
    <xf numFmtId="0" fontId="0" fillId="2" borderId="6" xfId="0" applyNumberFormat="1" applyFill="1" applyBorder="1" applyAlignment="1">
      <alignment horizontal="left" vertical="center" wrapText="1" readingOrder="1"/>
    </xf>
    <xf numFmtId="0" fontId="0" fillId="2" borderId="33" xfId="0" applyNumberFormat="1" applyFill="1" applyBorder="1" applyAlignment="1">
      <alignment horizontal="left" vertical="center" wrapText="1" readingOrder="1"/>
    </xf>
    <xf numFmtId="0" fontId="0" fillId="2" borderId="34" xfId="0" applyNumberFormat="1" applyFill="1" applyBorder="1" applyAlignment="1">
      <alignment horizontal="left" vertical="center" wrapText="1" readingOrder="1"/>
    </xf>
    <xf numFmtId="0" fontId="0" fillId="2" borderId="36" xfId="0" applyNumberFormat="1" applyFill="1" applyBorder="1" applyAlignment="1">
      <alignment horizontal="left" vertical="center" wrapText="1" readingOrder="1"/>
    </xf>
    <xf numFmtId="0" fontId="0" fillId="2" borderId="0" xfId="0" applyNumberFormat="1" applyFill="1" applyBorder="1" applyAlignment="1">
      <alignment horizontal="left" vertical="center" wrapText="1" readingOrder="1"/>
    </xf>
    <xf numFmtId="0" fontId="0" fillId="2" borderId="37" xfId="0" applyNumberFormat="1" applyFill="1" applyBorder="1" applyAlignment="1">
      <alignment horizontal="left" vertical="center" wrapText="1" readingOrder="1"/>
    </xf>
    <xf numFmtId="0" fontId="0" fillId="2" borderId="38" xfId="0" applyNumberFormat="1" applyFill="1" applyBorder="1" applyAlignment="1">
      <alignment horizontal="left" vertical="center" wrapText="1" readingOrder="1"/>
    </xf>
    <xf numFmtId="0" fontId="0" fillId="2" borderId="39" xfId="0" applyNumberFormat="1" applyFill="1" applyBorder="1" applyAlignment="1">
      <alignment horizontal="left" vertical="center" wrapText="1" readingOrder="1"/>
    </xf>
    <xf numFmtId="0" fontId="13" fillId="5" borderId="9" xfId="6" applyFont="1" applyFill="1" applyBorder="1" applyAlignment="1">
      <alignment horizontal="center"/>
    </xf>
    <xf numFmtId="0" fontId="13" fillId="5" borderId="10" xfId="6" applyFont="1" applyFill="1" applyBorder="1" applyAlignment="1">
      <alignment horizontal="center"/>
    </xf>
    <xf numFmtId="0" fontId="13" fillId="5" borderId="8" xfId="6" applyFont="1" applyFill="1" applyBorder="1" applyAlignment="1">
      <alignment horizontal="center"/>
    </xf>
    <xf numFmtId="0" fontId="10" fillId="6" borderId="5" xfId="0" applyFont="1" applyFill="1" applyBorder="1" applyAlignment="1">
      <alignment horizontal="center"/>
    </xf>
    <xf numFmtId="0" fontId="14" fillId="0" borderId="5" xfId="0" applyFont="1" applyBorder="1" applyAlignment="1">
      <alignment horizontal="center"/>
    </xf>
    <xf numFmtId="0" fontId="14" fillId="8" borderId="5" xfId="6" applyFont="1" applyFill="1" applyBorder="1" applyAlignment="1">
      <alignment horizontal="center"/>
    </xf>
    <xf numFmtId="0" fontId="4" fillId="3" borderId="9" xfId="190" applyFill="1" applyBorder="1" applyAlignment="1">
      <alignment horizontal="center"/>
    </xf>
    <xf numFmtId="0" fontId="4" fillId="3" borderId="10" xfId="190" applyFill="1" applyBorder="1" applyAlignment="1">
      <alignment horizontal="center"/>
    </xf>
    <xf numFmtId="0" fontId="4" fillId="3" borderId="8" xfId="190" applyFill="1" applyBorder="1" applyAlignment="1">
      <alignment horizontal="center"/>
    </xf>
    <xf numFmtId="0" fontId="0" fillId="0" borderId="0" xfId="0" applyAlignment="1">
      <alignment horizontal="left" vertical="top" wrapText="1"/>
    </xf>
    <xf numFmtId="169" fontId="0" fillId="43" borderId="0" xfId="2" applyNumberFormat="1" applyFont="1" applyFill="1" applyAlignment="1">
      <alignment horizontal="center" wrapText="1"/>
    </xf>
    <xf numFmtId="0" fontId="0" fillId="3" borderId="0" xfId="0" applyFill="1" applyAlignment="1">
      <alignment horizontal="center"/>
    </xf>
    <xf numFmtId="0" fontId="60" fillId="3" borderId="34" xfId="0" applyFont="1" applyFill="1" applyBorder="1"/>
    <xf numFmtId="0" fontId="60" fillId="3" borderId="39" xfId="0" applyFont="1" applyFill="1" applyBorder="1"/>
    <xf numFmtId="2" fontId="0" fillId="10" borderId="0" xfId="0" applyNumberFormat="1" applyFill="1" applyAlignment="1">
      <alignment horizontal="center" readingOrder="1"/>
    </xf>
    <xf numFmtId="1" fontId="0" fillId="10" borderId="0" xfId="0" applyNumberFormat="1" applyFill="1" applyAlignment="1">
      <alignment horizontal="center" readingOrder="1"/>
    </xf>
    <xf numFmtId="43" fontId="0" fillId="10" borderId="0" xfId="54" applyFont="1" applyFill="1" applyAlignment="1">
      <alignment horizontal="center" readingOrder="1"/>
    </xf>
    <xf numFmtId="43" fontId="0" fillId="0" borderId="0" xfId="54" applyFont="1" applyFill="1" applyAlignment="1">
      <alignment horizontal="center" readingOrder="1"/>
    </xf>
  </cellXfs>
  <cellStyles count="191">
    <cellStyle name="20% - Accent1 2" xfId="9"/>
    <cellStyle name="20% - Accent1 2 2" xfId="10"/>
    <cellStyle name="20% - Accent2 2" xfId="11"/>
    <cellStyle name="20% - Accent3 2" xfId="12"/>
    <cellStyle name="20% - Accent3 2 2" xfId="13"/>
    <cellStyle name="20% - Accent4 2" xfId="14"/>
    <cellStyle name="20% - Accent4 2 2" xfId="15"/>
    <cellStyle name="20% - Accent5 2" xfId="16"/>
    <cellStyle name="20% - Accent6 2" xfId="17"/>
    <cellStyle name="40% - Accent1 2" xfId="18"/>
    <cellStyle name="40% - Accent1 2 2" xfId="19"/>
    <cellStyle name="40% - Accent2 2" xfId="20"/>
    <cellStyle name="40% - Accent2 2 2" xfId="21"/>
    <cellStyle name="40% - Accent3 2" xfId="22"/>
    <cellStyle name="40% - Accent3 2 2" xfId="23"/>
    <cellStyle name="40% - Accent4 2" xfId="24"/>
    <cellStyle name="40% - Accent4 2 2" xfId="25"/>
    <cellStyle name="40% - Accent5 2" xfId="26"/>
    <cellStyle name="40% - Accent6 2" xfId="27"/>
    <cellStyle name="40% - Accent6 2 2" xfId="28"/>
    <cellStyle name="60% - Accent1 2" xfId="29"/>
    <cellStyle name="60% - Accent1 2 2" xfId="30"/>
    <cellStyle name="60% - Accent2 2" xfId="31"/>
    <cellStyle name="60% - Accent2 2 2" xfId="32"/>
    <cellStyle name="60% - Accent3 2" xfId="33"/>
    <cellStyle name="60% - Accent3 2 2" xfId="34"/>
    <cellStyle name="60% - Accent4 2" xfId="35"/>
    <cellStyle name="60% - Accent4 2 2" xfId="36"/>
    <cellStyle name="60% - Accent5 2" xfId="37"/>
    <cellStyle name="60% - Accent6 2" xfId="38"/>
    <cellStyle name="60% - Accent6 2 2" xfId="39"/>
    <cellStyle name="Accent1 2" xfId="40"/>
    <cellStyle name="Accent1 2 2" xfId="41"/>
    <cellStyle name="Accent2 2" xfId="42"/>
    <cellStyle name="Accent3 2" xfId="43"/>
    <cellStyle name="Accent3 2 2" xfId="44"/>
    <cellStyle name="Accent4 2" xfId="45"/>
    <cellStyle name="Accent4 2 2" xfId="46"/>
    <cellStyle name="Accent5 2" xfId="47"/>
    <cellStyle name="Accent6 2" xfId="48"/>
    <cellStyle name="Bad 2" xfId="49"/>
    <cellStyle name="Bad 2 2" xfId="50"/>
    <cellStyle name="Calculation 2" xfId="51"/>
    <cellStyle name="Calculation 2 2" xfId="52"/>
    <cellStyle name="Check Cell 2" xfId="53"/>
    <cellStyle name="Comma" xfId="1" builtinId="3"/>
    <cellStyle name="Comma 2" xfId="54"/>
    <cellStyle name="Comma 2 2" xfId="55"/>
    <cellStyle name="Comma 2 2 2" xfId="56"/>
    <cellStyle name="Comma 2 2 3" xfId="57"/>
    <cellStyle name="Comma 2 3" xfId="58"/>
    <cellStyle name="Comma 2 4" xfId="59"/>
    <cellStyle name="Comma 3" xfId="60"/>
    <cellStyle name="Comma 3 2" xfId="61"/>
    <cellStyle name="Comma 3 2 2" xfId="62"/>
    <cellStyle name="Comma 3 2 3" xfId="63"/>
    <cellStyle name="Comma 3 3" xfId="64"/>
    <cellStyle name="Comma 3 4" xfId="65"/>
    <cellStyle name="Currency" xfId="2" builtinId="4"/>
    <cellStyle name="Currency 2" xfId="66"/>
    <cellStyle name="Currency 2 2" xfId="67"/>
    <cellStyle name="Currency 2 2 2" xfId="68"/>
    <cellStyle name="Currency 2 2 3" xfId="69"/>
    <cellStyle name="Currency 2 3" xfId="70"/>
    <cellStyle name="Currency 2 4" xfId="71"/>
    <cellStyle name="Currency 3" xfId="72"/>
    <cellStyle name="Currency 3 2" xfId="73"/>
    <cellStyle name="Currency 3 2 2" xfId="74"/>
    <cellStyle name="Currency 3 2 3" xfId="75"/>
    <cellStyle name="Currency 3 3" xfId="76"/>
    <cellStyle name="Currency 3 4" xfId="77"/>
    <cellStyle name="Data Field" xfId="78"/>
    <cellStyle name="Data Field 2" xfId="79"/>
    <cellStyle name="Data Field 2 2" xfId="80"/>
    <cellStyle name="Data Field 2 3" xfId="81"/>
    <cellStyle name="Data Field 3" xfId="82"/>
    <cellStyle name="Data Field 4" xfId="83"/>
    <cellStyle name="Data Name" xfId="84"/>
    <cellStyle name="Date/Time" xfId="85"/>
    <cellStyle name="Explanatory Text 2" xfId="86"/>
    <cellStyle name="Good 2" xfId="87"/>
    <cellStyle name="Heading" xfId="88"/>
    <cellStyle name="Heading 1 2" xfId="89"/>
    <cellStyle name="Heading 1 2 2" xfId="90"/>
    <cellStyle name="Heading 3 2" xfId="91"/>
    <cellStyle name="Heading 3 2 2" xfId="92"/>
    <cellStyle name="Heading 4 2" xfId="93"/>
    <cellStyle name="Heading 4 2 2" xfId="94"/>
    <cellStyle name="Hyperlink" xfId="188" builtinId="8"/>
    <cellStyle name="Hyperlink 2" xfId="95"/>
    <cellStyle name="Hyperlink 3" xfId="96"/>
    <cellStyle name="Input 2" xfId="97"/>
    <cellStyle name="Linked Cell 2" xfId="98"/>
    <cellStyle name="Neutral 2" xfId="99"/>
    <cellStyle name="Normal" xfId="0" builtinId="0"/>
    <cellStyle name="Normal 10" xfId="100"/>
    <cellStyle name="Normal 11" xfId="101"/>
    <cellStyle name="Normal 12" xfId="102"/>
    <cellStyle name="Normal 13" xfId="4"/>
    <cellStyle name="Normal 13 2" xfId="103"/>
    <cellStyle name="Normal 14" xfId="104"/>
    <cellStyle name="Normal 14 2" xfId="105"/>
    <cellStyle name="Normal 14 3" xfId="106"/>
    <cellStyle name="Normal 14 4" xfId="107"/>
    <cellStyle name="Normal 15" xfId="108"/>
    <cellStyle name="Normal 15 2" xfId="109"/>
    <cellStyle name="Normal 15 3" xfId="110"/>
    <cellStyle name="Normal 16" xfId="111"/>
    <cellStyle name="Normal 17" xfId="112"/>
    <cellStyle name="Normal 2" xfId="113"/>
    <cellStyle name="Normal 2 2" xfId="114"/>
    <cellStyle name="Normal 2 2 2" xfId="115"/>
    <cellStyle name="Normal 2 2 2 2" xfId="116"/>
    <cellStyle name="Normal 2 2 2 3" xfId="117"/>
    <cellStyle name="Normal 2 2 3" xfId="118"/>
    <cellStyle name="Normal 2 2 4" xfId="119"/>
    <cellStyle name="Normal 2 3" xfId="120"/>
    <cellStyle name="Normal 2 3 2" xfId="121"/>
    <cellStyle name="Normal 2 3 3" xfId="122"/>
    <cellStyle name="Normal 2 4" xfId="123"/>
    <cellStyle name="Normal 2 4 2" xfId="124"/>
    <cellStyle name="Normal 2 4 3" xfId="125"/>
    <cellStyle name="Normal 2 5" xfId="126"/>
    <cellStyle name="Normal 2 6" xfId="127"/>
    <cellStyle name="Normal 2 6 2" xfId="128"/>
    <cellStyle name="Normal 2 7" xfId="129"/>
    <cellStyle name="Normal 3" xfId="5"/>
    <cellStyle name="Normal 3 2" xfId="130"/>
    <cellStyle name="Normal 3 2 2" xfId="131"/>
    <cellStyle name="Normal 3 2 3" xfId="132"/>
    <cellStyle name="Normal 3 3" xfId="133"/>
    <cellStyle name="Normal 3 4" xfId="134"/>
    <cellStyle name="Normal 4" xfId="135"/>
    <cellStyle name="Normal 4 2" xfId="136"/>
    <cellStyle name="Normal 4 3" xfId="137"/>
    <cellStyle name="Normal 4 3 2" xfId="138"/>
    <cellStyle name="Normal 4 3 3" xfId="139"/>
    <cellStyle name="Normal 4 4" xfId="140"/>
    <cellStyle name="Normal 4 4 2" xfId="141"/>
    <cellStyle name="Normal 4 4 3" xfId="142"/>
    <cellStyle name="Normal 4 5" xfId="143"/>
    <cellStyle name="Normal 4 5 2" xfId="144"/>
    <cellStyle name="Normal 4 5 3" xfId="145"/>
    <cellStyle name="Normal 4 6" xfId="146"/>
    <cellStyle name="Normal 4 7" xfId="147"/>
    <cellStyle name="Normal 5" xfId="148"/>
    <cellStyle name="Normal 5 2" xfId="149"/>
    <cellStyle name="Normal 6" xfId="150"/>
    <cellStyle name="Normal 7" xfId="151"/>
    <cellStyle name="Normal 7 2" xfId="152"/>
    <cellStyle name="Normal 8" xfId="153"/>
    <cellStyle name="Normal 8 2" xfId="154"/>
    <cellStyle name="Normal 9" xfId="155"/>
    <cellStyle name="Normal 9 2" xfId="156"/>
    <cellStyle name="Normal 9 3" xfId="157"/>
    <cellStyle name="Normal_MTDUCT" xfId="6"/>
    <cellStyle name="Normal_PC-LPDPackage-6P-D14" xfId="3"/>
    <cellStyle name="Normal_PC-LPDPackageNew-5P" xfId="190"/>
    <cellStyle name="Normal_PC-PackRTOptimize-D1-6p-D2" xfId="7"/>
    <cellStyle name="Normal_ProCostFinAssumptions_Sector" xfId="8"/>
    <cellStyle name="Note 2" xfId="158"/>
    <cellStyle name="Note 2 2" xfId="159"/>
    <cellStyle name="Output 2" xfId="160"/>
    <cellStyle name="Output 2 2" xfId="161"/>
    <cellStyle name="Percent" xfId="189" builtinId="5"/>
    <cellStyle name="Percent 2" xfId="162"/>
    <cellStyle name="Percent 2 2" xfId="163"/>
    <cellStyle name="Percent 2 2 2" xfId="164"/>
    <cellStyle name="Percent 2 2 2 2" xfId="165"/>
    <cellStyle name="Percent 2 2 2 3" xfId="166"/>
    <cellStyle name="Percent 2 2 3" xfId="167"/>
    <cellStyle name="Percent 2 2 4" xfId="168"/>
    <cellStyle name="Percent 2 3" xfId="169"/>
    <cellStyle name="Percent 2 3 2" xfId="170"/>
    <cellStyle name="Percent 2 3 3" xfId="171"/>
    <cellStyle name="Percent 3" xfId="172"/>
    <cellStyle name="Percent 3 2" xfId="173"/>
    <cellStyle name="Percent 3 2 2" xfId="174"/>
    <cellStyle name="Percent 3 2 3" xfId="175"/>
    <cellStyle name="Percent 3 3" xfId="176"/>
    <cellStyle name="Percent 3 4" xfId="177"/>
    <cellStyle name="Percent 4" xfId="178"/>
    <cellStyle name="Percent 4 2" xfId="179"/>
    <cellStyle name="Percent 5" xfId="180"/>
    <cellStyle name="Title 2" xfId="181"/>
    <cellStyle name="Title 2 2" xfId="182"/>
    <cellStyle name="Total 2" xfId="183"/>
    <cellStyle name="Total 2 2" xfId="184"/>
    <cellStyle name="Warning Text 2" xfId="185"/>
    <cellStyle name="표준_ENERGY CONSUMP" xfId="186"/>
    <cellStyle name="常规_海外市场服务网站资料操作BOM" xfId="187"/>
  </cellStyles>
  <dxfs count="77">
    <dxf>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8D8D8"/>
          <bgColor rgb="FFD8D8D8"/>
        </patternFill>
      </fill>
    </dxf>
    <dxf>
      <fill>
        <patternFill patternType="solid">
          <fgColor rgb="FFD8D8D8"/>
          <bgColor rgb="FFD8D8D8"/>
        </patternFill>
      </fill>
      <border>
        <left style="thin">
          <color rgb="FFBFBFBF"/>
        </left>
        <right style="thin">
          <color rgb="FFBFBFBF"/>
        </right>
      </border>
    </dxf>
    <dxf>
      <fill>
        <patternFill patternType="solid">
          <fgColor rgb="FFD8D8D8"/>
          <bgColor rgb="FFD8D8D8"/>
        </patternFill>
      </fill>
    </dxf>
    <dxf>
      <font>
        <b/>
        <color rgb="FF000000"/>
      </font>
      <fill>
        <patternFill patternType="solid">
          <fgColor rgb="FFDBE5F1"/>
          <bgColor rgb="FFDBE5F1"/>
        </patternFill>
      </fill>
      <border>
        <top style="thin">
          <color rgb="FF95B3D7"/>
        </top>
      </border>
    </dxf>
    <dxf>
      <font>
        <b/>
        <color rgb="FF000000"/>
      </font>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8D8D8"/>
          <bgColor rgb="FFD8D8D8"/>
        </patternFill>
      </fill>
    </dxf>
    <dxf>
      <fill>
        <patternFill patternType="solid">
          <fgColor rgb="FFD8D8D8"/>
          <bgColor rgb="FFD8D8D8"/>
        </patternFill>
      </fill>
      <border>
        <left style="thin">
          <color rgb="FFBFBFBF"/>
        </left>
        <right style="thin">
          <color rgb="FFBFBFBF"/>
        </right>
      </border>
    </dxf>
    <dxf>
      <fill>
        <patternFill patternType="solid">
          <fgColor rgb="FFD8D8D8"/>
          <bgColor rgb="FFD8D8D8"/>
        </patternFill>
      </fill>
    </dxf>
    <dxf>
      <font>
        <b/>
        <color rgb="FF000000"/>
      </font>
      <fill>
        <patternFill patternType="solid">
          <fgColor rgb="FFDBE5F1"/>
          <bgColor rgb="FFDBE5F1"/>
        </patternFill>
      </fill>
      <border>
        <top style="thin">
          <color rgb="FF95B3D7"/>
        </top>
      </border>
    </dxf>
    <dxf>
      <font>
        <b/>
        <color rgb="FF000000"/>
      </font>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8D8D8"/>
          <bgColor rgb="FFD8D8D8"/>
        </patternFill>
      </fill>
    </dxf>
    <dxf>
      <fill>
        <patternFill patternType="solid">
          <fgColor rgb="FFD8D8D8"/>
          <bgColor rgb="FFD8D8D8"/>
        </patternFill>
      </fill>
      <border>
        <left style="thin">
          <color rgb="FFBFBFBF"/>
        </left>
        <right style="thin">
          <color rgb="FFBFBFBF"/>
        </right>
      </border>
    </dxf>
    <dxf>
      <fill>
        <patternFill patternType="solid">
          <fgColor rgb="FFD8D8D8"/>
          <bgColor rgb="FFD8D8D8"/>
        </patternFill>
      </fill>
    </dxf>
    <dxf>
      <font>
        <b/>
        <color rgb="FF000000"/>
      </font>
      <fill>
        <patternFill patternType="solid">
          <fgColor rgb="FFDBE5F1"/>
          <bgColor rgb="FFDBE5F1"/>
        </patternFill>
      </fill>
      <border>
        <top style="thin">
          <color rgb="FF95B3D7"/>
        </top>
      </border>
    </dxf>
    <dxf>
      <font>
        <b/>
        <color rgb="FF000000"/>
      </font>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8D8D8"/>
          <bgColor rgb="FFD8D8D8"/>
        </patternFill>
      </fill>
    </dxf>
    <dxf>
      <fill>
        <patternFill patternType="solid">
          <fgColor rgb="FFD8D8D8"/>
          <bgColor rgb="FFD8D8D8"/>
        </patternFill>
      </fill>
      <border>
        <left style="thin">
          <color rgb="FFBFBFBF"/>
        </left>
        <right style="thin">
          <color rgb="FFBFBFBF"/>
        </right>
      </border>
    </dxf>
    <dxf>
      <fill>
        <patternFill patternType="solid">
          <fgColor rgb="FFD8D8D8"/>
          <bgColor rgb="FFD8D8D8"/>
        </patternFill>
      </fill>
    </dxf>
    <dxf>
      <font>
        <b/>
        <color rgb="FF000000"/>
      </font>
      <fill>
        <patternFill patternType="solid">
          <fgColor rgb="FFDBE5F1"/>
          <bgColor rgb="FFDBE5F1"/>
        </patternFill>
      </fill>
      <border>
        <top style="thin">
          <color rgb="FF95B3D7"/>
        </top>
      </border>
    </dxf>
    <dxf>
      <font>
        <b/>
        <color rgb="FF000000"/>
      </font>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8D8D8"/>
          <bgColor rgb="FFD8D8D8"/>
        </patternFill>
      </fill>
    </dxf>
    <dxf>
      <fill>
        <patternFill patternType="solid">
          <fgColor rgb="FFD8D8D8"/>
          <bgColor rgb="FFD8D8D8"/>
        </patternFill>
      </fill>
      <border>
        <left style="thin">
          <color rgb="FFBFBFBF"/>
        </left>
        <right style="thin">
          <color rgb="FFBFBFBF"/>
        </right>
      </border>
    </dxf>
    <dxf>
      <fill>
        <patternFill patternType="solid">
          <fgColor rgb="FFD8D8D8"/>
          <bgColor rgb="FFD8D8D8"/>
        </patternFill>
      </fill>
    </dxf>
    <dxf>
      <font>
        <b/>
        <color rgb="FF000000"/>
      </font>
      <fill>
        <patternFill patternType="solid">
          <fgColor rgb="FFDBE5F1"/>
          <bgColor rgb="FFDBE5F1"/>
        </patternFill>
      </fill>
      <border>
        <top style="thin">
          <color rgb="FF95B3D7"/>
        </top>
      </border>
    </dxf>
    <dxf>
      <font>
        <b/>
        <color rgb="FF000000"/>
      </font>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8D8D8"/>
          <bgColor rgb="FFD8D8D8"/>
        </patternFill>
      </fill>
    </dxf>
    <dxf>
      <fill>
        <patternFill patternType="solid">
          <fgColor rgb="FFD8D8D8"/>
          <bgColor rgb="FFD8D8D8"/>
        </patternFill>
      </fill>
      <border>
        <left style="thin">
          <color rgb="FFBFBFBF"/>
        </left>
        <right style="thin">
          <color rgb="FFBFBFBF"/>
        </right>
      </border>
    </dxf>
    <dxf>
      <fill>
        <patternFill patternType="solid">
          <fgColor rgb="FFD8D8D8"/>
          <bgColor rgb="FFD8D8D8"/>
        </patternFill>
      </fill>
    </dxf>
    <dxf>
      <font>
        <b/>
        <color rgb="FF000000"/>
      </font>
      <fill>
        <patternFill patternType="solid">
          <fgColor rgb="FFDBE5F1"/>
          <bgColor rgb="FFDBE5F1"/>
        </patternFill>
      </fill>
      <border>
        <top style="thin">
          <color rgb="FF95B3D7"/>
        </top>
      </border>
    </dxf>
    <dxf>
      <font>
        <b/>
        <color rgb="FF000000"/>
      </font>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ill>
        <patternFill patternType="solid">
          <fgColor rgb="FFDBE5F1"/>
          <bgColor rgb="FFDBE5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8D8D8"/>
          <bgColor rgb="FFD8D8D8"/>
        </patternFill>
      </fill>
    </dxf>
    <dxf>
      <fill>
        <patternFill patternType="solid">
          <fgColor rgb="FFD8D8D8"/>
          <bgColor rgb="FFD8D8D8"/>
        </patternFill>
      </fill>
      <border>
        <left style="thin">
          <color rgb="FFBFBFBF"/>
        </left>
        <right style="thin">
          <color rgb="FFBFBFBF"/>
        </right>
      </border>
    </dxf>
    <dxf>
      <fill>
        <patternFill patternType="solid">
          <fgColor rgb="FFD8D8D8"/>
          <bgColor rgb="FFD8D8D8"/>
        </patternFill>
      </fill>
    </dxf>
    <dxf>
      <font>
        <b/>
        <color rgb="FF000000"/>
      </font>
      <fill>
        <patternFill patternType="solid">
          <fgColor rgb="FFDBE5F1"/>
          <bgColor rgb="FFDBE5F1"/>
        </patternFill>
      </fill>
      <border>
        <top style="thin">
          <color rgb="FF95B3D7"/>
        </top>
      </border>
    </dxf>
    <dxf>
      <font>
        <b/>
        <color rgb="FF000000"/>
      </font>
      <fill>
        <patternFill patternType="solid">
          <fgColor rgb="FFDBE5F1"/>
          <bgColor rgb="FFDBE5F1"/>
        </patternFill>
      </fill>
      <border>
        <bottom style="thin">
          <color rgb="FF95B3D7"/>
        </bottom>
      </border>
    </dxf>
  </dxfs>
  <tableStyles count="7" defaultTableStyle="TableStyleMedium9" defaultPivotStyle="PivotStyleLight16">
    <tableStyle name="PivotStyleLight16 2" table="0" count="11">
      <tableStyleElement type="headerRow" dxfId="76"/>
      <tableStyleElement type="totalRow" dxfId="75"/>
      <tableStyleElement type="firstRowStripe" dxfId="74"/>
      <tableStyleElement type="firstColumnStripe" dxfId="73"/>
      <tableStyleElement type="firstSubtotalColumn" dxfId="72"/>
      <tableStyleElement type="firstSubtotalRow" dxfId="71"/>
      <tableStyleElement type="secondSubtotalRow" dxfId="70"/>
      <tableStyleElement type="firstRowSubheading" dxfId="69"/>
      <tableStyleElement type="secondRowSubheading" dxfId="68"/>
      <tableStyleElement type="pageFieldLabels" dxfId="67"/>
      <tableStyleElement type="pageFieldValues" dxfId="66"/>
    </tableStyle>
    <tableStyle name="PivotStyleLight16 3" table="0" count="11">
      <tableStyleElement type="headerRow" dxfId="65"/>
      <tableStyleElement type="totalRow" dxfId="64"/>
      <tableStyleElement type="firstRowStripe" dxfId="63"/>
      <tableStyleElement type="firstColumnStripe" dxfId="62"/>
      <tableStyleElement type="firstSubtotalColumn" dxfId="61"/>
      <tableStyleElement type="firstSubtotalRow" dxfId="60"/>
      <tableStyleElement type="secondSubtotalRow" dxfId="59"/>
      <tableStyleElement type="firstRowSubheading" dxfId="58"/>
      <tableStyleElement type="secondRowSubheading" dxfId="57"/>
      <tableStyleElement type="pageFieldLabels" dxfId="56"/>
      <tableStyleElement type="pageFieldValues" dxfId="55"/>
    </tableStyle>
    <tableStyle name="PivotStyleLight16 4" table="0" count="11">
      <tableStyleElement type="headerRow" dxfId="54"/>
      <tableStyleElement type="totalRow" dxfId="53"/>
      <tableStyleElement type="firstRowStripe" dxfId="52"/>
      <tableStyleElement type="firstColumnStripe" dxfId="51"/>
      <tableStyleElement type="firstSubtotalColumn" dxfId="50"/>
      <tableStyleElement type="firstSubtotalRow" dxfId="49"/>
      <tableStyleElement type="secondSubtotalRow" dxfId="48"/>
      <tableStyleElement type="firstRowSubheading" dxfId="47"/>
      <tableStyleElement type="secondRowSubheading" dxfId="46"/>
      <tableStyleElement type="pageFieldLabels" dxfId="45"/>
      <tableStyleElement type="pageFieldValues" dxfId="44"/>
    </tableStyle>
    <tableStyle name="PivotStyleLight16 5" table="0" count="11">
      <tableStyleElement type="headerRow" dxfId="43"/>
      <tableStyleElement type="totalRow" dxfId="42"/>
      <tableStyleElement type="firstRowStripe" dxfId="41"/>
      <tableStyleElement type="firstColumnStripe" dxfId="40"/>
      <tableStyleElement type="firstSubtotalColumn" dxfId="39"/>
      <tableStyleElement type="firstSubtotalRow" dxfId="38"/>
      <tableStyleElement type="secondSubtotalRow" dxfId="37"/>
      <tableStyleElement type="firstRowSubheading" dxfId="36"/>
      <tableStyleElement type="secondRowSubheading" dxfId="35"/>
      <tableStyleElement type="pageFieldLabels" dxfId="34"/>
      <tableStyleElement type="pageFieldValues" dxfId="33"/>
    </tableStyle>
    <tableStyle name="PivotStyleLight16 6" table="0" count="11">
      <tableStyleElement type="headerRow" dxfId="32"/>
      <tableStyleElement type="totalRow" dxfId="31"/>
      <tableStyleElement type="firstRowStripe" dxfId="30"/>
      <tableStyleElement type="firstColumnStripe" dxfId="29"/>
      <tableStyleElement type="firstSubtotalColumn" dxfId="28"/>
      <tableStyleElement type="firstSubtotalRow" dxfId="27"/>
      <tableStyleElement type="secondSubtotalRow" dxfId="26"/>
      <tableStyleElement type="firstRowSubheading" dxfId="25"/>
      <tableStyleElement type="secondRowSubheading" dxfId="24"/>
      <tableStyleElement type="pageFieldLabels" dxfId="23"/>
      <tableStyleElement type="pageFieldValues" dxfId="22"/>
    </tableStyle>
    <tableStyle name="PivotStyleLight16 7" table="0" count="11">
      <tableStyleElement type="headerRow" dxfId="21"/>
      <tableStyleElement type="totalRow" dxfId="20"/>
      <tableStyleElement type="firstRowStripe" dxfId="19"/>
      <tableStyleElement type="firstColumnStripe" dxfId="18"/>
      <tableStyleElement type="firstSubtotalColumn"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 name="PivotStyleLight16 8" table="0" count="11">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plotArea>
      <c:layout/>
      <c:barChart>
        <c:barDir val="col"/>
        <c:grouping val="clustered"/>
        <c:ser>
          <c:idx val="3"/>
          <c:order val="0"/>
          <c:tx>
            <c:strRef>
              <c:f>'CBSA Data'!$E$49</c:f>
              <c:strCache>
                <c:ptCount val="1"/>
                <c:pt idx="0">
                  <c:v>Outdoor W per SF Indoor Space</c:v>
                </c:pt>
              </c:strCache>
            </c:strRef>
          </c:tx>
          <c:cat>
            <c:strRef>
              <c:f>'CBSA Data'!$A$50:$A$60</c:f>
              <c:strCache>
                <c:ptCount val="11"/>
                <c:pt idx="0">
                  <c:v>Assembly</c:v>
                </c:pt>
                <c:pt idx="1">
                  <c:v>Grocery</c:v>
                </c:pt>
                <c:pt idx="2">
                  <c:v>Lodging</c:v>
                </c:pt>
                <c:pt idx="3">
                  <c:v>Office</c:v>
                </c:pt>
                <c:pt idx="4">
                  <c:v>Other</c:v>
                </c:pt>
                <c:pt idx="5">
                  <c:v>Residential Care</c:v>
                </c:pt>
                <c:pt idx="6">
                  <c:v>Restaurant</c:v>
                </c:pt>
                <c:pt idx="7">
                  <c:v>Retail/Service</c:v>
                </c:pt>
                <c:pt idx="8">
                  <c:v>School K-12</c:v>
                </c:pt>
                <c:pt idx="9">
                  <c:v>Warehouse</c:v>
                </c:pt>
                <c:pt idx="10">
                  <c:v>Grand Total</c:v>
                </c:pt>
              </c:strCache>
            </c:strRef>
          </c:cat>
          <c:val>
            <c:numRef>
              <c:f>'CBSA Data'!$E$50:$E$60</c:f>
              <c:numCache>
                <c:formatCode>0.00</c:formatCode>
                <c:ptCount val="11"/>
                <c:pt idx="0">
                  <c:v>0.151624021997604</c:v>
                </c:pt>
                <c:pt idx="1">
                  <c:v>0.2603220219827162</c:v>
                </c:pt>
                <c:pt idx="2">
                  <c:v>9.8807290356635435E-2</c:v>
                </c:pt>
                <c:pt idx="3">
                  <c:v>0.13157543314076875</c:v>
                </c:pt>
                <c:pt idx="4">
                  <c:v>0.14314517098482762</c:v>
                </c:pt>
                <c:pt idx="5">
                  <c:v>6.4994334067043774E-2</c:v>
                </c:pt>
                <c:pt idx="6">
                  <c:v>0.4366417086955528</c:v>
                </c:pt>
                <c:pt idx="7">
                  <c:v>0.27958031913001941</c:v>
                </c:pt>
                <c:pt idx="8">
                  <c:v>0.10555646441427503</c:v>
                </c:pt>
                <c:pt idx="9">
                  <c:v>8.3532634554250654E-2</c:v>
                </c:pt>
                <c:pt idx="10">
                  <c:v>0.15729829222960331</c:v>
                </c:pt>
              </c:numCache>
            </c:numRef>
          </c:val>
        </c:ser>
        <c:axId val="425322368"/>
        <c:axId val="425323904"/>
      </c:barChart>
      <c:catAx>
        <c:axId val="425322368"/>
        <c:scaling>
          <c:orientation val="minMax"/>
        </c:scaling>
        <c:axPos val="b"/>
        <c:numFmt formatCode="General" sourceLinked="0"/>
        <c:tickLblPos val="nextTo"/>
        <c:crossAx val="425323904"/>
        <c:crosses val="autoZero"/>
        <c:auto val="1"/>
        <c:lblAlgn val="ctr"/>
        <c:lblOffset val="100"/>
      </c:catAx>
      <c:valAx>
        <c:axId val="425323904"/>
        <c:scaling>
          <c:orientation val="minMax"/>
        </c:scaling>
        <c:axPos val="l"/>
        <c:majorGridlines/>
        <c:numFmt formatCode="0.00" sourceLinked="1"/>
        <c:tickLblPos val="nextTo"/>
        <c:crossAx val="425322368"/>
        <c:crosses val="autoZero"/>
        <c:crossBetween val="between"/>
      </c:valAx>
    </c:plotArea>
    <c:legend>
      <c:legendPos val="b"/>
    </c:legend>
    <c:plotVisOnly val="1"/>
    <c:dispBlanksAs val="gap"/>
  </c:chart>
  <c:printSettings>
    <c:headerFooter/>
    <c:pageMargins b="0.75000000000000144" l="0.70000000000000062" r="0.70000000000000062" t="0.75000000000000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Fixture</a:t>
            </a:r>
            <a:r>
              <a:rPr lang="en-US" sz="1000" baseline="0"/>
              <a:t> Wattage vs. Average Installed Fixture Cost</a:t>
            </a:r>
            <a:endParaRPr lang="en-US" sz="1000"/>
          </a:p>
        </c:rich>
      </c:tx>
      <c:spPr>
        <a:noFill/>
        <a:ln>
          <a:noFill/>
        </a:ln>
        <a:effectLst/>
      </c:spPr>
    </c:title>
    <c:plotArea>
      <c:layout/>
      <c:scatterChart>
        <c:scatterStyle val="lineMarker"/>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1250180185860152"/>
                  <c:y val="0.1887814134084933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'ETO Cost Data'!$J$14:$J$19</c:f>
              <c:numCache>
                <c:formatCode>General</c:formatCode>
                <c:ptCount val="6"/>
                <c:pt idx="0">
                  <c:v>40</c:v>
                </c:pt>
                <c:pt idx="1">
                  <c:v>90</c:v>
                </c:pt>
                <c:pt idx="2">
                  <c:v>110</c:v>
                </c:pt>
                <c:pt idx="3">
                  <c:v>150</c:v>
                </c:pt>
                <c:pt idx="4">
                  <c:v>350</c:v>
                </c:pt>
                <c:pt idx="5">
                  <c:v>400</c:v>
                </c:pt>
              </c:numCache>
            </c:numRef>
          </c:xVal>
          <c:yVal>
            <c:numRef>
              <c:f>'ETO Cost Data'!$K$14:$K$19</c:f>
              <c:numCache>
                <c:formatCode>_("$"* #,##0_);_("$"* \(#,##0\);_("$"* "-"??_);_(@_)</c:formatCode>
                <c:ptCount val="6"/>
                <c:pt idx="0">
                  <c:v>296.97322098234798</c:v>
                </c:pt>
                <c:pt idx="1">
                  <c:v>513.18834724957617</c:v>
                </c:pt>
                <c:pt idx="2">
                  <c:v>613.13942186679481</c:v>
                </c:pt>
                <c:pt idx="3">
                  <c:v>658.10385306929538</c:v>
                </c:pt>
                <c:pt idx="4">
                  <c:v>939.16361562068175</c:v>
                </c:pt>
                <c:pt idx="5">
                  <c:v>1115.4513636363636</c:v>
                </c:pt>
              </c:numCache>
            </c:numRef>
          </c:yVal>
        </c:ser>
        <c:axId val="400053760"/>
        <c:axId val="400055296"/>
      </c:scatterChart>
      <c:valAx>
        <c:axId val="400053760"/>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0055296"/>
        <c:crosses val="autoZero"/>
        <c:crossBetween val="midCat"/>
      </c:valAx>
      <c:valAx>
        <c:axId val="400055296"/>
        <c:scaling>
          <c:orientation val="minMax"/>
        </c:scaling>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0053760"/>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Fixture</a:t>
            </a:r>
            <a:r>
              <a:rPr lang="en-US" sz="1000" baseline="0"/>
              <a:t> Wattage vs. Median Installed Fixture Cost</a:t>
            </a:r>
            <a:endParaRPr lang="en-US" sz="1000"/>
          </a:p>
        </c:rich>
      </c:tx>
      <c:spPr>
        <a:noFill/>
        <a:ln>
          <a:noFill/>
        </a:ln>
        <a:effectLst/>
      </c:spPr>
    </c:title>
    <c:plotArea>
      <c:layout/>
      <c:scatterChart>
        <c:scatterStyle val="lineMarker"/>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1955647753932912"/>
                  <c:y val="0.3153195385460538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'ETO Cost Data'!$J$14:$J$19</c:f>
              <c:numCache>
                <c:formatCode>General</c:formatCode>
                <c:ptCount val="6"/>
                <c:pt idx="0">
                  <c:v>40</c:v>
                </c:pt>
                <c:pt idx="1">
                  <c:v>90</c:v>
                </c:pt>
                <c:pt idx="2">
                  <c:v>110</c:v>
                </c:pt>
                <c:pt idx="3">
                  <c:v>150</c:v>
                </c:pt>
                <c:pt idx="4">
                  <c:v>350</c:v>
                </c:pt>
                <c:pt idx="5">
                  <c:v>400</c:v>
                </c:pt>
              </c:numCache>
            </c:numRef>
          </c:xVal>
          <c:yVal>
            <c:numRef>
              <c:f>'ETO Cost Data'!$L$14:$L$19</c:f>
              <c:numCache>
                <c:formatCode>_("$"* #,##0_);_("$"* \(#,##0\);_("$"* "-"??_);_(@_)</c:formatCode>
                <c:ptCount val="6"/>
                <c:pt idx="0">
                  <c:v>279.53800000000001</c:v>
                </c:pt>
                <c:pt idx="1">
                  <c:v>472.79583333333335</c:v>
                </c:pt>
                <c:pt idx="2">
                  <c:v>564.91999999999996</c:v>
                </c:pt>
                <c:pt idx="3">
                  <c:v>560.04999999999995</c:v>
                </c:pt>
                <c:pt idx="4">
                  <c:v>827.9</c:v>
                </c:pt>
                <c:pt idx="5">
                  <c:v>974.70836363636363</c:v>
                </c:pt>
              </c:numCache>
            </c:numRef>
          </c:yVal>
        </c:ser>
        <c:axId val="400075776"/>
        <c:axId val="400360192"/>
      </c:scatterChart>
      <c:valAx>
        <c:axId val="400075776"/>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0360192"/>
        <c:crosses val="autoZero"/>
        <c:crossBetween val="midCat"/>
      </c:valAx>
      <c:valAx>
        <c:axId val="400360192"/>
        <c:scaling>
          <c:orientation val="minMax"/>
        </c:scaling>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0075776"/>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Fixture</a:t>
            </a:r>
            <a:r>
              <a:rPr lang="en-US" sz="1000" baseline="0"/>
              <a:t> Wattage vs. Lower Quart. Fixture Cost</a:t>
            </a:r>
            <a:endParaRPr lang="en-US" sz="1000"/>
          </a:p>
        </c:rich>
      </c:tx>
      <c:spPr>
        <a:noFill/>
        <a:ln>
          <a:noFill/>
        </a:ln>
        <a:effectLst/>
      </c:spPr>
    </c:title>
    <c:plotArea>
      <c:layout/>
      <c:scatterChart>
        <c:scatterStyle val="lineMarker"/>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5285454675236382"/>
                  <c:y val="0.2516951760340302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'ETO Cost Data'!$J$14:$J$19</c:f>
              <c:numCache>
                <c:formatCode>General</c:formatCode>
                <c:ptCount val="6"/>
                <c:pt idx="0">
                  <c:v>40</c:v>
                </c:pt>
                <c:pt idx="1">
                  <c:v>90</c:v>
                </c:pt>
                <c:pt idx="2">
                  <c:v>110</c:v>
                </c:pt>
                <c:pt idx="3">
                  <c:v>150</c:v>
                </c:pt>
                <c:pt idx="4">
                  <c:v>350</c:v>
                </c:pt>
                <c:pt idx="5">
                  <c:v>400</c:v>
                </c:pt>
              </c:numCache>
            </c:numRef>
          </c:xVal>
          <c:yVal>
            <c:numRef>
              <c:f>'ETO Cost Data'!$M$14:$M$19</c:f>
              <c:numCache>
                <c:formatCode>_("$"* #,##0_);_("$"* \(#,##0\);_("$"* "-"??_);_(@_)</c:formatCode>
                <c:ptCount val="6"/>
                <c:pt idx="0">
                  <c:v>229.70166666666668</c:v>
                </c:pt>
                <c:pt idx="1">
                  <c:v>358.76915384615381</c:v>
                </c:pt>
                <c:pt idx="2">
                  <c:v>456.5625</c:v>
                </c:pt>
                <c:pt idx="3">
                  <c:v>473.73641176470585</c:v>
                </c:pt>
                <c:pt idx="4">
                  <c:v>773.89711111111103</c:v>
                </c:pt>
                <c:pt idx="5">
                  <c:v>950.86749999999995</c:v>
                </c:pt>
              </c:numCache>
            </c:numRef>
          </c:yVal>
        </c:ser>
        <c:axId val="400384768"/>
        <c:axId val="400386304"/>
      </c:scatterChart>
      <c:valAx>
        <c:axId val="40038476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0386304"/>
        <c:crosses val="autoZero"/>
        <c:crossBetween val="midCat"/>
      </c:valAx>
      <c:valAx>
        <c:axId val="400386304"/>
        <c:scaling>
          <c:orientation val="minMax"/>
        </c:scaling>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0384768"/>
        <c:crosses val="autoZero"/>
        <c:crossBetween val="midCat"/>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ETO Program Data Costs </a:t>
            </a:r>
            <a:r>
              <a:rPr lang="en-US" sz="1400" b="0" i="0" u="none" strike="noStrike" baseline="0">
                <a:effectLst/>
              </a:rPr>
              <a:t>vs.</a:t>
            </a:r>
            <a:r>
              <a:rPr lang="en-US"/>
              <a:t> </a:t>
            </a:r>
            <a:r>
              <a:rPr lang="en-US" sz="1400" b="0" i="0" u="none" strike="noStrike" baseline="0">
                <a:effectLst/>
              </a:rPr>
              <a:t>Draft 7th Plan Built-Up Costs  </a:t>
            </a:r>
            <a:r>
              <a:rPr lang="en-US"/>
              <a:t> </a:t>
            </a:r>
          </a:p>
        </c:rich>
      </c:tx>
      <c:layout>
        <c:manualLayout>
          <c:xMode val="edge"/>
          <c:yMode val="edge"/>
          <c:x val="0.30272848349266279"/>
          <c:y val="3.4532368884251055E-2"/>
        </c:manualLayout>
      </c:layout>
      <c:spPr>
        <a:noFill/>
        <a:ln>
          <a:noFill/>
        </a:ln>
        <a:effectLst/>
      </c:spPr>
    </c:title>
    <c:plotArea>
      <c:layout/>
      <c:barChart>
        <c:barDir val="col"/>
        <c:grouping val="clustered"/>
        <c:ser>
          <c:idx val="1"/>
          <c:order val="0"/>
          <c:tx>
            <c:strRef>
              <c:f>'ETO Cost Data'!$K$23</c:f>
              <c:strCache>
                <c:ptCount val="1"/>
                <c:pt idx="0">
                  <c:v>ETO Avg Cost</c:v>
                </c:pt>
              </c:strCache>
            </c:strRef>
          </c:tx>
          <c:spPr>
            <a:solidFill>
              <a:schemeClr val="accent1"/>
            </a:solidFill>
            <a:ln>
              <a:solidFill>
                <a:schemeClr val="accent1">
                  <a:lumMod val="75000"/>
                </a:schemeClr>
              </a:solidFill>
            </a:ln>
            <a:effectLst/>
          </c:spPr>
          <c:cat>
            <c:strRef>
              <c:f>'ETO Cost Data'!$I$24:$I$28</c:f>
              <c:strCache>
                <c:ptCount val="5"/>
                <c:pt idx="0">
                  <c:v>LED 31W</c:v>
                </c:pt>
                <c:pt idx="1">
                  <c:v>LED 95W</c:v>
                </c:pt>
                <c:pt idx="2">
                  <c:v>LED 135W</c:v>
                </c:pt>
                <c:pt idx="3">
                  <c:v>LED 180W</c:v>
                </c:pt>
                <c:pt idx="4">
                  <c:v>LED 421W*</c:v>
                </c:pt>
              </c:strCache>
            </c:strRef>
          </c:cat>
          <c:val>
            <c:numRef>
              <c:f>'ETO Cost Data'!$K$24:$K$28</c:f>
              <c:numCache>
                <c:formatCode>_("$"* #,##0_);_("$"* \(#,##0\);_("$"* "-"??_);_(@_)</c:formatCode>
                <c:ptCount val="5"/>
                <c:pt idx="0">
                  <c:v>381.62430000000001</c:v>
                </c:pt>
                <c:pt idx="1">
                  <c:v>505.48349999999999</c:v>
                </c:pt>
                <c:pt idx="2">
                  <c:v>582.89549999999997</c:v>
                </c:pt>
                <c:pt idx="3">
                  <c:v>669.98399999999992</c:v>
                </c:pt>
                <c:pt idx="4">
                  <c:v>1136.3913</c:v>
                </c:pt>
              </c:numCache>
            </c:numRef>
          </c:val>
        </c:ser>
        <c:ser>
          <c:idx val="2"/>
          <c:order val="1"/>
          <c:tx>
            <c:strRef>
              <c:f>'ETO Cost Data'!$L$23</c:f>
              <c:strCache>
                <c:ptCount val="1"/>
                <c:pt idx="0">
                  <c:v>ETO Median Cost</c:v>
                </c:pt>
              </c:strCache>
            </c:strRef>
          </c:tx>
          <c:spPr>
            <a:solidFill>
              <a:schemeClr val="accent1">
                <a:lumMod val="60000"/>
                <a:lumOff val="40000"/>
              </a:schemeClr>
            </a:solidFill>
            <a:ln>
              <a:solidFill>
                <a:schemeClr val="accent1">
                  <a:lumMod val="75000"/>
                </a:schemeClr>
              </a:solidFill>
            </a:ln>
            <a:effectLst/>
          </c:spPr>
          <c:cat>
            <c:strRef>
              <c:f>'ETO Cost Data'!$I$24:$I$28</c:f>
              <c:strCache>
                <c:ptCount val="5"/>
                <c:pt idx="0">
                  <c:v>LED 31W</c:v>
                </c:pt>
                <c:pt idx="1">
                  <c:v>LED 95W</c:v>
                </c:pt>
                <c:pt idx="2">
                  <c:v>LED 135W</c:v>
                </c:pt>
                <c:pt idx="3">
                  <c:v>LED 180W</c:v>
                </c:pt>
                <c:pt idx="4">
                  <c:v>LED 421W*</c:v>
                </c:pt>
              </c:strCache>
            </c:strRef>
          </c:cat>
          <c:val>
            <c:numRef>
              <c:f>'ETO Cost Data'!$L$24:$L$28</c:f>
              <c:numCache>
                <c:formatCode>_("$"* #,##0_);_("$"* \(#,##0\);_("$"* "-"??_);_(@_)</c:formatCode>
                <c:ptCount val="5"/>
                <c:pt idx="0">
                  <c:v>353.11149999999998</c:v>
                </c:pt>
                <c:pt idx="1">
                  <c:v>457.84749999999997</c:v>
                </c:pt>
                <c:pt idx="2">
                  <c:v>523.3075</c:v>
                </c:pt>
                <c:pt idx="3">
                  <c:v>596.95000000000005</c:v>
                </c:pt>
                <c:pt idx="4">
                  <c:v>991.34649999999999</c:v>
                </c:pt>
              </c:numCache>
            </c:numRef>
          </c:val>
        </c:ser>
        <c:ser>
          <c:idx val="3"/>
          <c:order val="2"/>
          <c:tx>
            <c:strRef>
              <c:f>'ETO Cost Data'!$M$23</c:f>
              <c:strCache>
                <c:ptCount val="1"/>
                <c:pt idx="0">
                  <c:v>ETO Lower Quartile Cost</c:v>
                </c:pt>
              </c:strCache>
            </c:strRef>
          </c:tx>
          <c:spPr>
            <a:solidFill>
              <a:schemeClr val="accent1">
                <a:lumMod val="40000"/>
                <a:lumOff val="60000"/>
              </a:schemeClr>
            </a:solidFill>
            <a:ln>
              <a:solidFill>
                <a:schemeClr val="accent1">
                  <a:lumMod val="75000"/>
                </a:schemeClr>
              </a:solidFill>
            </a:ln>
            <a:effectLst/>
          </c:spPr>
          <c:cat>
            <c:strRef>
              <c:f>'ETO Cost Data'!$I$24:$I$28</c:f>
              <c:strCache>
                <c:ptCount val="5"/>
                <c:pt idx="0">
                  <c:v>LED 31W</c:v>
                </c:pt>
                <c:pt idx="1">
                  <c:v>LED 95W</c:v>
                </c:pt>
                <c:pt idx="2">
                  <c:v>LED 135W</c:v>
                </c:pt>
                <c:pt idx="3">
                  <c:v>LED 180W</c:v>
                </c:pt>
                <c:pt idx="4">
                  <c:v>LED 421W*</c:v>
                </c:pt>
              </c:strCache>
            </c:strRef>
          </c:cat>
          <c:val>
            <c:numRef>
              <c:f>'ETO Cost Data'!$M$24:$M$28</c:f>
              <c:numCache>
                <c:formatCode>_("$"* #,##0_);_("$"* \(#,##0\);_("$"* "-"??_);_(@_)</c:formatCode>
                <c:ptCount val="5"/>
                <c:pt idx="0">
                  <c:v>255.34399999999999</c:v>
                </c:pt>
                <c:pt idx="1">
                  <c:v>370.15999999999997</c:v>
                </c:pt>
                <c:pt idx="2">
                  <c:v>441.91999999999996</c:v>
                </c:pt>
                <c:pt idx="3">
                  <c:v>522.65</c:v>
                </c:pt>
                <c:pt idx="4">
                  <c:v>955.00400000000002</c:v>
                </c:pt>
              </c:numCache>
            </c:numRef>
          </c:val>
        </c:ser>
        <c:ser>
          <c:idx val="4"/>
          <c:order val="3"/>
          <c:tx>
            <c:strRef>
              <c:f>'ETO Cost Data'!$N$23</c:f>
              <c:strCache>
                <c:ptCount val="1"/>
                <c:pt idx="0">
                  <c:v>7th Plan Built-Up Cost</c:v>
                </c:pt>
              </c:strCache>
            </c:strRef>
          </c:tx>
          <c:spPr>
            <a:solidFill>
              <a:schemeClr val="accent2"/>
            </a:solidFill>
            <a:ln>
              <a:solidFill>
                <a:schemeClr val="accent2">
                  <a:lumMod val="50000"/>
                </a:schemeClr>
              </a:solidFill>
            </a:ln>
            <a:effectLst/>
          </c:spPr>
          <c:cat>
            <c:strRef>
              <c:f>'ETO Cost Data'!$I$24:$I$28</c:f>
              <c:strCache>
                <c:ptCount val="5"/>
                <c:pt idx="0">
                  <c:v>LED 31W</c:v>
                </c:pt>
                <c:pt idx="1">
                  <c:v>LED 95W</c:v>
                </c:pt>
                <c:pt idx="2">
                  <c:v>LED 135W</c:v>
                </c:pt>
                <c:pt idx="3">
                  <c:v>LED 180W</c:v>
                </c:pt>
                <c:pt idx="4">
                  <c:v>LED 421W*</c:v>
                </c:pt>
              </c:strCache>
            </c:strRef>
          </c:cat>
          <c:val>
            <c:numRef>
              <c:f>'ETO Cost Data'!$N$24:$N$28</c:f>
              <c:numCache>
                <c:formatCode>_("$"* #,##0_);_("$"* \(#,##0\);_("$"* "-"??_);_(@_)</c:formatCode>
                <c:ptCount val="5"/>
                <c:pt idx="0">
                  <c:v>272.37829599999998</c:v>
                </c:pt>
                <c:pt idx="1">
                  <c:v>448.60752500000001</c:v>
                </c:pt>
                <c:pt idx="2">
                  <c:v>242.9</c:v>
                </c:pt>
                <c:pt idx="3">
                  <c:v>442.9</c:v>
                </c:pt>
                <c:pt idx="4">
                  <c:v>1242.9000000000001</c:v>
                </c:pt>
              </c:numCache>
            </c:numRef>
          </c:val>
        </c:ser>
        <c:axId val="401223680"/>
        <c:axId val="401225216"/>
      </c:barChart>
      <c:catAx>
        <c:axId val="40122368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1225216"/>
        <c:crosses val="autoZero"/>
        <c:auto val="1"/>
        <c:lblAlgn val="ctr"/>
        <c:lblOffset val="100"/>
      </c:catAx>
      <c:valAx>
        <c:axId val="401225216"/>
        <c:scaling>
          <c:orientation val="minMax"/>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Installed Fixture Cost</a:t>
                </a:r>
                <a:r>
                  <a:rPr lang="en-US" sz="1100" baseline="0"/>
                  <a:t>, 2012$</a:t>
                </a:r>
                <a:endParaRPr lang="en-US" sz="1100"/>
              </a:p>
            </c:rich>
          </c:tx>
          <c:layout>
            <c:manualLayout>
              <c:xMode val="edge"/>
              <c:yMode val="edge"/>
              <c:x val="0.11814345991561213"/>
              <c:y val="0.15382251872995775"/>
            </c:manualLayout>
          </c:layout>
          <c:spPr>
            <a:noFill/>
            <a:ln>
              <a:noFill/>
            </a:ln>
            <a:effectLst/>
          </c:spPr>
        </c:title>
        <c:numFmt formatCode="_(&quot;$&quot;* #,##0_);_(&quot;$&quot;* \(#,##0\);_(&quot;$&quot;* &quot;-&quot;??_);_(@_)"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12236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44" l="0.70000000000000062" r="0.70000000000000062" t="0.75000000000000144"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463221</xdr:colOff>
      <xdr:row>22</xdr:row>
      <xdr:rowOff>76200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647700"/>
          <a:ext cx="5949621" cy="3476625"/>
        </a:xfrm>
        <a:prstGeom prst="rect">
          <a:avLst/>
        </a:prstGeom>
        <a:noFill/>
      </xdr:spPr>
    </xdr:pic>
    <xdr:clientData/>
  </xdr:twoCellAnchor>
  <xdr:twoCellAnchor editAs="oneCell">
    <xdr:from>
      <xdr:col>0</xdr:col>
      <xdr:colOff>561976</xdr:colOff>
      <xdr:row>27</xdr:row>
      <xdr:rowOff>9525</xdr:rowOff>
    </xdr:from>
    <xdr:to>
      <xdr:col>10</xdr:col>
      <xdr:colOff>447676</xdr:colOff>
      <xdr:row>38</xdr:row>
      <xdr:rowOff>70375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1976" y="4867275"/>
          <a:ext cx="5981700" cy="1842025"/>
        </a:xfrm>
        <a:prstGeom prst="rect">
          <a:avLst/>
        </a:prstGeom>
        <a:noFill/>
      </xdr:spPr>
    </xdr:pic>
    <xdr:clientData/>
  </xdr:twoCellAnchor>
  <xdr:twoCellAnchor editAs="oneCell">
    <xdr:from>
      <xdr:col>1</xdr:col>
      <xdr:colOff>0</xdr:colOff>
      <xdr:row>41</xdr:row>
      <xdr:rowOff>0</xdr:rowOff>
    </xdr:from>
    <xdr:to>
      <xdr:col>10</xdr:col>
      <xdr:colOff>421530</xdr:colOff>
      <xdr:row>61</xdr:row>
      <xdr:rowOff>114299</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09600" y="7124700"/>
          <a:ext cx="5907930" cy="3352799"/>
        </a:xfrm>
        <a:prstGeom prst="rect">
          <a:avLst/>
        </a:prstGeom>
        <a:noFill/>
      </xdr:spPr>
    </xdr:pic>
    <xdr:clientData/>
  </xdr:twoCellAnchor>
  <xdr:twoCellAnchor editAs="oneCell">
    <xdr:from>
      <xdr:col>12</xdr:col>
      <xdr:colOff>200025</xdr:colOff>
      <xdr:row>4</xdr:row>
      <xdr:rowOff>57150</xdr:rowOff>
    </xdr:from>
    <xdr:to>
      <xdr:col>22</xdr:col>
      <xdr:colOff>44768</xdr:colOff>
      <xdr:row>23</xdr:row>
      <xdr:rowOff>28575</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515225" y="704850"/>
          <a:ext cx="5940743" cy="3533775"/>
        </a:xfrm>
        <a:prstGeom prst="rect">
          <a:avLst/>
        </a:prstGeom>
        <a:noFill/>
      </xdr:spPr>
    </xdr:pic>
    <xdr:clientData/>
  </xdr:twoCellAnchor>
  <xdr:twoCellAnchor editAs="oneCell">
    <xdr:from>
      <xdr:col>12</xdr:col>
      <xdr:colOff>209550</xdr:colOff>
      <xdr:row>27</xdr:row>
      <xdr:rowOff>9525</xdr:rowOff>
    </xdr:from>
    <xdr:to>
      <xdr:col>22</xdr:col>
      <xdr:colOff>28575</xdr:colOff>
      <xdr:row>45</xdr:row>
      <xdr:rowOff>68764</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7524750" y="4867275"/>
          <a:ext cx="5915025" cy="2973889"/>
        </a:xfrm>
        <a:prstGeom prst="rect">
          <a:avLst/>
        </a:prstGeom>
        <a:noFill/>
      </xdr:spPr>
    </xdr:pic>
    <xdr:clientData/>
  </xdr:twoCellAnchor>
  <xdr:twoCellAnchor editAs="oneCell">
    <xdr:from>
      <xdr:col>12</xdr:col>
      <xdr:colOff>171451</xdr:colOff>
      <xdr:row>48</xdr:row>
      <xdr:rowOff>19050</xdr:rowOff>
    </xdr:from>
    <xdr:to>
      <xdr:col>22</xdr:col>
      <xdr:colOff>152401</xdr:colOff>
      <xdr:row>59</xdr:row>
      <xdr:rowOff>31073</xdr:rowOff>
    </xdr:to>
    <xdr:pic>
      <xdr:nvPicPr>
        <xdr:cNvPr id="7"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486651" y="8277225"/>
          <a:ext cx="6076950" cy="1793198"/>
        </a:xfrm>
        <a:prstGeom prst="rect">
          <a:avLst/>
        </a:prstGeom>
        <a:noFill/>
      </xdr:spPr>
    </xdr:pic>
    <xdr:clientData/>
  </xdr:twoCellAnchor>
  <xdr:twoCellAnchor editAs="oneCell">
    <xdr:from>
      <xdr:col>12</xdr:col>
      <xdr:colOff>219075</xdr:colOff>
      <xdr:row>61</xdr:row>
      <xdr:rowOff>114300</xdr:rowOff>
    </xdr:from>
    <xdr:to>
      <xdr:col>22</xdr:col>
      <xdr:colOff>396126</xdr:colOff>
      <xdr:row>82</xdr:row>
      <xdr:rowOff>9525</xdr:rowOff>
    </xdr:to>
    <xdr:pic>
      <xdr:nvPicPr>
        <xdr:cNvPr id="8"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7534275" y="10477500"/>
          <a:ext cx="6273051" cy="3295650"/>
        </a:xfrm>
        <a:prstGeom prst="rect">
          <a:avLst/>
        </a:prstGeom>
        <a:noFill/>
      </xdr:spPr>
    </xdr:pic>
    <xdr:clientData/>
  </xdr:twoCellAnchor>
  <xdr:twoCellAnchor editAs="oneCell">
    <xdr:from>
      <xdr:col>12</xdr:col>
      <xdr:colOff>95250</xdr:colOff>
      <xdr:row>84</xdr:row>
      <xdr:rowOff>66675</xdr:rowOff>
    </xdr:from>
    <xdr:to>
      <xdr:col>23</xdr:col>
      <xdr:colOff>94817</xdr:colOff>
      <xdr:row>97</xdr:row>
      <xdr:rowOff>66675</xdr:rowOff>
    </xdr:to>
    <xdr:pic>
      <xdr:nvPicPr>
        <xdr:cNvPr id="9"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7410450" y="14154150"/>
          <a:ext cx="6705167" cy="21050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123824</xdr:colOff>
      <xdr:row>61</xdr:row>
      <xdr:rowOff>152400</xdr:rowOff>
    </xdr:from>
    <xdr:to>
      <xdr:col>4</xdr:col>
      <xdr:colOff>504824</xdr:colOff>
      <xdr:row>82</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23</xdr:row>
      <xdr:rowOff>0</xdr:rowOff>
    </xdr:from>
    <xdr:to>
      <xdr:col>6</xdr:col>
      <xdr:colOff>104775</xdr:colOff>
      <xdr:row>31</xdr:row>
      <xdr:rowOff>142875</xdr:rowOff>
    </xdr:to>
    <xdr:sp macro="" textlink="">
      <xdr:nvSpPr>
        <xdr:cNvPr id="3" name="TextBox 2"/>
        <xdr:cNvSpPr txBox="1"/>
      </xdr:nvSpPr>
      <xdr:spPr>
        <a:xfrm>
          <a:off x="4733925" y="7086600"/>
          <a:ext cx="2667000" cy="166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latin typeface="+mn-lt"/>
              <a:ea typeface="+mn-ea"/>
              <a:cs typeface="+mn-cs"/>
            </a:rPr>
            <a:t>S = Signage</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F = Façade</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P = Parking Lot</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SF = Sporting Field</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O = Other</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W = Walkway </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ES = Exterior Sales</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Unk = Unknown</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NF = Not Filled</a:t>
          </a:r>
          <a:r>
            <a:rPr lang="en-US"/>
            <a:t> </a:t>
          </a:r>
          <a:endParaRPr lang="en-US" sz="1100"/>
        </a:p>
      </xdr:txBody>
    </xdr:sp>
    <xdr:clientData/>
  </xdr:twoCellAnchor>
  <xdr:twoCellAnchor>
    <xdr:from>
      <xdr:col>14</xdr:col>
      <xdr:colOff>0</xdr:colOff>
      <xdr:row>24</xdr:row>
      <xdr:rowOff>0</xdr:rowOff>
    </xdr:from>
    <xdr:to>
      <xdr:col>16</xdr:col>
      <xdr:colOff>923925</xdr:colOff>
      <xdr:row>32</xdr:row>
      <xdr:rowOff>142875</xdr:rowOff>
    </xdr:to>
    <xdr:sp macro="" textlink="">
      <xdr:nvSpPr>
        <xdr:cNvPr id="4" name="TextBox 3"/>
        <xdr:cNvSpPr txBox="1"/>
      </xdr:nvSpPr>
      <xdr:spPr>
        <a:xfrm>
          <a:off x="18811875" y="7277100"/>
          <a:ext cx="2667000" cy="166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latin typeface="+mn-lt"/>
              <a:ea typeface="+mn-ea"/>
              <a:cs typeface="+mn-cs"/>
            </a:rPr>
            <a:t>S = Signage</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F = Façade</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P = Parking Lot</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SF = Sporting Field</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O = Other</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W = Walkway </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ES = Exterior Sales</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Unk = Unknown</a:t>
          </a:r>
          <a:br>
            <a:rPr lang="en-US" sz="1100" b="0" i="0" u="none" strike="noStrike">
              <a:solidFill>
                <a:schemeClr val="dk1"/>
              </a:solidFill>
              <a:latin typeface="+mn-lt"/>
              <a:ea typeface="+mn-ea"/>
              <a:cs typeface="+mn-cs"/>
            </a:rPr>
          </a:br>
          <a:r>
            <a:rPr lang="en-US" sz="1100" b="0" i="0" u="none" strike="noStrike">
              <a:solidFill>
                <a:schemeClr val="dk1"/>
              </a:solidFill>
              <a:latin typeface="+mn-lt"/>
              <a:ea typeface="+mn-ea"/>
              <a:cs typeface="+mn-cs"/>
            </a:rPr>
            <a:t>NF = Not Filled</a:t>
          </a:r>
          <a:r>
            <a:rPr lang="en-US"/>
            <a:t>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28575</xdr:colOff>
      <xdr:row>0</xdr:row>
      <xdr:rowOff>23813</xdr:rowOff>
    </xdr:from>
    <xdr:to>
      <xdr:col>19</xdr:col>
      <xdr:colOff>581024</xdr:colOff>
      <xdr:row>9</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28575</xdr:colOff>
      <xdr:row>10</xdr:row>
      <xdr:rowOff>19050</xdr:rowOff>
    </xdr:from>
    <xdr:to>
      <xdr:col>19</xdr:col>
      <xdr:colOff>581024</xdr:colOff>
      <xdr:row>19</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20</xdr:row>
      <xdr:rowOff>0</xdr:rowOff>
    </xdr:from>
    <xdr:to>
      <xdr:col>19</xdr:col>
      <xdr:colOff>581024</xdr:colOff>
      <xdr:row>30</xdr:row>
      <xdr:rowOff>104775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28574</xdr:colOff>
      <xdr:row>31</xdr:row>
      <xdr:rowOff>61911</xdr:rowOff>
    </xdr:from>
    <xdr:to>
      <xdr:col>24</xdr:col>
      <xdr:colOff>571500</xdr:colOff>
      <xdr:row>52</xdr:row>
      <xdr:rowOff>114299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_Master_7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NLPricePerfLED.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BASE"/>
      <sheetName val="STOCK"/>
      <sheetName val="TURN"/>
      <sheetName val="ACHIEV"/>
      <sheetName val="RAMP"/>
      <sheetName val="CODE"/>
      <sheetName val="CHAR"/>
      <sheetName val="Floor"/>
      <sheetName val="Vars"/>
      <sheetName val="Labels"/>
      <sheetName val="Lookup"/>
      <sheetName val="EUI"/>
      <sheetName val="Measure Name List"/>
      <sheetName val="CBSA Data"/>
    </sheetNames>
    <definedNames>
      <definedName name="ACHIEV" refersTo="='ACHIEV'!$B$17:$Y$117"/>
      <definedName name="BLDGTYPE" refersTo="='APPLIC'!$B$11:$U$11"/>
      <definedName name="TURN" refersTo="='TURN'!$B$12:$U$95" sheetId="7"/>
    </definedNames>
    <sheetDataSet>
      <sheetData sheetId="0">
        <row r="82">
          <cell r="B82" t="str">
            <v>Contents</v>
          </cell>
        </row>
        <row r="83">
          <cell r="B83" t="str">
            <v>Overview of model structure</v>
          </cell>
        </row>
        <row r="84">
          <cell r="B84" t="str">
            <v xml:space="preserve">Update Log:  Log for updates to Draft 6th Plan Assessment </v>
          </cell>
        </row>
        <row r="85">
          <cell r="B85" t="str">
            <v>Master List of measure bundles</v>
          </cell>
        </row>
        <row r="86">
          <cell r="B86" t="str">
            <v>List and links to measure-level files. Plus housekeeping and administrative functions.</v>
          </cell>
        </row>
        <row r="87">
          <cell r="B87" t="str">
            <v>Applicability factor for the measure bundle.  Fraction of stock the measure applies to.</v>
          </cell>
        </row>
        <row r="88">
          <cell r="B88" t="str">
            <v>Baseline penetration of measure bundles.  Estimated fraction of stock where the measure is already in place.</v>
          </cell>
        </row>
        <row r="89">
          <cell r="B89" t="str">
            <v>Vintage cohort for measure bundles.</v>
          </cell>
        </row>
        <row r="90">
          <cell r="B90" t="str">
            <v>Turnover rate for stock to which measure applies.</v>
          </cell>
        </row>
        <row r="91">
          <cell r="B91" t="str">
            <v>Achievable rate of acquisition for measure bundles by year</v>
          </cell>
        </row>
        <row r="92">
          <cell r="B92" t="str">
            <v>Tables developed to estimate regional baseline penetration for various elements of energy codes by jurisdiction</v>
          </cell>
        </row>
        <row r="93">
          <cell r="B93" t="str">
            <v xml:space="preserve">Key characteristics for stock by vintage cohort and building subtype.  Used to develop regional application of measures. </v>
          </cell>
        </row>
        <row r="94">
          <cell r="B94" t="str">
            <v>Floor area forecast summary used to develop data in CHAR</v>
          </cell>
        </row>
        <row r="95">
          <cell r="B95" t="str">
            <v>List of variables and definitions used in the CHAR tab and elsewhere in the files.</v>
          </cell>
        </row>
        <row r="96">
          <cell r="B96" t="str">
            <v>Map of building types labels from different sources.</v>
          </cell>
        </row>
        <row r="97">
          <cell r="B97" t="str">
            <v>Lookup table for vintage cohort</v>
          </cell>
        </row>
        <row r="98">
          <cell r="B98" t="str">
            <v xml:space="preserve">Reference EUI from various sources including CBECS &amp; CBSA.  </v>
          </cell>
        </row>
      </sheetData>
      <sheetData sheetId="1"/>
      <sheetData sheetId="2">
        <row r="11">
          <cell r="B11" t="str">
            <v>Base Measure Name</v>
          </cell>
          <cell r="C11" t="str">
            <v>VCohort</v>
          </cell>
          <cell r="D11" t="str">
            <v>Measure Index Name</v>
          </cell>
          <cell r="E11" t="str">
            <v>Unit of Savings</v>
          </cell>
          <cell r="F11" t="str">
            <v>Measure Bundle Description</v>
          </cell>
          <cell r="G11" t="str">
            <v>Number of Measures in Bundle</v>
          </cell>
          <cell r="H11" t="str">
            <v>Descriptive Name</v>
          </cell>
          <cell r="I11" t="str">
            <v>Segment</v>
          </cell>
          <cell r="J11" t="str">
            <v>Savings Sources</v>
          </cell>
          <cell r="K11" t="str">
            <v>7P Technical Savings (aMW)</v>
          </cell>
          <cell r="L11" t="str">
            <v>Baseline</v>
          </cell>
          <cell r="M11" t="str">
            <v>Baseline Saturation</v>
          </cell>
          <cell r="N11" t="str">
            <v>Baseline Notes</v>
          </cell>
          <cell r="O11" t="str">
            <v>Cost Source</v>
          </cell>
          <cell r="P11" t="str">
            <v>Cost Notes</v>
          </cell>
          <cell r="Q11" t="str">
            <v>New from 6P</v>
          </cell>
          <cell r="R11" t="str">
            <v>6P Vintage</v>
          </cell>
          <cell r="S11" t="str">
            <v>Status</v>
          </cell>
          <cell r="T11" t="str">
            <v>Status notes</v>
          </cell>
          <cell r="U11" t="str">
            <v>Category</v>
          </cell>
        </row>
        <row r="12">
          <cell r="B12" t="str">
            <v>Compressed Air Controls</v>
          </cell>
          <cell r="C12" t="str">
            <v>Retro</v>
          </cell>
          <cell r="D12" t="str">
            <v>Compressed Air Controls-Retro</v>
          </cell>
          <cell r="E12" t="str">
            <v>kWh per KSF BT</v>
          </cell>
          <cell r="F12" t="str">
            <v>Compressed Air Controls</v>
          </cell>
          <cell r="G12">
            <v>1</v>
          </cell>
          <cell r="H12" t="str">
            <v>Compressed Air Controls</v>
          </cell>
          <cell r="I12" t="str">
            <v>Some</v>
          </cell>
          <cell r="L12" t="str">
            <v>CBSA 2014</v>
          </cell>
          <cell r="Q12" t="str">
            <v>x</v>
          </cell>
          <cell r="R12" t="str">
            <v>N/A</v>
          </cell>
          <cell r="U12" t="str">
            <v>Compressed Air System Controls</v>
          </cell>
        </row>
        <row r="13">
          <cell r="B13" t="str">
            <v>Compressed Air Improvements</v>
          </cell>
          <cell r="C13" t="str">
            <v>Retro</v>
          </cell>
          <cell r="D13" t="str">
            <v>Compressed Air Improvements-Retro</v>
          </cell>
          <cell r="E13" t="str">
            <v>kWh per KSF BT</v>
          </cell>
          <cell r="F13" t="str">
            <v>Compressed Air Improvements</v>
          </cell>
          <cell r="G13">
            <v>1</v>
          </cell>
          <cell r="H13" t="str">
            <v>Compressed Air Improvements</v>
          </cell>
          <cell r="I13" t="str">
            <v>Some</v>
          </cell>
          <cell r="L13" t="str">
            <v>CBSA 2014</v>
          </cell>
          <cell r="Q13" t="str">
            <v>x</v>
          </cell>
          <cell r="R13" t="str">
            <v>N/A</v>
          </cell>
          <cell r="U13" t="str">
            <v>Compressed Air System Improvements</v>
          </cell>
        </row>
        <row r="14">
          <cell r="B14" t="str">
            <v>Network PC Power Management</v>
          </cell>
          <cell r="C14" t="str">
            <v>Retro</v>
          </cell>
          <cell r="D14" t="str">
            <v>Network PC Power Management-Retro</v>
          </cell>
          <cell r="E14" t="str">
            <v>Count</v>
          </cell>
          <cell r="F14" t="str">
            <v>Control of a networked computer's advanced energy management systems</v>
          </cell>
          <cell r="G14">
            <v>1</v>
          </cell>
          <cell r="H14" t="str">
            <v>Network PC Power Management</v>
          </cell>
          <cell r="I14" t="str">
            <v>All</v>
          </cell>
          <cell r="L14" t="str">
            <v>CBSA 2014</v>
          </cell>
          <cell r="R14" t="str">
            <v>N/A</v>
          </cell>
          <cell r="U14" t="str">
            <v>Computer Technologies</v>
          </cell>
        </row>
        <row r="15">
          <cell r="B15" t="str">
            <v>Computer Servers and IT</v>
          </cell>
          <cell r="C15" t="str">
            <v>Retro</v>
          </cell>
          <cell r="D15" t="str">
            <v>Computer Servers and IT-Retro</v>
          </cell>
          <cell r="E15" t="str">
            <v>Count</v>
          </cell>
          <cell r="F15" t="str">
            <v>Consolidation &amp; virtualization &amp; upgrade of servers in embedded server rooms in buildings</v>
          </cell>
          <cell r="G15">
            <v>1</v>
          </cell>
          <cell r="H15" t="str">
            <v>Computer Servers and IT</v>
          </cell>
          <cell r="I15" t="str">
            <v>All</v>
          </cell>
          <cell r="L15" t="str">
            <v>CBSA 2014</v>
          </cell>
          <cell r="R15" t="str">
            <v>N/A</v>
          </cell>
          <cell r="U15" t="str">
            <v>Computer Technologies</v>
          </cell>
        </row>
        <row r="16">
          <cell r="B16" t="str">
            <v>Smart Plug Power Strips</v>
          </cell>
          <cell r="C16" t="str">
            <v>Retro</v>
          </cell>
          <cell r="D16" t="str">
            <v>Smart Plug Power Strips-Retro</v>
          </cell>
          <cell r="E16" t="str">
            <v>Count</v>
          </cell>
          <cell r="F16" t="str">
            <v>Smart Plug Power Strips</v>
          </cell>
          <cell r="G16">
            <v>1</v>
          </cell>
          <cell r="H16" t="str">
            <v>Smart Plug Power Strips</v>
          </cell>
          <cell r="I16" t="str">
            <v>All</v>
          </cell>
          <cell r="L16" t="str">
            <v>CBSA 2014</v>
          </cell>
          <cell r="Q16" t="str">
            <v>x</v>
          </cell>
          <cell r="R16" t="str">
            <v>N/A</v>
          </cell>
          <cell r="U16" t="str">
            <v xml:space="preserve">Plug Load </v>
          </cell>
        </row>
        <row r="17">
          <cell r="B17" t="str">
            <v>Data Centers</v>
          </cell>
          <cell r="C17" t="str">
            <v>Retro</v>
          </cell>
          <cell r="D17" t="str">
            <v>Data Centers-Retro</v>
          </cell>
          <cell r="E17" t="str">
            <v>Count</v>
          </cell>
          <cell r="F17" t="str">
            <v>Data Centers</v>
          </cell>
          <cell r="G17">
            <v>1</v>
          </cell>
          <cell r="H17" t="str">
            <v>Data Centers</v>
          </cell>
          <cell r="I17" t="str">
            <v>All</v>
          </cell>
          <cell r="L17" t="str">
            <v>CBSA 2014</v>
          </cell>
          <cell r="Q17" t="str">
            <v>x</v>
          </cell>
          <cell r="R17" t="str">
            <v>N/A</v>
          </cell>
          <cell r="U17" t="str">
            <v>Computer Technologies</v>
          </cell>
        </row>
        <row r="18">
          <cell r="B18" t="str">
            <v>Commercial Computer Monitor</v>
          </cell>
          <cell r="C18" t="str">
            <v>NR</v>
          </cell>
          <cell r="D18" t="str">
            <v>Commercial Computer Monitor-NR</v>
          </cell>
          <cell r="E18" t="str">
            <v>Count</v>
          </cell>
          <cell r="F18" t="str">
            <v>Commercial Computer Monitor</v>
          </cell>
          <cell r="G18">
            <v>1</v>
          </cell>
          <cell r="H18" t="str">
            <v>Average Commercial Computer Monitor</v>
          </cell>
          <cell r="I18" t="str">
            <v>All</v>
          </cell>
          <cell r="L18" t="str">
            <v>Std Monitor</v>
          </cell>
          <cell r="R18" t="str">
            <v>N/A</v>
          </cell>
          <cell r="U18" t="str">
            <v>Computer Technologies</v>
          </cell>
        </row>
        <row r="19">
          <cell r="B19" t="str">
            <v>Commercial Computer Desktop</v>
          </cell>
          <cell r="C19" t="str">
            <v>NR</v>
          </cell>
          <cell r="D19" t="str">
            <v>Commercial Computer Desktop-NR</v>
          </cell>
          <cell r="E19" t="str">
            <v>Count</v>
          </cell>
          <cell r="F19" t="str">
            <v>Commercial Computer Desktop</v>
          </cell>
          <cell r="G19">
            <v>1</v>
          </cell>
          <cell r="H19" t="str">
            <v>Average Commercial Computer</v>
          </cell>
          <cell r="I19" t="str">
            <v>All</v>
          </cell>
          <cell r="L19" t="str">
            <v>Std Computer</v>
          </cell>
          <cell r="R19" t="str">
            <v>N/A</v>
          </cell>
          <cell r="U19" t="str">
            <v>Computer Technologies</v>
          </cell>
        </row>
        <row r="20">
          <cell r="B20" t="str">
            <v>Pre-Rinse Spray Valve</v>
          </cell>
          <cell r="C20" t="str">
            <v>Retro</v>
          </cell>
          <cell r="D20" t="str">
            <v>Pre-Rinse Spray Valve-Retro</v>
          </cell>
          <cell r="E20" t="str">
            <v>Count</v>
          </cell>
          <cell r="F20" t="str">
            <v>Low-flow pre-rinse spray valves for restaurant kitchens, cafeterias, and food-serving</v>
          </cell>
          <cell r="G20">
            <v>1</v>
          </cell>
          <cell r="H20" t="str">
            <v>Pre-Rinse Spray Valve</v>
          </cell>
          <cell r="I20" t="str">
            <v>Some</v>
          </cell>
          <cell r="L20" t="str">
            <v>CBSA 2014</v>
          </cell>
          <cell r="R20" t="str">
            <v>N/A</v>
          </cell>
          <cell r="U20" t="str">
            <v>Water Using Devices</v>
          </cell>
        </row>
        <row r="21">
          <cell r="B21" t="str">
            <v>Cooking Equipment</v>
          </cell>
          <cell r="C21" t="str">
            <v>NR</v>
          </cell>
          <cell r="D21" t="str">
            <v>Cooking Equipment-NR</v>
          </cell>
          <cell r="E21" t="str">
            <v>Count</v>
          </cell>
          <cell r="F21" t="str">
            <v>Efficient cooking equipment such as hot food holders, steamers and ovens</v>
          </cell>
          <cell r="G21">
            <v>4</v>
          </cell>
          <cell r="H21" t="str">
            <v>Cooking Equipment</v>
          </cell>
          <cell r="I21" t="str">
            <v>All</v>
          </cell>
          <cell r="L21" t="str">
            <v>CBSA 2014</v>
          </cell>
          <cell r="R21" t="str">
            <v>N/A</v>
          </cell>
          <cell r="U21" t="str">
            <v>Cooking</v>
          </cell>
        </row>
        <row r="22">
          <cell r="B22" t="str">
            <v>Premium HVAC Equipment</v>
          </cell>
          <cell r="C22" t="str">
            <v>New</v>
          </cell>
          <cell r="D22" t="str">
            <v>Premium HVAC Equipment-New</v>
          </cell>
          <cell r="E22" t="str">
            <v>kWh per KSF BT</v>
          </cell>
          <cell r="F22" t="str">
            <v>HVAC equipment more efficient than applicable code or standard practice</v>
          </cell>
          <cell r="G22">
            <v>4</v>
          </cell>
          <cell r="H22" t="str">
            <v>Premium HVAC Equipment</v>
          </cell>
          <cell r="I22" t="str">
            <v>All</v>
          </cell>
          <cell r="L22" t="str">
            <v>CBSA 2014</v>
          </cell>
          <cell r="R22" t="str">
            <v>PRE/POST 2006</v>
          </cell>
          <cell r="U22" t="str">
            <v>HVAC System Improvements</v>
          </cell>
        </row>
        <row r="23">
          <cell r="B23" t="str">
            <v>Premium HVAC Equipment</v>
          </cell>
          <cell r="C23" t="str">
            <v>NR</v>
          </cell>
          <cell r="D23" t="str">
            <v>Premium HVAC Equipment-NR</v>
          </cell>
          <cell r="E23" t="str">
            <v>kWh per KSF BT</v>
          </cell>
          <cell r="F23" t="str">
            <v>HVAC equipment more efficient than applicable code or standard practice</v>
          </cell>
          <cell r="G23">
            <v>4</v>
          </cell>
          <cell r="H23" t="str">
            <v>Premium HVAC Equipment</v>
          </cell>
          <cell r="I23" t="str">
            <v>All</v>
          </cell>
          <cell r="L23" t="str">
            <v>CBSA 2014</v>
          </cell>
          <cell r="R23" t="str">
            <v>PRE/POST 2006</v>
          </cell>
          <cell r="U23" t="str">
            <v>HVAC System Improvements</v>
          </cell>
        </row>
        <row r="24">
          <cell r="B24" t="str">
            <v>Glass</v>
          </cell>
          <cell r="C24" t="str">
            <v>New</v>
          </cell>
          <cell r="D24" t="str">
            <v>Glass-New</v>
          </cell>
          <cell r="E24" t="str">
            <v>kWh per KSF BT</v>
          </cell>
          <cell r="F24" t="str">
            <v>Windows and glazing more efficiecnt that code or standard practice</v>
          </cell>
          <cell r="G24">
            <v>39</v>
          </cell>
          <cell r="H24" t="str">
            <v>Windows</v>
          </cell>
          <cell r="I24" t="str">
            <v>All</v>
          </cell>
          <cell r="L24" t="str">
            <v>CBSA 2014</v>
          </cell>
          <cell r="R24" t="str">
            <v>PRE1987/PRE2002/POST2006</v>
          </cell>
          <cell r="U24" t="str">
            <v>Envelope</v>
          </cell>
        </row>
        <row r="25">
          <cell r="B25" t="str">
            <v>Glass</v>
          </cell>
          <cell r="C25" t="str">
            <v>NR</v>
          </cell>
          <cell r="D25" t="str">
            <v>Glass-NR</v>
          </cell>
          <cell r="E25" t="str">
            <v>kWh per KSF BT</v>
          </cell>
          <cell r="F25" t="str">
            <v>Windows and glazing more efficiecnt that code or standard practice</v>
          </cell>
          <cell r="G25">
            <v>39</v>
          </cell>
          <cell r="H25" t="str">
            <v>Windows</v>
          </cell>
          <cell r="I25" t="str">
            <v>All</v>
          </cell>
          <cell r="L25" t="str">
            <v>CBSA 2014</v>
          </cell>
          <cell r="R25" t="str">
            <v>PRE1987/PRE2002/POST2007</v>
          </cell>
          <cell r="U25" t="str">
            <v>Envelope</v>
          </cell>
        </row>
        <row r="26">
          <cell r="B26" t="str">
            <v>Glass</v>
          </cell>
          <cell r="C26" t="str">
            <v>Retro</v>
          </cell>
          <cell r="D26" t="str">
            <v>Glass-Retro</v>
          </cell>
          <cell r="E26" t="str">
            <v>kWh per KSF BT</v>
          </cell>
          <cell r="F26" t="str">
            <v>Windows and glazing more efficiecnt that code or standard practice</v>
          </cell>
          <cell r="G26">
            <v>3</v>
          </cell>
          <cell r="H26" t="str">
            <v>Windows</v>
          </cell>
          <cell r="I26" t="str">
            <v>All</v>
          </cell>
          <cell r="L26" t="str">
            <v>CBSA 2014</v>
          </cell>
          <cell r="R26" t="str">
            <v>PRE1987/PRE2002/POST2008</v>
          </cell>
          <cell r="U26" t="str">
            <v>Envelope</v>
          </cell>
        </row>
        <row r="27">
          <cell r="B27" t="str">
            <v>Advanced Rooftop Controller</v>
          </cell>
          <cell r="C27" t="str">
            <v>New</v>
          </cell>
          <cell r="D27" t="str">
            <v>Advanced Rooftop Controller-New</v>
          </cell>
          <cell r="E27" t="str">
            <v>kWh per KSF BT</v>
          </cell>
          <cell r="F27" t="str">
            <v>Suite of measures and control strategies for buildings served by package roof top HVAC units</v>
          </cell>
          <cell r="G27">
            <v>3</v>
          </cell>
          <cell r="H27" t="str">
            <v>Package Roof Top Optimization and Repair</v>
          </cell>
          <cell r="I27" t="str">
            <v>Most</v>
          </cell>
          <cell r="L27" t="str">
            <v>CBSA 2014</v>
          </cell>
          <cell r="R27" t="str">
            <v>PRE/POST 2006</v>
          </cell>
          <cell r="U27" t="str">
            <v>HVAC System Improvements</v>
          </cell>
        </row>
        <row r="28">
          <cell r="B28" t="str">
            <v>Advanced Rooftop Controller</v>
          </cell>
          <cell r="C28" t="str">
            <v>NR</v>
          </cell>
          <cell r="D28" t="str">
            <v>Advanced Rooftop Controller-NR</v>
          </cell>
          <cell r="E28" t="str">
            <v>kWh per KSF BT</v>
          </cell>
          <cell r="F28" t="str">
            <v>Suite of measures and control strategies for buildings served by package roof top HVAC units</v>
          </cell>
          <cell r="G28">
            <v>2</v>
          </cell>
          <cell r="H28" t="str">
            <v>Package Roof Top Optimization and Repair</v>
          </cell>
          <cell r="I28" t="str">
            <v>Most</v>
          </cell>
          <cell r="L28" t="str">
            <v>CBSA 2014</v>
          </cell>
          <cell r="R28" t="str">
            <v>PRE/POST 2006</v>
          </cell>
          <cell r="U28" t="str">
            <v>HVAC System Improvements</v>
          </cell>
        </row>
        <row r="29">
          <cell r="B29" t="str">
            <v>Advanced Rooftop Controller</v>
          </cell>
          <cell r="C29" t="str">
            <v>Retro</v>
          </cell>
          <cell r="D29" t="str">
            <v>Advanced Rooftop Controller-Retro</v>
          </cell>
          <cell r="E29" t="str">
            <v>kWh per KSF BT</v>
          </cell>
          <cell r="F29" t="str">
            <v>Suite of measures and control strategies for buildings served by package roof top HVAC units</v>
          </cell>
          <cell r="G29">
            <v>3</v>
          </cell>
          <cell r="H29" t="str">
            <v>Package Roof Top Optimization and Repair</v>
          </cell>
          <cell r="I29" t="str">
            <v>Most</v>
          </cell>
          <cell r="L29" t="str">
            <v>CBSA 2014</v>
          </cell>
          <cell r="R29" t="str">
            <v>PRE/POST 2006</v>
          </cell>
          <cell r="U29" t="str">
            <v>HVAC System Improvements</v>
          </cell>
        </row>
        <row r="30">
          <cell r="B30" t="str">
            <v>Variable Speed Chiller</v>
          </cell>
          <cell r="C30" t="str">
            <v>New</v>
          </cell>
          <cell r="D30" t="str">
            <v>Variable Speed Chiller-New</v>
          </cell>
          <cell r="E30" t="str">
            <v>kWh per KSF BT</v>
          </cell>
          <cell r="F30" t="str">
            <v>Variable speed chillers</v>
          </cell>
          <cell r="G30">
            <v>1</v>
          </cell>
          <cell r="H30" t="str">
            <v>Variable Speed Chiller</v>
          </cell>
          <cell r="I30" t="str">
            <v>Some</v>
          </cell>
          <cell r="L30" t="str">
            <v>CBSA 2014</v>
          </cell>
          <cell r="R30" t="str">
            <v>PRE/POST 2006</v>
          </cell>
          <cell r="U30" t="str">
            <v>Envelope</v>
          </cell>
        </row>
        <row r="31">
          <cell r="B31" t="str">
            <v>Variable Speed Chiller</v>
          </cell>
          <cell r="C31" t="str">
            <v>NR</v>
          </cell>
          <cell r="D31" t="str">
            <v>Variable Speed Chiller-NR</v>
          </cell>
          <cell r="E31" t="str">
            <v>kWh per KSF BT</v>
          </cell>
          <cell r="F31" t="str">
            <v>Variable speed chillers</v>
          </cell>
          <cell r="G31">
            <v>1</v>
          </cell>
          <cell r="H31" t="str">
            <v>Variable Speed Chiller</v>
          </cell>
          <cell r="I31" t="str">
            <v>Some</v>
          </cell>
          <cell r="L31" t="str">
            <v>CBSA 2014</v>
          </cell>
          <cell r="R31" t="str">
            <v>PRE/POST 2006</v>
          </cell>
          <cell r="U31" t="str">
            <v>Envelope</v>
          </cell>
        </row>
        <row r="32">
          <cell r="B32" t="str">
            <v>Commercial EM</v>
          </cell>
          <cell r="C32" t="str">
            <v>New</v>
          </cell>
          <cell r="D32" t="str">
            <v>Commercial EM-New</v>
          </cell>
          <cell r="E32" t="str">
            <v>kWh per KSF BT</v>
          </cell>
          <cell r="F32" t="str">
            <v>Commercial Energy Management</v>
          </cell>
          <cell r="G32">
            <v>1</v>
          </cell>
          <cell r="H32" t="str">
            <v>Commercial Energy Management For Complex systems</v>
          </cell>
          <cell r="I32" t="str">
            <v>All</v>
          </cell>
          <cell r="L32" t="str">
            <v>CBSA 2014</v>
          </cell>
          <cell r="R32" t="str">
            <v>PRE/POST 2006</v>
          </cell>
          <cell r="U32" t="str">
            <v>Whole Bldg/Meter Level System Improvements</v>
          </cell>
        </row>
        <row r="33">
          <cell r="B33" t="str">
            <v>Commercial EM</v>
          </cell>
          <cell r="C33" t="str">
            <v>NR</v>
          </cell>
          <cell r="D33" t="str">
            <v>Commercial EM-NR</v>
          </cell>
          <cell r="E33" t="str">
            <v>kWh per KSF BT</v>
          </cell>
          <cell r="F33" t="str">
            <v>Commercial Energy Management</v>
          </cell>
          <cell r="G33">
            <v>1</v>
          </cell>
          <cell r="H33" t="str">
            <v>Commercial Energy Management For Complex systems</v>
          </cell>
          <cell r="I33" t="str">
            <v>All</v>
          </cell>
          <cell r="L33" t="str">
            <v>CBSA 2014</v>
          </cell>
          <cell r="R33" t="str">
            <v>PRE/POST 2006</v>
          </cell>
          <cell r="U33" t="str">
            <v>Whole Bldg/Meter Level System Improvements</v>
          </cell>
        </row>
        <row r="34">
          <cell r="B34" t="str">
            <v>Commercial EM</v>
          </cell>
          <cell r="C34" t="str">
            <v>Retro</v>
          </cell>
          <cell r="D34" t="str">
            <v>Commercial EM-Retro</v>
          </cell>
          <cell r="E34" t="str">
            <v>kWh per KSF BT</v>
          </cell>
          <cell r="F34" t="str">
            <v>Commercial Energy Management</v>
          </cell>
          <cell r="G34">
            <v>20</v>
          </cell>
          <cell r="H34" t="str">
            <v>Commercial Energy Management For Complex systems</v>
          </cell>
          <cell r="I34" t="str">
            <v>All</v>
          </cell>
          <cell r="L34" t="str">
            <v>CBSA 2014</v>
          </cell>
          <cell r="R34" t="str">
            <v>PRE/POST 2006</v>
          </cell>
          <cell r="U34" t="str">
            <v>Whole Bldg/Meter Level System Improvements</v>
          </cell>
        </row>
        <row r="35">
          <cell r="B35" t="str">
            <v>Evaporative Assist Cooling</v>
          </cell>
          <cell r="C35" t="str">
            <v>New</v>
          </cell>
          <cell r="D35" t="str">
            <v>Evaporative Assist Cooling-New</v>
          </cell>
          <cell r="E35" t="str">
            <v>kWh per KSF BT</v>
          </cell>
          <cell r="F35" t="str">
            <v>Evaporative Assist Cooling</v>
          </cell>
          <cell r="G35">
            <v>1</v>
          </cell>
          <cell r="H35" t="str">
            <v>Evaporative Assist Cooling</v>
          </cell>
          <cell r="I35" t="str">
            <v>Some</v>
          </cell>
          <cell r="L35" t="str">
            <v>CBSA 2014</v>
          </cell>
          <cell r="R35" t="str">
            <v>PRE/POST 2006</v>
          </cell>
          <cell r="U35" t="str">
            <v>HVAC System Improvements</v>
          </cell>
        </row>
        <row r="36">
          <cell r="B36" t="str">
            <v>Evaporative Assist Cooling</v>
          </cell>
          <cell r="C36" t="str">
            <v>NR</v>
          </cell>
          <cell r="D36" t="str">
            <v>Evaporative Assist Cooling-NR</v>
          </cell>
          <cell r="E36" t="str">
            <v>kWh per KSF BT</v>
          </cell>
          <cell r="F36" t="str">
            <v>Evaporative Assist Cooling</v>
          </cell>
          <cell r="G36">
            <v>1</v>
          </cell>
          <cell r="H36" t="str">
            <v>Evaporative Assist Cooling</v>
          </cell>
          <cell r="I36" t="str">
            <v>Some</v>
          </cell>
          <cell r="L36" t="str">
            <v>CBSA 2014</v>
          </cell>
          <cell r="R36" t="str">
            <v>PRE/POST 2006</v>
          </cell>
          <cell r="U36" t="str">
            <v>HVAC System Improvements</v>
          </cell>
        </row>
        <row r="37">
          <cell r="B37" t="str">
            <v>Low Pressure Distribution Complex HVAC</v>
          </cell>
          <cell r="C37" t="str">
            <v>New</v>
          </cell>
          <cell r="D37" t="str">
            <v>Low Pressure Distribution Complex HVAC-New</v>
          </cell>
          <cell r="E37" t="str">
            <v>kWh per KSF BT</v>
          </cell>
          <cell r="F37" t="str">
            <v>Dedicated Outside Air or Underfloor Air distribution systems in buildings with complex HVAC systems</v>
          </cell>
          <cell r="G37">
            <v>2</v>
          </cell>
          <cell r="H37" t="str">
            <v>Low Pressure Distribution Complex HVAC</v>
          </cell>
          <cell r="I37" t="str">
            <v>Some</v>
          </cell>
          <cell r="L37" t="str">
            <v>CBSA 2014</v>
          </cell>
          <cell r="R37" t="str">
            <v>POST 2006</v>
          </cell>
          <cell r="U37" t="str">
            <v>HVAC System Improvements</v>
          </cell>
        </row>
        <row r="38">
          <cell r="B38" t="str">
            <v>Demand Control Ventilation</v>
          </cell>
          <cell r="C38" t="str">
            <v>New</v>
          </cell>
          <cell r="D38" t="str">
            <v>Demand Control Ventilation-New</v>
          </cell>
          <cell r="E38" t="str">
            <v>kWh per KSF BT</v>
          </cell>
          <cell r="F38" t="str">
            <v>Fan control strategies, DCV and Fleet Strategy DOAS with heat recovery in simple HVAC systems</v>
          </cell>
          <cell r="G38">
            <v>2</v>
          </cell>
          <cell r="H38" t="str">
            <v>Demand Control Ventilation</v>
          </cell>
          <cell r="I38" t="str">
            <v>All</v>
          </cell>
          <cell r="L38" t="str">
            <v>CBSA 2014</v>
          </cell>
          <cell r="R38" t="str">
            <v>PRE/POST 2006</v>
          </cell>
          <cell r="U38" t="str">
            <v>HVAC System Controls</v>
          </cell>
        </row>
        <row r="39">
          <cell r="B39" t="str">
            <v>Demand Control Ventilation</v>
          </cell>
          <cell r="C39" t="str">
            <v>NR</v>
          </cell>
          <cell r="D39" t="str">
            <v>Demand Control Ventilation-NR</v>
          </cell>
          <cell r="E39" t="str">
            <v>kWh per KSF BT</v>
          </cell>
          <cell r="F39" t="str">
            <v>Fan control strategies, DCV and Fleet Strategy DOAS with heat recovery in simple HVAC systems</v>
          </cell>
          <cell r="G39">
            <v>1</v>
          </cell>
          <cell r="H39" t="str">
            <v>Demand Control Ventilation</v>
          </cell>
          <cell r="I39" t="str">
            <v>All</v>
          </cell>
          <cell r="L39" t="str">
            <v>CBSA 2014</v>
          </cell>
          <cell r="R39" t="str">
            <v>PRE/POST 2006</v>
          </cell>
          <cell r="U39" t="str">
            <v>HVAC System Controls</v>
          </cell>
        </row>
        <row r="40">
          <cell r="B40" t="str">
            <v>Demand Control Ventilation</v>
          </cell>
          <cell r="C40" t="str">
            <v>Retro</v>
          </cell>
          <cell r="D40" t="str">
            <v>Demand Control Ventilation-Retro</v>
          </cell>
          <cell r="E40" t="str">
            <v>kWh per KSF BT</v>
          </cell>
          <cell r="F40" t="str">
            <v>Fan control strategies, DCV and Fleet Strategy DOAS with heat recovery in simple HVAC systems</v>
          </cell>
          <cell r="G40">
            <v>2</v>
          </cell>
          <cell r="H40" t="str">
            <v>Demand Control Ventilation</v>
          </cell>
          <cell r="I40" t="str">
            <v>All</v>
          </cell>
          <cell r="L40" t="str">
            <v>CBSA 2014</v>
          </cell>
          <cell r="R40" t="str">
            <v>PRE/POST 2006</v>
          </cell>
          <cell r="U40" t="str">
            <v>HVAC System Controls</v>
          </cell>
        </row>
        <row r="41">
          <cell r="B41" t="str">
            <v>Premium Fume Hood</v>
          </cell>
          <cell r="C41" t="str">
            <v>New</v>
          </cell>
          <cell r="D41" t="str">
            <v>Premium Fume Hood-New</v>
          </cell>
          <cell r="E41" t="str">
            <v>Count</v>
          </cell>
          <cell r="F41" t="str">
            <v>Effiicient fume hoods in labs</v>
          </cell>
          <cell r="G41">
            <v>1</v>
          </cell>
          <cell r="H41" t="str">
            <v>Premium Fume Hood</v>
          </cell>
          <cell r="I41" t="str">
            <v>Some</v>
          </cell>
          <cell r="L41" t="str">
            <v>CBSA 2014</v>
          </cell>
          <cell r="R41" t="str">
            <v>N/A</v>
          </cell>
          <cell r="U41" t="str">
            <v>Pumps and Fans</v>
          </cell>
        </row>
        <row r="42">
          <cell r="B42" t="str">
            <v>DCV Restaurant Hood</v>
          </cell>
          <cell r="C42" t="str">
            <v>Retro</v>
          </cell>
          <cell r="D42" t="str">
            <v>DCV Restaurant Hood-Retro</v>
          </cell>
          <cell r="E42" t="str">
            <v>Count</v>
          </cell>
          <cell r="F42" t="str">
            <v>Demand control ventilation systems for large restaurant hoods</v>
          </cell>
          <cell r="G42">
            <v>1</v>
          </cell>
          <cell r="H42" t="str">
            <v>DCV Restaurant Hood</v>
          </cell>
          <cell r="I42" t="str">
            <v>Restaurant</v>
          </cell>
          <cell r="L42" t="str">
            <v>CBSA 2014</v>
          </cell>
          <cell r="R42" t="str">
            <v>N/A</v>
          </cell>
          <cell r="U42" t="str">
            <v>Pumps and Fans</v>
          </cell>
        </row>
        <row r="43">
          <cell r="B43" t="str">
            <v>DCV Parking Garage</v>
          </cell>
          <cell r="C43" t="str">
            <v>Retro</v>
          </cell>
          <cell r="D43" t="str">
            <v>DCV Parking Garage-Retro</v>
          </cell>
          <cell r="E43" t="str">
            <v>kWh per kSF BT</v>
          </cell>
          <cell r="F43" t="str">
            <v>Demand control ventilation systems for parking garages</v>
          </cell>
          <cell r="G43">
            <v>1</v>
          </cell>
          <cell r="H43" t="str">
            <v>DCV Parking Garage</v>
          </cell>
          <cell r="I43" t="str">
            <v>All</v>
          </cell>
          <cell r="L43" t="str">
            <v>CBSA 2014</v>
          </cell>
          <cell r="Q43" t="str">
            <v>x</v>
          </cell>
          <cell r="R43" t="str">
            <v>N/A</v>
          </cell>
          <cell r="U43" t="str">
            <v>Pumps and Fans</v>
          </cell>
        </row>
        <row r="44">
          <cell r="B44" t="str">
            <v>Weatherization - School</v>
          </cell>
          <cell r="C44" t="str">
            <v>Retro</v>
          </cell>
          <cell r="D44" t="str">
            <v>Weatherization - School-Retro</v>
          </cell>
          <cell r="E44" t="str">
            <v>kWh per KSF BT</v>
          </cell>
          <cell r="F44" t="str">
            <v>School building weatherization</v>
          </cell>
          <cell r="G44">
            <v>1</v>
          </cell>
          <cell r="H44" t="str">
            <v>Weatherization - School</v>
          </cell>
          <cell r="I44" t="str">
            <v>K-12</v>
          </cell>
          <cell r="L44" t="str">
            <v>CBSA 2014</v>
          </cell>
          <cell r="Q44" t="str">
            <v>x</v>
          </cell>
          <cell r="R44" t="str">
            <v>N/A</v>
          </cell>
          <cell r="U44" t="str">
            <v>Envelope</v>
          </cell>
        </row>
        <row r="45">
          <cell r="B45" t="str">
            <v>Energy Recovery Ventilator</v>
          </cell>
          <cell r="C45" t="str">
            <v>NR</v>
          </cell>
          <cell r="D45" t="str">
            <v>Energy Recovery Ventilator-NR</v>
          </cell>
          <cell r="E45" t="str">
            <v>Count</v>
          </cell>
          <cell r="F45" t="str">
            <v>Energy Recovery Ventilator</v>
          </cell>
          <cell r="G45">
            <v>1</v>
          </cell>
          <cell r="H45" t="str">
            <v>Energy Recovery Ventilator</v>
          </cell>
          <cell r="I45" t="str">
            <v>All</v>
          </cell>
          <cell r="L45" t="str">
            <v>CBSA 2014</v>
          </cell>
          <cell r="Q45" t="str">
            <v>x</v>
          </cell>
          <cell r="R45" t="str">
            <v>N/A</v>
          </cell>
          <cell r="U45" t="str">
            <v>Heat Recovery</v>
          </cell>
        </row>
        <row r="46">
          <cell r="B46" t="str">
            <v>AC Heat Recovery for Water Heating</v>
          </cell>
          <cell r="C46" t="str">
            <v>NR</v>
          </cell>
          <cell r="D46" t="str">
            <v>AC Heat Recovery for Water Heating-NR</v>
          </cell>
          <cell r="E46" t="str">
            <v>Count</v>
          </cell>
          <cell r="F46" t="str">
            <v>AC Heat Recovery for Water Heating</v>
          </cell>
          <cell r="G46">
            <v>1</v>
          </cell>
          <cell r="H46" t="str">
            <v>AC Heat Recovery for Water Heating</v>
          </cell>
          <cell r="I46" t="str">
            <v>All</v>
          </cell>
          <cell r="L46" t="str">
            <v>CBSA 2014</v>
          </cell>
          <cell r="Q46" t="str">
            <v>x</v>
          </cell>
          <cell r="R46" t="str">
            <v>N/A</v>
          </cell>
          <cell r="U46" t="str">
            <v>Heat Recovery</v>
          </cell>
        </row>
        <row r="47">
          <cell r="B47" t="str">
            <v>Room Occupancy Sensors in Lodging</v>
          </cell>
          <cell r="C47" t="str">
            <v>Retro</v>
          </cell>
          <cell r="D47" t="str">
            <v>Room Occupancy Sensors in Lodging-Retro</v>
          </cell>
          <cell r="E47" t="str">
            <v>Count</v>
          </cell>
          <cell r="F47" t="str">
            <v>Room Occupancy Sensors in Lodging</v>
          </cell>
          <cell r="G47">
            <v>1</v>
          </cell>
          <cell r="H47" t="str">
            <v>Room Occupancy Sensors in Lodging</v>
          </cell>
          <cell r="I47" t="str">
            <v>Lodging</v>
          </cell>
          <cell r="L47" t="str">
            <v>CBSA 2014</v>
          </cell>
          <cell r="Q47" t="str">
            <v>x</v>
          </cell>
          <cell r="R47" t="str">
            <v>N/A</v>
          </cell>
          <cell r="U47" t="str">
            <v>Whole Bldg/Meter Level System Improvements</v>
          </cell>
        </row>
        <row r="48">
          <cell r="B48" t="str">
            <v>Chiller - chilled water retrofit</v>
          </cell>
          <cell r="C48" t="str">
            <v>Retro</v>
          </cell>
          <cell r="D48" t="str">
            <v>Chiller - chilled water retrofit-Retro</v>
          </cell>
          <cell r="E48" t="str">
            <v>kWh per KSF BT</v>
          </cell>
          <cell r="F48" t="str">
            <v>Chiller system improvements</v>
          </cell>
          <cell r="G48">
            <v>1</v>
          </cell>
          <cell r="H48" t="str">
            <v>Chiller - chilled water retrofit</v>
          </cell>
          <cell r="I48" t="str">
            <v>Some</v>
          </cell>
          <cell r="L48" t="str">
            <v>CBSA 2014</v>
          </cell>
          <cell r="Q48" t="str">
            <v>x</v>
          </cell>
          <cell r="R48" t="str">
            <v>N/A</v>
          </cell>
          <cell r="U48" t="str">
            <v>HVAC System Improvements</v>
          </cell>
        </row>
        <row r="49">
          <cell r="B49" t="str">
            <v>Chiller - equip retrofits</v>
          </cell>
          <cell r="C49" t="str">
            <v>Retro</v>
          </cell>
          <cell r="D49" t="str">
            <v>Chiller - equip retrofits-Retro</v>
          </cell>
          <cell r="E49" t="str">
            <v>kWh per KSF BT</v>
          </cell>
          <cell r="F49" t="str">
            <v>Chiller equipment improvements</v>
          </cell>
          <cell r="G49">
            <v>1</v>
          </cell>
          <cell r="H49" t="str">
            <v>Chiller - equip retrofits</v>
          </cell>
          <cell r="I49" t="str">
            <v>Some</v>
          </cell>
          <cell r="L49" t="str">
            <v>CBSA 2014</v>
          </cell>
          <cell r="Q49" t="str">
            <v>x</v>
          </cell>
          <cell r="R49" t="str">
            <v>N/A</v>
          </cell>
          <cell r="U49" t="str">
            <v>HVAC System Improvements</v>
          </cell>
        </row>
        <row r="50">
          <cell r="B50" t="str">
            <v>Pool Blankets</v>
          </cell>
          <cell r="C50" t="str">
            <v>Retro</v>
          </cell>
          <cell r="D50" t="str">
            <v>Pool Blankets-Retro</v>
          </cell>
          <cell r="E50" t="str">
            <v>Count</v>
          </cell>
          <cell r="F50" t="str">
            <v>Pool Blankets</v>
          </cell>
          <cell r="G50">
            <v>1</v>
          </cell>
          <cell r="H50" t="str">
            <v>Pool Blankets</v>
          </cell>
          <cell r="I50" t="str">
            <v>Some</v>
          </cell>
          <cell r="L50" t="str">
            <v>CBSA 2014</v>
          </cell>
          <cell r="Q50" t="str">
            <v>x</v>
          </cell>
          <cell r="R50" t="str">
            <v>N/A</v>
          </cell>
          <cell r="U50" t="str">
            <v>Pool System Improvements</v>
          </cell>
        </row>
        <row r="51">
          <cell r="B51" t="str">
            <v>Web-Enabled Thermostats</v>
          </cell>
          <cell r="C51" t="str">
            <v>Retro</v>
          </cell>
          <cell r="D51" t="str">
            <v>Web-Enabled Thermostats-Retro</v>
          </cell>
          <cell r="E51" t="str">
            <v>kWh per KSF BT</v>
          </cell>
          <cell r="F51" t="str">
            <v>Web-Enabled Thermostats</v>
          </cell>
          <cell r="G51">
            <v>1</v>
          </cell>
          <cell r="H51" t="str">
            <v>Web-Enabled Thermostats</v>
          </cell>
          <cell r="I51" t="str">
            <v>Some</v>
          </cell>
          <cell r="L51" t="str">
            <v>CBSA 2014</v>
          </cell>
          <cell r="Q51" t="str">
            <v>x</v>
          </cell>
          <cell r="R51" t="str">
            <v>N/A</v>
          </cell>
          <cell r="U51" t="str">
            <v>HVAC System Controls</v>
          </cell>
        </row>
        <row r="52">
          <cell r="B52" t="str">
            <v>Garage CO2 ventilation</v>
          </cell>
          <cell r="C52" t="str">
            <v>Retro</v>
          </cell>
          <cell r="D52" t="str">
            <v>Garage CO2 ventilation-Retro</v>
          </cell>
          <cell r="E52" t="str">
            <v>Count</v>
          </cell>
          <cell r="F52" t="str">
            <v>Garage CO2 ventilation</v>
          </cell>
          <cell r="G52">
            <v>1</v>
          </cell>
          <cell r="H52" t="str">
            <v>Garage CO2 ventilation</v>
          </cell>
          <cell r="I52" t="str">
            <v>Some</v>
          </cell>
          <cell r="L52" t="str">
            <v>CBSA 2014</v>
          </cell>
          <cell r="Q52" t="str">
            <v>x</v>
          </cell>
          <cell r="R52" t="str">
            <v>N/A</v>
          </cell>
          <cell r="U52" t="str">
            <v>HVAC System Controls</v>
          </cell>
        </row>
        <row r="53">
          <cell r="B53" t="str">
            <v>Circ Pump ECM and drive</v>
          </cell>
          <cell r="C53" t="str">
            <v>Retro</v>
          </cell>
          <cell r="D53" t="str">
            <v>Circ Pump ECM and drive-Retro</v>
          </cell>
          <cell r="E53" t="str">
            <v>Count</v>
          </cell>
          <cell r="F53" t="str">
            <v>Circulation Pump ECM and drive</v>
          </cell>
          <cell r="G53">
            <v>1</v>
          </cell>
          <cell r="H53" t="str">
            <v>Circ Pump ECM and drive</v>
          </cell>
          <cell r="I53" t="str">
            <v>Some</v>
          </cell>
          <cell r="L53" t="str">
            <v>CBSA 2014</v>
          </cell>
          <cell r="Q53" t="str">
            <v>x</v>
          </cell>
          <cell r="R53" t="str">
            <v>N/A</v>
          </cell>
          <cell r="U53" t="str">
            <v>Pumps and Fans</v>
          </cell>
        </row>
        <row r="54">
          <cell r="B54" t="str">
            <v>VRF</v>
          </cell>
          <cell r="C54" t="str">
            <v>New</v>
          </cell>
          <cell r="D54" t="str">
            <v>VRF-New</v>
          </cell>
          <cell r="E54" t="str">
            <v>kWh per KSF BT</v>
          </cell>
          <cell r="F54" t="str">
            <v>Variable Refrigerant Flow</v>
          </cell>
          <cell r="G54">
            <v>1</v>
          </cell>
          <cell r="H54" t="str">
            <v>Variable Refrigerant Flow</v>
          </cell>
          <cell r="I54" t="str">
            <v>Some</v>
          </cell>
          <cell r="L54" t="str">
            <v>CBSA 2014</v>
          </cell>
          <cell r="Q54" t="str">
            <v>x</v>
          </cell>
          <cell r="U54" t="str">
            <v>HVAC System Improvements</v>
          </cell>
        </row>
        <row r="55">
          <cell r="B55" t="str">
            <v>Cool Roofs</v>
          </cell>
          <cell r="C55" t="str">
            <v>Retro</v>
          </cell>
          <cell r="D55" t="str">
            <v>Cool Roofs-Retro</v>
          </cell>
          <cell r="E55" t="str">
            <v>kWh per KSF BT</v>
          </cell>
          <cell r="F55" t="str">
            <v>Cool Roofs</v>
          </cell>
          <cell r="G55">
            <v>1</v>
          </cell>
          <cell r="H55" t="str">
            <v>Cool Roofs</v>
          </cell>
          <cell r="I55" t="str">
            <v>All</v>
          </cell>
          <cell r="L55" t="str">
            <v>CBSA 2014</v>
          </cell>
          <cell r="Q55" t="str">
            <v>x</v>
          </cell>
          <cell r="R55" t="str">
            <v>N/A</v>
          </cell>
          <cell r="U55" t="str">
            <v>Envelope</v>
          </cell>
        </row>
        <row r="56">
          <cell r="B56" t="str">
            <v>Evaporator Roof Top HVAC</v>
          </cell>
          <cell r="C56" t="str">
            <v>Retro</v>
          </cell>
          <cell r="D56" t="str">
            <v>Evaporator Roof Top HVAC-Retro</v>
          </cell>
          <cell r="E56" t="str">
            <v>kWh per KSF BT</v>
          </cell>
          <cell r="F56" t="str">
            <v>Evaporator Roof Top HVAC</v>
          </cell>
          <cell r="G56">
            <v>1</v>
          </cell>
          <cell r="H56" t="str">
            <v>Evaporator Roof Top HVAC</v>
          </cell>
          <cell r="I56" t="str">
            <v>Some</v>
          </cell>
          <cell r="L56" t="str">
            <v>CBSA 2014</v>
          </cell>
          <cell r="Q56" t="str">
            <v>x</v>
          </cell>
          <cell r="R56" t="str">
            <v>N/A</v>
          </cell>
          <cell r="U56" t="str">
            <v>HVAC System Improvements</v>
          </cell>
        </row>
        <row r="57">
          <cell r="B57" t="str">
            <v>Secondary Glazing Systems</v>
          </cell>
          <cell r="C57" t="str">
            <v>Retro</v>
          </cell>
          <cell r="D57" t="str">
            <v>Secondary Glazing Systems-Retro</v>
          </cell>
          <cell r="E57" t="str">
            <v>kWh per KSF BT</v>
          </cell>
          <cell r="F57" t="str">
            <v>Secondary Glazing Systems</v>
          </cell>
          <cell r="G57">
            <v>1</v>
          </cell>
          <cell r="H57" t="str">
            <v>Secondary Glazing Systems</v>
          </cell>
          <cell r="I57" t="str">
            <v>All</v>
          </cell>
          <cell r="L57" t="str">
            <v>CBSA 2014</v>
          </cell>
          <cell r="Q57" t="str">
            <v>x</v>
          </cell>
          <cell r="R57" t="str">
            <v>N/A</v>
          </cell>
          <cell r="U57" t="str">
            <v>Envelope</v>
          </cell>
        </row>
        <row r="58">
          <cell r="B58" t="str">
            <v>LPD Package</v>
          </cell>
          <cell r="C58" t="str">
            <v>New</v>
          </cell>
          <cell r="D58" t="str">
            <v>LPD Package-New</v>
          </cell>
          <cell r="E58" t="str">
            <v>kWh per KSF BT</v>
          </cell>
          <cell r="F58" t="str">
            <v>Lamp, ballast and fixture improvements to lighting power density</v>
          </cell>
          <cell r="G58">
            <v>18</v>
          </cell>
          <cell r="H58" t="str">
            <v>Lighting Power Density</v>
          </cell>
          <cell r="I58" t="str">
            <v>All</v>
          </cell>
          <cell r="L58" t="str">
            <v>CBSA 2014</v>
          </cell>
          <cell r="R58" t="str">
            <v>PRE/POST 2006</v>
          </cell>
          <cell r="U58" t="str">
            <v>Lamps/Ballasts/Fixtures</v>
          </cell>
        </row>
        <row r="59">
          <cell r="B59" t="str">
            <v>LPD Package</v>
          </cell>
          <cell r="C59" t="str">
            <v>NR</v>
          </cell>
          <cell r="D59" t="str">
            <v>LPD Package-NR</v>
          </cell>
          <cell r="E59" t="str">
            <v>kWh per KSF BT</v>
          </cell>
          <cell r="F59" t="str">
            <v>Lamp, ballast and fixture improvements to lighting power density</v>
          </cell>
          <cell r="G59">
            <v>18</v>
          </cell>
          <cell r="H59" t="str">
            <v>Lighting Power Density</v>
          </cell>
          <cell r="I59" t="str">
            <v>All</v>
          </cell>
          <cell r="L59" t="str">
            <v>CBSA 2014</v>
          </cell>
          <cell r="R59" t="str">
            <v>PRE/POST 2006</v>
          </cell>
          <cell r="U59" t="str">
            <v>Lamps/Ballasts/Fixtures</v>
          </cell>
        </row>
        <row r="60">
          <cell r="B60" t="str">
            <v>LPD Package</v>
          </cell>
          <cell r="C60" t="str">
            <v>Retro</v>
          </cell>
          <cell r="D60" t="str">
            <v>LPD Package-Retro</v>
          </cell>
          <cell r="E60" t="str">
            <v>kWh per KSF BT</v>
          </cell>
          <cell r="F60" t="str">
            <v>Lamp, ballast and fixture improvements to lighting power density</v>
          </cell>
          <cell r="G60">
            <v>18</v>
          </cell>
          <cell r="H60" t="str">
            <v>Lighting Power Density</v>
          </cell>
          <cell r="I60" t="str">
            <v>All</v>
          </cell>
          <cell r="L60" t="str">
            <v>CBSA 2014</v>
          </cell>
          <cell r="R60" t="str">
            <v>PRE/POST 2006</v>
          </cell>
          <cell r="U60" t="str">
            <v>Lamps/Ballasts/Fixtures</v>
          </cell>
        </row>
        <row r="61">
          <cell r="B61" t="str">
            <v>Top Daylighting</v>
          </cell>
          <cell r="C61" t="str">
            <v>New</v>
          </cell>
          <cell r="D61" t="str">
            <v>Top Daylighting-New</v>
          </cell>
          <cell r="E61" t="str">
            <v>kWh per KSF BT</v>
          </cell>
          <cell r="F61" t="str">
            <v>Skylights with lighting controls</v>
          </cell>
          <cell r="G61">
            <v>6</v>
          </cell>
          <cell r="H61" t="str">
            <v>Daylighting with Skylights</v>
          </cell>
          <cell r="I61" t="str">
            <v>All</v>
          </cell>
          <cell r="L61" t="str">
            <v>CBSA 2014</v>
          </cell>
          <cell r="R61" t="str">
            <v>POST 2006</v>
          </cell>
          <cell r="U61" t="str">
            <v>Whole Bldg/Meter Level System Improvements</v>
          </cell>
        </row>
        <row r="62">
          <cell r="B62" t="str">
            <v>Perimeter Daylighting Controls Advanced</v>
          </cell>
          <cell r="C62" t="str">
            <v>New</v>
          </cell>
          <cell r="D62" t="str">
            <v>Perimeter Daylighting Controls Advanced-New</v>
          </cell>
          <cell r="E62" t="str">
            <v>kWh per KSF BT</v>
          </cell>
          <cell r="F62" t="str">
            <v>Perimeter daylighting controls</v>
          </cell>
          <cell r="G62">
            <v>6</v>
          </cell>
          <cell r="H62" t="str">
            <v>Daylighting with Windows</v>
          </cell>
          <cell r="I62" t="str">
            <v>All</v>
          </cell>
          <cell r="L62" t="str">
            <v>CBSA 2014</v>
          </cell>
          <cell r="R62" t="str">
            <v>PRE/POST 2006</v>
          </cell>
          <cell r="U62" t="str">
            <v>Whole Bldg/Meter Level System Improvements</v>
          </cell>
        </row>
        <row r="63">
          <cell r="B63" t="str">
            <v>Perimeter Daylighting Controls Advanced</v>
          </cell>
          <cell r="C63" t="str">
            <v>NR</v>
          </cell>
          <cell r="D63" t="str">
            <v>Perimeter Daylighting Controls Advanced-NR</v>
          </cell>
          <cell r="E63" t="str">
            <v>kWh per KSF BT</v>
          </cell>
          <cell r="F63" t="str">
            <v>Perimeter daylighting controls</v>
          </cell>
          <cell r="G63">
            <v>6</v>
          </cell>
          <cell r="H63" t="str">
            <v>Daylighting with Windows</v>
          </cell>
          <cell r="I63" t="str">
            <v>All</v>
          </cell>
          <cell r="L63" t="str">
            <v>CBSA 2014</v>
          </cell>
          <cell r="R63" t="str">
            <v>PRE/POST 2006</v>
          </cell>
          <cell r="U63" t="str">
            <v>Whole Bldg/Meter Level System Improvements</v>
          </cell>
        </row>
        <row r="64">
          <cell r="B64" t="str">
            <v>Lighting Controls Interior</v>
          </cell>
          <cell r="C64" t="str">
            <v>New</v>
          </cell>
          <cell r="D64" t="str">
            <v>Lighting Controls Interior-New</v>
          </cell>
          <cell r="E64" t="str">
            <v>kWh per KSF BT</v>
          </cell>
          <cell r="F64" t="str">
            <v>Occupancy controls for lighting areas not required by code such as warehouse aisle, classrooms</v>
          </cell>
          <cell r="G64">
            <v>6</v>
          </cell>
          <cell r="H64" t="str">
            <v>Lighting Controls Interior</v>
          </cell>
          <cell r="I64" t="str">
            <v>All</v>
          </cell>
          <cell r="L64" t="str">
            <v>CBSA 2014</v>
          </cell>
          <cell r="R64" t="str">
            <v>PRE/POST 2006</v>
          </cell>
          <cell r="U64" t="str">
            <v>Lighting Controls</v>
          </cell>
        </row>
        <row r="65">
          <cell r="B65" t="str">
            <v>Lighting Controls Interior</v>
          </cell>
          <cell r="C65" t="str">
            <v>NR</v>
          </cell>
          <cell r="D65" t="str">
            <v>Lighting Controls Interior-NR</v>
          </cell>
          <cell r="E65" t="str">
            <v>kWh per KSF BT</v>
          </cell>
          <cell r="F65" t="str">
            <v>Occupancy controls for lighting areas not required by code such as warehouse aisle, classrooms</v>
          </cell>
          <cell r="G65">
            <v>6</v>
          </cell>
          <cell r="H65" t="str">
            <v>Lighting Controls Interior</v>
          </cell>
          <cell r="I65" t="str">
            <v>All</v>
          </cell>
          <cell r="L65" t="str">
            <v>CBSA 2014</v>
          </cell>
          <cell r="R65" t="str">
            <v>PRE/POST 2006</v>
          </cell>
          <cell r="U65" t="str">
            <v>Lighting Controls</v>
          </cell>
        </row>
        <row r="66">
          <cell r="B66" t="str">
            <v>Exterior Building Lighting</v>
          </cell>
          <cell r="C66" t="str">
            <v>New</v>
          </cell>
          <cell r="D66" t="str">
            <v>Exterior Building Lighting-New</v>
          </cell>
          <cell r="E66" t="str">
            <v>kWh per KSF BT</v>
          </cell>
          <cell r="F66" t="str">
            <v>Effiicient façade, walkway, area and decorative exterior lighting, such as LED</v>
          </cell>
          <cell r="G66">
            <v>4</v>
          </cell>
          <cell r="H66" t="str">
            <v>Exterior Building Lighting</v>
          </cell>
          <cell r="I66" t="str">
            <v>All</v>
          </cell>
          <cell r="L66" t="str">
            <v>CBSA 2014</v>
          </cell>
          <cell r="U66" t="str">
            <v>Lamps/Ballasts/Fixtures</v>
          </cell>
        </row>
        <row r="67">
          <cell r="B67" t="str">
            <v>Exterior Building Lighting</v>
          </cell>
          <cell r="C67" t="str">
            <v>NR</v>
          </cell>
          <cell r="D67" t="str">
            <v>Exterior Building Lighting-NR</v>
          </cell>
          <cell r="E67" t="str">
            <v>kWh per KSF BT</v>
          </cell>
          <cell r="F67" t="str">
            <v>Effiicient façade, walkway, area and decorative exterior lighting, such as LED</v>
          </cell>
          <cell r="G67">
            <v>4</v>
          </cell>
          <cell r="H67" t="str">
            <v>Exterior Building Lighting</v>
          </cell>
          <cell r="I67" t="str">
            <v>All</v>
          </cell>
          <cell r="L67" t="str">
            <v>CBSA 2014</v>
          </cell>
          <cell r="R67" t="str">
            <v>N/A</v>
          </cell>
          <cell r="U67" t="str">
            <v>Lamps/Ballasts/Fixtures</v>
          </cell>
        </row>
        <row r="68">
          <cell r="B68" t="str">
            <v>Street and Roadway Lighting</v>
          </cell>
          <cell r="C68" t="str">
            <v>New</v>
          </cell>
          <cell r="D68" t="str">
            <v>Street and Roadway Lighting-New</v>
          </cell>
          <cell r="E68" t="str">
            <v>Count</v>
          </cell>
          <cell r="F68" t="str">
            <v>Efficient street and roadway lighting, LED and induction</v>
          </cell>
          <cell r="G68">
            <v>6</v>
          </cell>
          <cell r="H68" t="str">
            <v>Street and Roadway Lighting</v>
          </cell>
          <cell r="I68" t="str">
            <v>Non-Building</v>
          </cell>
          <cell r="L68" t="str">
            <v>Navigant 2014</v>
          </cell>
          <cell r="U68" t="str">
            <v>Lamps/Ballasts/Fixtures</v>
          </cell>
        </row>
        <row r="69">
          <cell r="B69" t="str">
            <v>Street and Roadway Lighting</v>
          </cell>
          <cell r="C69" t="str">
            <v>NR</v>
          </cell>
          <cell r="D69" t="str">
            <v>Street and Roadway Lighting-NR</v>
          </cell>
          <cell r="E69" t="str">
            <v>Count</v>
          </cell>
          <cell r="F69" t="str">
            <v>Efficient street and roadway lighting, LED and induction</v>
          </cell>
          <cell r="G69">
            <v>6</v>
          </cell>
          <cell r="H69" t="str">
            <v>Street and Roadway Lighting</v>
          </cell>
          <cell r="I69" t="str">
            <v>Non-Building</v>
          </cell>
          <cell r="L69" t="str">
            <v>Survey 2014</v>
          </cell>
          <cell r="R69" t="str">
            <v>N/A</v>
          </cell>
          <cell r="U69" t="str">
            <v>Lamps/Ballasts/Fixtures</v>
          </cell>
        </row>
        <row r="70">
          <cell r="B70" t="str">
            <v>Parking Lighting</v>
          </cell>
          <cell r="C70" t="str">
            <v>New</v>
          </cell>
          <cell r="D70" t="str">
            <v>Parking Lighting-New</v>
          </cell>
          <cell r="E70" t="str">
            <v>kWh per KSF BT</v>
          </cell>
          <cell r="F70" t="str">
            <v>Efficient parking lot and garage lighting and controls</v>
          </cell>
          <cell r="G70">
            <v>2</v>
          </cell>
          <cell r="H70" t="str">
            <v>Parking Lighting</v>
          </cell>
          <cell r="I70" t="str">
            <v>All</v>
          </cell>
          <cell r="L70" t="str">
            <v>CBSA 2014</v>
          </cell>
          <cell r="U70" t="str">
            <v>Lamps/Ballasts/Fixtures</v>
          </cell>
        </row>
        <row r="71">
          <cell r="B71" t="str">
            <v>Parking Lighting</v>
          </cell>
          <cell r="C71" t="str">
            <v>NR</v>
          </cell>
          <cell r="D71" t="str">
            <v>Parking Lighting-NR</v>
          </cell>
          <cell r="E71" t="str">
            <v>kWh per KSF BT</v>
          </cell>
          <cell r="F71" t="str">
            <v>Efficient parking lot and garage lighting and controls</v>
          </cell>
          <cell r="G71">
            <v>2</v>
          </cell>
          <cell r="H71" t="str">
            <v>Parking Lighting</v>
          </cell>
          <cell r="I71" t="str">
            <v>All</v>
          </cell>
          <cell r="L71" t="str">
            <v>CBSA 2014</v>
          </cell>
          <cell r="R71" t="str">
            <v>N/A</v>
          </cell>
          <cell r="U71" t="str">
            <v>Lamps/Ballasts/Fixtures</v>
          </cell>
        </row>
        <row r="72">
          <cell r="B72" t="str">
            <v>Luminaire Level Lighting Controls</v>
          </cell>
          <cell r="C72" t="str">
            <v>Retro</v>
          </cell>
          <cell r="D72" t="str">
            <v>Luminaire Level Lighting Controls-Retro</v>
          </cell>
          <cell r="E72" t="str">
            <v>kWh per KSF BT</v>
          </cell>
          <cell r="F72" t="str">
            <v>Luminaire Level Lighting Controls</v>
          </cell>
          <cell r="G72">
            <v>1</v>
          </cell>
          <cell r="H72" t="str">
            <v>Luminaire Level Lighting Controls</v>
          </cell>
          <cell r="I72" t="str">
            <v>All</v>
          </cell>
          <cell r="L72" t="str">
            <v>CBSA 2014</v>
          </cell>
          <cell r="Q72" t="str">
            <v>x</v>
          </cell>
          <cell r="R72" t="str">
            <v>N/A</v>
          </cell>
          <cell r="U72" t="str">
            <v>Lighting Controls</v>
          </cell>
        </row>
        <row r="73">
          <cell r="B73" t="str">
            <v>ECM on VAV Boxes</v>
          </cell>
          <cell r="C73" t="str">
            <v>New</v>
          </cell>
          <cell r="D73" t="str">
            <v>ECM on VAV Boxes-New</v>
          </cell>
          <cell r="E73" t="str">
            <v>kWh per KSF BT</v>
          </cell>
          <cell r="F73" t="str">
            <v>Electically Commutated Motors on Variable Air Volume Boxes</v>
          </cell>
          <cell r="G73">
            <v>1</v>
          </cell>
          <cell r="H73" t="str">
            <v>ECM Motors on Variable Air Volume Boxes</v>
          </cell>
          <cell r="I73" t="str">
            <v>All</v>
          </cell>
          <cell r="L73" t="str">
            <v>CBSA 2014</v>
          </cell>
          <cell r="R73" t="str">
            <v>PRE/POST 2006</v>
          </cell>
          <cell r="U73" t="str">
            <v>Motors</v>
          </cell>
        </row>
        <row r="74">
          <cell r="B74" t="str">
            <v>ECM on VAV Boxes</v>
          </cell>
          <cell r="C74" t="str">
            <v>NR</v>
          </cell>
          <cell r="D74" t="str">
            <v>ECM on VAV Boxes-NR</v>
          </cell>
          <cell r="E74" t="str">
            <v>kWh per KSF BT</v>
          </cell>
          <cell r="F74" t="str">
            <v>Electically Commutated Motors on Variable Air Volume Boxes</v>
          </cell>
          <cell r="G74">
            <v>1</v>
          </cell>
          <cell r="H74" t="str">
            <v>ECM Motors on Variable Air Volume Boxes</v>
          </cell>
          <cell r="I74" t="str">
            <v>All</v>
          </cell>
          <cell r="L74" t="str">
            <v>CBSA 2014</v>
          </cell>
          <cell r="R74" t="str">
            <v>PRE/POST 2006</v>
          </cell>
          <cell r="U74" t="str">
            <v>Motors</v>
          </cell>
        </row>
        <row r="75">
          <cell r="B75" t="str">
            <v>Pool pumps</v>
          </cell>
          <cell r="C75" t="str">
            <v>Retro</v>
          </cell>
          <cell r="D75" t="str">
            <v>Pool pumps-Retro</v>
          </cell>
          <cell r="E75" t="str">
            <v>Count</v>
          </cell>
          <cell r="F75" t="str">
            <v>Pool pumps</v>
          </cell>
          <cell r="G75">
            <v>1</v>
          </cell>
          <cell r="H75" t="str">
            <v>Pool pumps</v>
          </cell>
          <cell r="I75" t="str">
            <v>Some</v>
          </cell>
          <cell r="L75" t="str">
            <v>CBSA 2014</v>
          </cell>
          <cell r="Q75" t="str">
            <v>x</v>
          </cell>
          <cell r="R75" t="str">
            <v>N/A</v>
          </cell>
          <cell r="U75" t="str">
            <v>Pool System Improvements</v>
          </cell>
        </row>
        <row r="76">
          <cell r="B76" t="str">
            <v>Switched Reluctance/Permanent Magnet Motors</v>
          </cell>
          <cell r="C76" t="str">
            <v>Retro</v>
          </cell>
          <cell r="D76" t="str">
            <v>Switched Reluctance/Permanent Magnet Motors-Retro</v>
          </cell>
          <cell r="E76" t="str">
            <v>Count</v>
          </cell>
          <cell r="F76" t="str">
            <v>Switched Reluctance/Permanent Magnet Motors</v>
          </cell>
          <cell r="G76">
            <v>1</v>
          </cell>
          <cell r="H76" t="str">
            <v>Switched Reluctance/Permanent Magnet Motors</v>
          </cell>
          <cell r="I76" t="str">
            <v>All</v>
          </cell>
          <cell r="L76" t="str">
            <v>CBSA 2014</v>
          </cell>
          <cell r="Q76" t="str">
            <v>x</v>
          </cell>
          <cell r="R76" t="str">
            <v>N/A</v>
          </cell>
          <cell r="U76" t="str">
            <v>Motors</v>
          </cell>
        </row>
        <row r="77">
          <cell r="B77" t="str">
            <v>Motors - Rewind</v>
          </cell>
          <cell r="C77" t="str">
            <v>NR</v>
          </cell>
          <cell r="D77" t="str">
            <v>Motors - Rewind-NR</v>
          </cell>
          <cell r="E77" t="str">
            <v>Count</v>
          </cell>
          <cell r="F77" t="str">
            <v>Motors - Rewind</v>
          </cell>
          <cell r="G77">
            <v>1</v>
          </cell>
          <cell r="H77" t="str">
            <v>Motors - Rewind</v>
          </cell>
          <cell r="I77" t="str">
            <v>All</v>
          </cell>
          <cell r="L77" t="str">
            <v>CBSA 2014</v>
          </cell>
          <cell r="Q77" t="str">
            <v>x</v>
          </cell>
          <cell r="R77" t="str">
            <v>N/A</v>
          </cell>
          <cell r="U77" t="str">
            <v>Motors</v>
          </cell>
        </row>
        <row r="78">
          <cell r="B78" t="str">
            <v>Municipal Sewage Treatment</v>
          </cell>
          <cell r="C78" t="str">
            <v>Retro</v>
          </cell>
          <cell r="D78" t="str">
            <v>Municipal Sewage Treatment-Retro</v>
          </cell>
          <cell r="E78" t="str">
            <v>MGD Flow</v>
          </cell>
          <cell r="F78" t="str">
            <v>Suite of measures for sewage treatment</v>
          </cell>
          <cell r="G78">
            <v>10</v>
          </cell>
          <cell r="H78" t="str">
            <v>Municipal Sewage Treatment</v>
          </cell>
          <cell r="I78" t="str">
            <v>Non-Building</v>
          </cell>
          <cell r="J78" t="str">
            <v>BACGEN</v>
          </cell>
          <cell r="L78" t="str">
            <v>2013 EPA Flow rates</v>
          </cell>
          <cell r="M78" t="str">
            <v>Achievements</v>
          </cell>
          <cell r="O78" t="str">
            <v>6P+ETO data</v>
          </cell>
          <cell r="R78" t="str">
            <v>N/A</v>
          </cell>
          <cell r="S78" t="str">
            <v>V1</v>
          </cell>
          <cell r="T78" t="str">
            <v>More data coming from NEEA</v>
          </cell>
          <cell r="U78" t="str">
            <v>Process Loads System Improvements</v>
          </cell>
        </row>
        <row r="79">
          <cell r="B79" t="str">
            <v>Municipal Water Supply</v>
          </cell>
          <cell r="C79" t="str">
            <v>Retro</v>
          </cell>
          <cell r="D79" t="str">
            <v>Municipal Water Supply-Retro</v>
          </cell>
          <cell r="E79" t="str">
            <v>MGD Flow</v>
          </cell>
          <cell r="F79" t="str">
            <v>Suite of measures for water supply systems</v>
          </cell>
          <cell r="G79">
            <v>5</v>
          </cell>
          <cell r="H79" t="str">
            <v>Municipal Water Supply</v>
          </cell>
          <cell r="I79" t="str">
            <v>Non-Building</v>
          </cell>
          <cell r="J79" t="str">
            <v>BACGEN</v>
          </cell>
          <cell r="L79" t="str">
            <v>2013 EPA Flow rates</v>
          </cell>
          <cell r="M79" t="str">
            <v>Achievements</v>
          </cell>
          <cell r="O79" t="str">
            <v>6P+ETO data</v>
          </cell>
          <cell r="R79" t="str">
            <v>N/A</v>
          </cell>
          <cell r="S79" t="str">
            <v>V1</v>
          </cell>
          <cell r="T79" t="str">
            <v>More data coming from NEEA</v>
          </cell>
          <cell r="U79" t="str">
            <v>Process Loads System Improvements</v>
          </cell>
        </row>
        <row r="80">
          <cell r="B80" t="str">
            <v>Engine Generator Block Heaters</v>
          </cell>
          <cell r="C80" t="str">
            <v>Retro</v>
          </cell>
          <cell r="D80" t="str">
            <v>Engine Generator Block Heaters-Retro</v>
          </cell>
          <cell r="E80" t="str">
            <v>Count</v>
          </cell>
          <cell r="F80" t="str">
            <v>Engine Generator Block Heaters (for standby generators)</v>
          </cell>
          <cell r="G80">
            <v>1</v>
          </cell>
          <cell r="H80" t="str">
            <v>Engine Generator Block Heaters</v>
          </cell>
          <cell r="I80" t="str">
            <v>All</v>
          </cell>
          <cell r="L80" t="str">
            <v>No Control</v>
          </cell>
          <cell r="Q80" t="str">
            <v>x</v>
          </cell>
          <cell r="R80" t="str">
            <v>N/A</v>
          </cell>
          <cell r="U80" t="str">
            <v>Process Loads System Controls</v>
          </cell>
        </row>
        <row r="81">
          <cell r="B81" t="str">
            <v>Grocery Refrigeration Bundle</v>
          </cell>
          <cell r="C81" t="str">
            <v>Retro</v>
          </cell>
          <cell r="D81" t="str">
            <v>Grocery Refrigeration Bundle-Retro</v>
          </cell>
          <cell r="E81" t="str">
            <v>kWh per KSF BT</v>
          </cell>
          <cell r="F81" t="str">
            <v>Grocery store refrigeration measures</v>
          </cell>
          <cell r="G81">
            <v>12</v>
          </cell>
          <cell r="H81" t="str">
            <v>Grocery Refrigeration Bundle</v>
          </cell>
          <cell r="I81" t="str">
            <v>Grocery</v>
          </cell>
          <cell r="L81" t="str">
            <v>CBSA 2014</v>
          </cell>
          <cell r="R81" t="str">
            <v>N/A</v>
          </cell>
          <cell r="U81" t="str">
            <v>Refrigeration System Improvements</v>
          </cell>
        </row>
        <row r="82">
          <cell r="B82" t="str">
            <v>Packaged Refrigeration Equipment</v>
          </cell>
          <cell r="C82" t="str">
            <v>New</v>
          </cell>
          <cell r="D82" t="str">
            <v>Packaged Refrigeration Equipment-New</v>
          </cell>
          <cell r="E82" t="str">
            <v>Count</v>
          </cell>
          <cell r="F82" t="str">
            <v>Efficient refrigerators and freezers, beverage merchandizers, ice makers and vending machines</v>
          </cell>
          <cell r="G82">
            <v>20</v>
          </cell>
          <cell r="H82" t="str">
            <v>Packaged Refrigeration Equipment</v>
          </cell>
          <cell r="I82" t="str">
            <v>Grocery</v>
          </cell>
          <cell r="L82" t="str">
            <v>CBSA 2014</v>
          </cell>
          <cell r="R82" t="str">
            <v>N/A</v>
          </cell>
          <cell r="U82" t="str">
            <v>Packaged Refrigeration</v>
          </cell>
        </row>
        <row r="83">
          <cell r="B83" t="str">
            <v>Appliances - Freezers</v>
          </cell>
          <cell r="C83" t="str">
            <v>NR</v>
          </cell>
          <cell r="D83" t="str">
            <v>Appliances - Freezers-NR</v>
          </cell>
          <cell r="E83" t="str">
            <v>Count</v>
          </cell>
          <cell r="F83" t="str">
            <v>Residential freezers in commercial buildings</v>
          </cell>
          <cell r="G83">
            <v>1</v>
          </cell>
          <cell r="H83" t="str">
            <v>Appliances - Freezers</v>
          </cell>
          <cell r="I83" t="str">
            <v>All</v>
          </cell>
          <cell r="L83" t="str">
            <v>Fed Std 2014</v>
          </cell>
          <cell r="Q83" t="str">
            <v>x</v>
          </cell>
          <cell r="R83" t="str">
            <v>N/A</v>
          </cell>
          <cell r="U83" t="str">
            <v>Refrigeration System Improvements</v>
          </cell>
        </row>
        <row r="84">
          <cell r="B84" t="str">
            <v>Appliances - Refrigerators</v>
          </cell>
          <cell r="C84" t="str">
            <v>NR</v>
          </cell>
          <cell r="D84" t="str">
            <v>Appliances - Refrigerators-NR</v>
          </cell>
          <cell r="E84" t="str">
            <v>Count</v>
          </cell>
          <cell r="F84" t="str">
            <v>Residential refrigerators in commercial buildings</v>
          </cell>
          <cell r="G84">
            <v>1</v>
          </cell>
          <cell r="H84" t="str">
            <v>Appliances - Refrigerators</v>
          </cell>
          <cell r="I84" t="str">
            <v>All</v>
          </cell>
          <cell r="L84" t="str">
            <v>Fed Std 2014</v>
          </cell>
          <cell r="Q84" t="str">
            <v>x</v>
          </cell>
          <cell r="R84" t="str">
            <v>N/A</v>
          </cell>
          <cell r="U84" t="str">
            <v>Refrigeration System Improvements</v>
          </cell>
        </row>
        <row r="85">
          <cell r="B85" t="str">
            <v>Water Cooler Controls</v>
          </cell>
          <cell r="C85" t="str">
            <v>Retro</v>
          </cell>
          <cell r="D85" t="str">
            <v>Water Cooler Controls-Retro</v>
          </cell>
          <cell r="E85" t="str">
            <v>Count</v>
          </cell>
          <cell r="F85" t="str">
            <v>Water Cooler Controls</v>
          </cell>
          <cell r="G85">
            <v>1</v>
          </cell>
          <cell r="H85" t="str">
            <v>Water Cooler Controls</v>
          </cell>
          <cell r="I85" t="str">
            <v>Some</v>
          </cell>
          <cell r="L85" t="str">
            <v>Uncontrolled</v>
          </cell>
          <cell r="Q85" t="str">
            <v>x</v>
          </cell>
          <cell r="R85" t="str">
            <v>N/A</v>
          </cell>
          <cell r="U85" t="str">
            <v>Refrigeration System Controls</v>
          </cell>
        </row>
        <row r="86">
          <cell r="B86" t="str">
            <v>Commercial Clothes Washers</v>
          </cell>
          <cell r="C86" t="str">
            <v>New</v>
          </cell>
          <cell r="D86" t="str">
            <v>Commercial Clothes Washers-New</v>
          </cell>
          <cell r="E86" t="str">
            <v>Count</v>
          </cell>
          <cell r="F86" t="str">
            <v>Clotheswashers more efficient than federal standard</v>
          </cell>
          <cell r="H86" t="str">
            <v>Commercial Clothes Washers</v>
          </cell>
          <cell r="I86" t="str">
            <v>Some</v>
          </cell>
          <cell r="L86" t="str">
            <v>CBSA 2014</v>
          </cell>
          <cell r="R86" t="str">
            <v>N/A</v>
          </cell>
          <cell r="U86" t="str">
            <v>Water Using Devices</v>
          </cell>
        </row>
        <row r="87">
          <cell r="B87" t="str">
            <v>DHW - Efficient Tanks</v>
          </cell>
          <cell r="C87" t="str">
            <v>Retro</v>
          </cell>
          <cell r="D87" t="str">
            <v>DHW - Efficient Tanks-Retro</v>
          </cell>
          <cell r="E87" t="str">
            <v>Count</v>
          </cell>
          <cell r="F87" t="str">
            <v>Efficient Residential water heaters in commercial buildings</v>
          </cell>
          <cell r="G87">
            <v>1</v>
          </cell>
          <cell r="H87" t="str">
            <v>DHW - Efficient Tanks</v>
          </cell>
          <cell r="I87" t="str">
            <v>All</v>
          </cell>
          <cell r="L87" t="str">
            <v>CBSA 2014</v>
          </cell>
          <cell r="Q87" t="str">
            <v>x</v>
          </cell>
          <cell r="R87" t="str">
            <v>N/A</v>
          </cell>
          <cell r="U87" t="str">
            <v>Water Heaters</v>
          </cell>
        </row>
        <row r="88">
          <cell r="B88" t="str">
            <v>Appliances - Clothes Washers</v>
          </cell>
          <cell r="C88" t="str">
            <v>NR</v>
          </cell>
          <cell r="D88" t="str">
            <v>Appliances - Clothes Washers-NR</v>
          </cell>
          <cell r="E88" t="str">
            <v>Count</v>
          </cell>
          <cell r="F88" t="str">
            <v>Efficient residential clothes washers in commercial buildings</v>
          </cell>
          <cell r="G88">
            <v>1</v>
          </cell>
          <cell r="H88" t="str">
            <v>Appliances - Clothes Washers</v>
          </cell>
          <cell r="I88" t="str">
            <v>Some</v>
          </cell>
          <cell r="L88" t="str">
            <v>CBSA 2014</v>
          </cell>
          <cell r="Q88" t="str">
            <v>x</v>
          </cell>
          <cell r="R88" t="str">
            <v>N/A</v>
          </cell>
          <cell r="U88" t="str">
            <v>Water Using Devices</v>
          </cell>
        </row>
        <row r="89">
          <cell r="B89" t="str">
            <v>DHW - Showerheads</v>
          </cell>
          <cell r="C89" t="str">
            <v>Retro</v>
          </cell>
          <cell r="D89" t="str">
            <v>DHW - Showerheads-Retro</v>
          </cell>
          <cell r="E89" t="str">
            <v>Count</v>
          </cell>
          <cell r="F89" t="str">
            <v>Efficient showerheads</v>
          </cell>
          <cell r="G89">
            <v>1</v>
          </cell>
          <cell r="H89" t="str">
            <v>DHW - Showerheads</v>
          </cell>
          <cell r="I89" t="str">
            <v>Some</v>
          </cell>
          <cell r="L89" t="str">
            <v>2.5 GPM</v>
          </cell>
          <cell r="Q89" t="str">
            <v>x</v>
          </cell>
          <cell r="R89" t="str">
            <v>N/A</v>
          </cell>
          <cell r="U89" t="str">
            <v>Water Using Devices</v>
          </cell>
        </row>
        <row r="90">
          <cell r="B90" t="str">
            <v>Water Heating - GFHX</v>
          </cell>
          <cell r="C90" t="str">
            <v>New</v>
          </cell>
          <cell r="D90" t="str">
            <v>Water Heating - GFHX-New</v>
          </cell>
          <cell r="E90" t="str">
            <v>Count</v>
          </cell>
          <cell r="F90" t="str">
            <v>Drain water heat recovery in new mulitfaimly applications</v>
          </cell>
          <cell r="G90">
            <v>1</v>
          </cell>
          <cell r="H90" t="str">
            <v>Water Heating - GFHX</v>
          </cell>
          <cell r="I90" t="str">
            <v>All</v>
          </cell>
          <cell r="L90" t="str">
            <v>No Heat Recovery</v>
          </cell>
          <cell r="Q90" t="str">
            <v>x</v>
          </cell>
          <cell r="R90" t="str">
            <v>N/A</v>
          </cell>
          <cell r="U90" t="str">
            <v>Water Using Devices</v>
          </cell>
        </row>
        <row r="91">
          <cell r="B91" t="str">
            <v>Demand Control Circulating system DHW</v>
          </cell>
          <cell r="C91" t="str">
            <v>Retro</v>
          </cell>
          <cell r="D91" t="str">
            <v>Demand Control Circulating system DHW-Retro</v>
          </cell>
          <cell r="E91" t="str">
            <v>kWh per KSF BT</v>
          </cell>
          <cell r="F91" t="str">
            <v>Demand Control Circulating system DHW</v>
          </cell>
          <cell r="G91">
            <v>1</v>
          </cell>
          <cell r="H91" t="str">
            <v>Demand Control Circulating system DHW</v>
          </cell>
          <cell r="I91" t="str">
            <v>Some</v>
          </cell>
          <cell r="L91" t="str">
            <v>CBSA 2014</v>
          </cell>
          <cell r="Q91" t="str">
            <v>x</v>
          </cell>
          <cell r="R91" t="str">
            <v>N/A</v>
          </cell>
          <cell r="U91" t="str">
            <v>Water Using Devices</v>
          </cell>
        </row>
        <row r="92">
          <cell r="B92" t="str">
            <v>Central HPWH MF</v>
          </cell>
          <cell r="C92" t="str">
            <v>Retro</v>
          </cell>
          <cell r="D92" t="str">
            <v>Central HPWH MF-Retro</v>
          </cell>
          <cell r="E92" t="str">
            <v>Count</v>
          </cell>
          <cell r="F92" t="str">
            <v>Central HPWH MF</v>
          </cell>
          <cell r="G92">
            <v>1</v>
          </cell>
          <cell r="H92" t="str">
            <v>Central HPWH MF</v>
          </cell>
          <cell r="I92" t="str">
            <v>Multifamily</v>
          </cell>
          <cell r="L92" t="str">
            <v>CBSA 2014</v>
          </cell>
          <cell r="Q92" t="str">
            <v>x</v>
          </cell>
          <cell r="R92" t="str">
            <v>N/A</v>
          </cell>
          <cell r="U92" t="str">
            <v>Water Heaters</v>
          </cell>
        </row>
        <row r="93">
          <cell r="B93" t="str">
            <v>Integrated Building Design</v>
          </cell>
          <cell r="C93" t="str">
            <v>New</v>
          </cell>
          <cell r="D93" t="str">
            <v>Integrated Building Design-New</v>
          </cell>
          <cell r="E93" t="str">
            <v>kWh per KSF BT</v>
          </cell>
          <cell r="F93" t="str">
            <v>Multiple measures applied in integrated design practice</v>
          </cell>
          <cell r="G93">
            <v>13</v>
          </cell>
          <cell r="H93" t="str">
            <v>Integrated Building Design</v>
          </cell>
          <cell r="I93" t="str">
            <v>Some</v>
          </cell>
          <cell r="L93" t="str">
            <v>Code</v>
          </cell>
          <cell r="R93" t="str">
            <v>POST2006</v>
          </cell>
          <cell r="U93" t="str">
            <v>Whole Bldg/Meter Level System Improvements</v>
          </cell>
        </row>
        <row r="94">
          <cell r="B94" t="str">
            <v>Commercial Computer Laptop</v>
          </cell>
          <cell r="C94" t="str">
            <v>NR</v>
          </cell>
          <cell r="D94" t="str">
            <v>Commercial Computer Laptop-NR</v>
          </cell>
          <cell r="E94" t="str">
            <v>Count</v>
          </cell>
          <cell r="F94" t="str">
            <v>Commercial Computer Laptop</v>
          </cell>
          <cell r="G94">
            <v>1</v>
          </cell>
          <cell r="H94" t="str">
            <v>Average Commercial Computer</v>
          </cell>
          <cell r="I94" t="str">
            <v>All</v>
          </cell>
          <cell r="L94" t="str">
            <v>Std Computer</v>
          </cell>
          <cell r="R94" t="str">
            <v>N/A</v>
          </cell>
          <cell r="U94" t="str">
            <v>Computer Technologies</v>
          </cell>
        </row>
        <row r="100">
          <cell r="B100" t="str">
            <v>Category_Name</v>
          </cell>
          <cell r="C100" t="str">
            <v>TAP_Name</v>
          </cell>
        </row>
        <row r="101">
          <cell r="B101" t="str">
            <v>Compressed Air System Controls</v>
          </cell>
          <cell r="C101" t="str">
            <v>Compressed Air Control Improvements (non-VFD)</v>
          </cell>
        </row>
        <row r="102">
          <cell r="B102" t="str">
            <v>Compressed Air System Improvements</v>
          </cell>
          <cell r="C102" t="str">
            <v>Compressed Air Control Improvements (VFD)</v>
          </cell>
        </row>
        <row r="103">
          <cell r="B103" t="str">
            <v>Computer Technologies</v>
          </cell>
          <cell r="C103" t="str">
            <v>Compressed Air System Compressor Improvements (non-VFD)</v>
          </cell>
        </row>
        <row r="104">
          <cell r="B104" t="str">
            <v>Cooking</v>
          </cell>
          <cell r="C104" t="str">
            <v>Compressed Air System Compressor Improvements (VFD)</v>
          </cell>
        </row>
        <row r="105">
          <cell r="B105" t="str">
            <v>Delamping</v>
          </cell>
          <cell r="C105" t="str">
            <v>Compressed Air System Demand Side Improvements</v>
          </cell>
        </row>
        <row r="106">
          <cell r="B106" t="str">
            <v>Elevators</v>
          </cell>
          <cell r="C106" t="str">
            <v>Compressed Air System Dryer Improvements</v>
          </cell>
        </row>
        <row r="107">
          <cell r="B107" t="str">
            <v>Envelope</v>
          </cell>
          <cell r="C107" t="str">
            <v>Compressed Air System Regulation Improvements</v>
          </cell>
        </row>
        <row r="108">
          <cell r="B108" t="str">
            <v>Escalators</v>
          </cell>
          <cell r="C108" t="str">
            <v>Compressed Air System Storage Improvements</v>
          </cell>
        </row>
        <row r="109">
          <cell r="B109" t="str">
            <v>Heat Recovery</v>
          </cell>
          <cell r="C109" t="str">
            <v>Compressed Air System Supply Side Improvements</v>
          </cell>
        </row>
        <row r="110">
          <cell r="B110" t="str">
            <v>HVAC System Controls</v>
          </cell>
          <cell r="C110" t="str">
            <v>Compressors</v>
          </cell>
        </row>
        <row r="111">
          <cell r="B111" t="str">
            <v>HVAC System Improvements</v>
          </cell>
          <cell r="C111" t="str">
            <v>Heat Recovery Improvements</v>
          </cell>
        </row>
        <row r="112">
          <cell r="B112" t="str">
            <v>Lamps/Ballasts/Fixtures</v>
          </cell>
          <cell r="C112" t="str">
            <v>Network Computer Power Management</v>
          </cell>
        </row>
        <row r="113">
          <cell r="B113" t="str">
            <v>Lighting Controls</v>
          </cell>
          <cell r="C113" t="str">
            <v>Power Supplies</v>
          </cell>
        </row>
        <row r="114">
          <cell r="B114" t="str">
            <v>Motors</v>
          </cell>
          <cell r="C114" t="str">
            <v>Server Virtualization/Load Reduction</v>
          </cell>
        </row>
        <row r="115">
          <cell r="B115" t="str">
            <v>Motors/Drives Controls</v>
          </cell>
          <cell r="C115" t="str">
            <v>Servers</v>
          </cell>
        </row>
        <row r="116">
          <cell r="B116" t="str">
            <v>Packaged Refrigeration</v>
          </cell>
          <cell r="C116" t="str">
            <v>Power Strips</v>
          </cell>
        </row>
        <row r="117">
          <cell r="B117" t="str">
            <v xml:space="preserve">Plug Load </v>
          </cell>
          <cell r="C117" t="str">
            <v>Cooking Equipment</v>
          </cell>
        </row>
      </sheetData>
      <sheetData sheetId="3">
        <row r="4">
          <cell r="H4">
            <v>2035</v>
          </cell>
        </row>
        <row r="11">
          <cell r="B11" t="str">
            <v>Measure Index Name</v>
          </cell>
          <cell r="C11" t="str">
            <v>File Link</v>
          </cell>
          <cell r="D11" t="str">
            <v>Supply Curve Worksheet</v>
          </cell>
          <cell r="E11" t="str">
            <v>Lost Opp</v>
          </cell>
          <cell r="F11" t="str">
            <v>Descriptive Name</v>
          </cell>
          <cell r="G11" t="str">
            <v>Most Recent Substantive Update</v>
          </cell>
          <cell r="H11" t="str">
            <v>Cumulative Technically  Achievable Savings in 2035 in MWa</v>
          </cell>
          <cell r="I11" t="str">
            <v>Future Savings to Remove from 6P Forecast</v>
          </cell>
          <cell r="J11" t="str">
            <v>Comparable Estimate for 6th Plan</v>
          </cell>
          <cell r="K11" t="str">
            <v>Overview Sources Status</v>
          </cell>
          <cell r="L11" t="str">
            <v>Run on Final Plan Elec &amp; Gas Price with No Carbon</v>
          </cell>
          <cell r="M11" t="str">
            <v>Develop Monthy</v>
          </cell>
          <cell r="N11" t="str">
            <v>Status</v>
          </cell>
        </row>
        <row r="12">
          <cell r="B12" t="str">
            <v>Compressed Air Controls-Retro</v>
          </cell>
          <cell r="F12" t="str">
            <v>Compressed Air Controls</v>
          </cell>
        </row>
        <row r="13">
          <cell r="B13" t="str">
            <v>Compressed Air Improvements-Retro</v>
          </cell>
          <cell r="F13" t="str">
            <v>Compressed Air Improvements</v>
          </cell>
        </row>
        <row r="14">
          <cell r="B14" t="str">
            <v>Network PC Power Management-Retro</v>
          </cell>
          <cell r="F14" t="str">
            <v>Network PC Power Management</v>
          </cell>
        </row>
        <row r="15">
          <cell r="B15" t="str">
            <v>Computer Servers and IT-Retro</v>
          </cell>
          <cell r="F15" t="str">
            <v>Computer Servers and IT</v>
          </cell>
        </row>
        <row r="16">
          <cell r="B16" t="str">
            <v>Smart Plug Power Strips-Retro</v>
          </cell>
          <cell r="C16" t="str">
            <v>COM-Powerstrips-7P_v1.xlsm</v>
          </cell>
          <cell r="F16" t="str">
            <v>Smart Plug Power Strips</v>
          </cell>
          <cell r="H16">
            <v>24.506174755297906</v>
          </cell>
        </row>
        <row r="17">
          <cell r="B17" t="str">
            <v>Data Centers-Retro</v>
          </cell>
          <cell r="F17" t="str">
            <v>Data Centers</v>
          </cell>
        </row>
        <row r="18">
          <cell r="B18" t="str">
            <v>Commercial Computer Monitor-NR</v>
          </cell>
          <cell r="F18" t="str">
            <v>Average Commercial Computer Monitor</v>
          </cell>
        </row>
        <row r="19">
          <cell r="B19" t="str">
            <v>Commercial Computer Desktop-NR</v>
          </cell>
          <cell r="F19" t="str">
            <v>Average Commercial Computer</v>
          </cell>
        </row>
        <row r="20">
          <cell r="B20" t="str">
            <v>Pre-Rinse Spray Valve-Retro</v>
          </cell>
          <cell r="C20" t="str">
            <v>COM-PreRinseSpray-7P_V2.xlsm</v>
          </cell>
          <cell r="F20" t="str">
            <v>Pre-Rinse Spray Valve</v>
          </cell>
          <cell r="H20">
            <v>1.1574056819630696</v>
          </cell>
        </row>
        <row r="21">
          <cell r="B21" t="str">
            <v>Cooking Equipment-NR</v>
          </cell>
          <cell r="C21" t="str">
            <v>COM-Cooking-7P_V2.xlsm</v>
          </cell>
          <cell r="F21" t="str">
            <v>Cooking Equipment</v>
          </cell>
          <cell r="H21">
            <v>79.084991838391971</v>
          </cell>
        </row>
        <row r="22">
          <cell r="B22" t="str">
            <v>Premium HVAC Equipment-New</v>
          </cell>
          <cell r="F22" t="str">
            <v>Premium HVAC Equipment</v>
          </cell>
        </row>
        <row r="23">
          <cell r="B23" t="str">
            <v>Premium HVAC Equipment-NR</v>
          </cell>
          <cell r="F23" t="str">
            <v>Premium HVAC Equipment</v>
          </cell>
        </row>
        <row r="24">
          <cell r="B24" t="str">
            <v>Glass-New</v>
          </cell>
          <cell r="F24" t="str">
            <v>Windows</v>
          </cell>
        </row>
        <row r="25">
          <cell r="B25" t="str">
            <v>Glass-NR</v>
          </cell>
          <cell r="F25" t="str">
            <v>Windows</v>
          </cell>
        </row>
        <row r="26">
          <cell r="B26" t="str">
            <v>Glass-Retro</v>
          </cell>
          <cell r="F26" t="str">
            <v>Windows</v>
          </cell>
        </row>
        <row r="27">
          <cell r="B27" t="str">
            <v>Advanced Rooftop Controller-New</v>
          </cell>
          <cell r="C27" t="str">
            <v>Com-RooftopController-7P_V2.xlsm</v>
          </cell>
          <cell r="F27" t="str">
            <v>Package Roof Top Optimization and Repair</v>
          </cell>
        </row>
        <row r="28">
          <cell r="B28" t="str">
            <v>Advanced Rooftop Controller-NR</v>
          </cell>
          <cell r="C28" t="str">
            <v>Com-RooftopController-7P_V2.xlsm</v>
          </cell>
          <cell r="F28" t="str">
            <v>Package Roof Top Optimization and Repair</v>
          </cell>
        </row>
        <row r="29">
          <cell r="B29" t="str">
            <v>Advanced Rooftop Controller-Retro</v>
          </cell>
          <cell r="C29" t="str">
            <v>Com-RooftopController-7P_V2.xlsm</v>
          </cell>
          <cell r="F29" t="str">
            <v>Package Roof Top Optimization and Repair</v>
          </cell>
          <cell r="H29">
            <v>129.3744945825309</v>
          </cell>
        </row>
        <row r="30">
          <cell r="B30" t="str">
            <v>Variable Speed Chiller-New</v>
          </cell>
          <cell r="F30" t="str">
            <v>Variable Speed Chiller</v>
          </cell>
        </row>
        <row r="31">
          <cell r="B31" t="str">
            <v>Variable Speed Chiller-NR</v>
          </cell>
          <cell r="F31" t="str">
            <v>Variable Speed Chiller</v>
          </cell>
        </row>
        <row r="32">
          <cell r="B32" t="str">
            <v>Commercial EM-New</v>
          </cell>
          <cell r="C32" t="str">
            <v>COM-EM-Retro-7P_V2.xlsm</v>
          </cell>
          <cell r="F32" t="str">
            <v>Commercial Energy Management For Complex systems</v>
          </cell>
          <cell r="H32">
            <v>20.790715098236383</v>
          </cell>
        </row>
        <row r="33">
          <cell r="B33" t="str">
            <v>Commercial EM-NR</v>
          </cell>
          <cell r="C33" t="str">
            <v>COM-EM-Retro-7P_V2.xlsm</v>
          </cell>
          <cell r="F33" t="str">
            <v>Commercial Energy Management For Complex systems</v>
          </cell>
        </row>
        <row r="34">
          <cell r="B34" t="str">
            <v>Commercial EM-Retro</v>
          </cell>
          <cell r="C34" t="str">
            <v>COM-EM-Retro-7P_V2.xlsm</v>
          </cell>
          <cell r="F34" t="str">
            <v>Commercial Energy Management For Complex systems</v>
          </cell>
          <cell r="H34">
            <v>77.821235838387253</v>
          </cell>
        </row>
        <row r="35">
          <cell r="B35" t="str">
            <v>Evaporative Assist Cooling-New</v>
          </cell>
          <cell r="F35" t="str">
            <v>Evaporative Assist Cooling</v>
          </cell>
        </row>
        <row r="36">
          <cell r="B36" t="str">
            <v>Evaporative Assist Cooling-NR</v>
          </cell>
          <cell r="F36" t="str">
            <v>Evaporative Assist Cooling</v>
          </cell>
        </row>
        <row r="37">
          <cell r="B37" t="str">
            <v>Low Pressure Distribution Complex HVAC-New</v>
          </cell>
          <cell r="F37" t="str">
            <v>Low Pressure Distribution Complex HVAC</v>
          </cell>
        </row>
        <row r="38">
          <cell r="B38" t="str">
            <v>Demand Control Ventilation-New</v>
          </cell>
          <cell r="F38" t="str">
            <v>Demand Control Ventilation</v>
          </cell>
        </row>
        <row r="39">
          <cell r="B39" t="str">
            <v>Demand Control Ventilation-NR</v>
          </cell>
          <cell r="F39" t="str">
            <v>Demand Control Ventilation</v>
          </cell>
        </row>
        <row r="40">
          <cell r="B40" t="str">
            <v>Demand Control Ventilation-Retro</v>
          </cell>
          <cell r="F40" t="str">
            <v>Demand Control Ventilation</v>
          </cell>
        </row>
        <row r="41">
          <cell r="B41" t="str">
            <v>Premium Fume Hood-New</v>
          </cell>
          <cell r="F41" t="str">
            <v>Premium Fume Hood</v>
          </cell>
        </row>
        <row r="42">
          <cell r="B42" t="str">
            <v>DCV Restaurant Hood-Retro</v>
          </cell>
          <cell r="F42" t="str">
            <v>DCV Restaurant Hood</v>
          </cell>
        </row>
        <row r="43">
          <cell r="B43" t="str">
            <v>DCV Parking Garage-Retro</v>
          </cell>
          <cell r="F43" t="str">
            <v>DCV Parking Garage</v>
          </cell>
        </row>
        <row r="44">
          <cell r="B44" t="str">
            <v>Weatherization - School-Retro</v>
          </cell>
          <cell r="F44" t="str">
            <v>Weatherization - School</v>
          </cell>
        </row>
        <row r="45">
          <cell r="B45" t="str">
            <v>Energy Recovery Ventilator-NR</v>
          </cell>
          <cell r="F45" t="str">
            <v>Energy Recovery Ventilator</v>
          </cell>
        </row>
        <row r="46">
          <cell r="B46" t="str">
            <v>AC Heat Recovery for Water Heating-NR</v>
          </cell>
          <cell r="F46" t="str">
            <v>AC Heat Recovery for Water Heating</v>
          </cell>
        </row>
        <row r="47">
          <cell r="B47" t="str">
            <v>Room Occupancy Sensors in Lodging-Retro</v>
          </cell>
          <cell r="F47" t="str">
            <v>Room Occupancy Sensors in Lodging</v>
          </cell>
        </row>
        <row r="48">
          <cell r="B48" t="str">
            <v>Chiller - chilled water retrofit-Retro</v>
          </cell>
          <cell r="F48" t="str">
            <v>Chiller - chilled water retrofit</v>
          </cell>
        </row>
        <row r="49">
          <cell r="B49" t="str">
            <v>Chiller - equip retrofits-Retro</v>
          </cell>
          <cell r="F49" t="str">
            <v>Chiller - equip retrofits</v>
          </cell>
        </row>
        <row r="50">
          <cell r="B50" t="str">
            <v>Pool Blankets-Retro</v>
          </cell>
          <cell r="F50" t="str">
            <v>Pool Blankets</v>
          </cell>
        </row>
        <row r="51">
          <cell r="B51" t="str">
            <v>Web-Enabled Thermostats-Retro</v>
          </cell>
          <cell r="F51" t="str">
            <v>Web-Enabled Thermostats</v>
          </cell>
        </row>
        <row r="52">
          <cell r="B52" t="str">
            <v>Garage CO2 ventilation-Retro</v>
          </cell>
          <cell r="C52" t="str">
            <v>COM-DCV-Garage-7P_V1.xlsm</v>
          </cell>
          <cell r="F52" t="str">
            <v>Garage CO2 ventilation</v>
          </cell>
          <cell r="H52">
            <v>9.5855269231927078</v>
          </cell>
        </row>
        <row r="53">
          <cell r="B53" t="str">
            <v>Circ Pump ECM and drive-Retro</v>
          </cell>
          <cell r="F53" t="str">
            <v>Circ Pump ECM and drive</v>
          </cell>
        </row>
        <row r="54">
          <cell r="B54" t="str">
            <v>VRF-New</v>
          </cell>
          <cell r="F54" t="str">
            <v>Variable Refrigerant Flow</v>
          </cell>
        </row>
        <row r="55">
          <cell r="B55" t="str">
            <v>Cool Roofs-Retro</v>
          </cell>
          <cell r="F55" t="str">
            <v>Cool Roofs</v>
          </cell>
        </row>
        <row r="56">
          <cell r="B56" t="str">
            <v>Evaporator Roof Top HVAC-Retro</v>
          </cell>
          <cell r="F56" t="str">
            <v>Evaporator Roof Top HVAC</v>
          </cell>
        </row>
        <row r="57">
          <cell r="B57" t="str">
            <v>Secondary Glazing Systems-Retro</v>
          </cell>
          <cell r="F57" t="str">
            <v>Secondary Glazing Systems</v>
          </cell>
        </row>
        <row r="58">
          <cell r="B58" t="str">
            <v>LPD Package-New</v>
          </cell>
          <cell r="F58" t="str">
            <v>Lighting Power Density</v>
          </cell>
        </row>
        <row r="59">
          <cell r="B59" t="str">
            <v>LPD Package-NR</v>
          </cell>
          <cell r="F59" t="str">
            <v>Lighting Power Density</v>
          </cell>
        </row>
        <row r="60">
          <cell r="B60" t="str">
            <v>LPD Package-Retro</v>
          </cell>
          <cell r="F60" t="str">
            <v>Lighting Power Density</v>
          </cell>
        </row>
        <row r="61">
          <cell r="B61" t="str">
            <v>Top Daylighting-New</v>
          </cell>
          <cell r="F61" t="str">
            <v>Daylighting with Skylights</v>
          </cell>
        </row>
        <row r="62">
          <cell r="B62" t="str">
            <v>Perimeter Daylighting Controls Advanced-New</v>
          </cell>
          <cell r="F62" t="str">
            <v>Daylighting with Windows</v>
          </cell>
        </row>
        <row r="63">
          <cell r="B63" t="str">
            <v>Perimeter Daylighting Controls Advanced-NR</v>
          </cell>
          <cell r="F63" t="str">
            <v>Daylighting with Windows</v>
          </cell>
        </row>
        <row r="64">
          <cell r="B64" t="str">
            <v>Lighting Controls Interior-New</v>
          </cell>
          <cell r="F64" t="str">
            <v>Lighting Controls Interior</v>
          </cell>
        </row>
        <row r="65">
          <cell r="B65" t="str">
            <v>Lighting Controls Interior-NR</v>
          </cell>
          <cell r="F65" t="str">
            <v>Lighting Controls Interior</v>
          </cell>
        </row>
        <row r="66">
          <cell r="B66" t="str">
            <v>Exterior Building Lighting-New</v>
          </cell>
          <cell r="C66" t="str">
            <v>Com-ExteriorLighting-7P_V1.10(cg4).xlsx</v>
          </cell>
          <cell r="F66" t="str">
            <v>Exterior Building Lighting</v>
          </cell>
          <cell r="H66">
            <v>21.277365061421204</v>
          </cell>
        </row>
        <row r="67">
          <cell r="B67" t="str">
            <v>Exterior Building Lighting-NR</v>
          </cell>
          <cell r="C67" t="str">
            <v>Com-ExteriorLighting-7P_V1.10(cg4).xlsx</v>
          </cell>
          <cell r="F67" t="str">
            <v>Exterior Building Lighting</v>
          </cell>
          <cell r="H67">
            <v>126.15931523421077</v>
          </cell>
        </row>
        <row r="68">
          <cell r="B68" t="str">
            <v>Street and Roadway Lighting-New</v>
          </cell>
          <cell r="C68" t="str">
            <v>Com-Streetlight-7P_V6p.xlsx</v>
          </cell>
          <cell r="F68" t="str">
            <v>Street and Roadway Lighting</v>
          </cell>
          <cell r="H68">
            <v>5.9176997638324238</v>
          </cell>
        </row>
        <row r="69">
          <cell r="B69" t="str">
            <v>Street and Roadway Lighting-NR</v>
          </cell>
          <cell r="C69" t="str">
            <v>Com-Streetlight-7P_V6p.xlsx</v>
          </cell>
          <cell r="F69" t="str">
            <v>Street and Roadway Lighting</v>
          </cell>
          <cell r="H69">
            <v>49.220314518458594</v>
          </cell>
        </row>
        <row r="70">
          <cell r="B70" t="str">
            <v>Parking Lighting-New</v>
          </cell>
          <cell r="F70" t="str">
            <v>Parking Lighting</v>
          </cell>
        </row>
        <row r="71">
          <cell r="B71" t="str">
            <v>Parking Lighting-NR</v>
          </cell>
          <cell r="F71" t="str">
            <v>Parking Lighting</v>
          </cell>
        </row>
        <row r="72">
          <cell r="B72" t="str">
            <v>Luminaire Level Lighting Controls-Retro</v>
          </cell>
          <cell r="F72" t="str">
            <v>Luminaire Level Lighting Controls</v>
          </cell>
        </row>
        <row r="73">
          <cell r="B73" t="str">
            <v>ECM on VAV Boxes-New</v>
          </cell>
          <cell r="F73" t="str">
            <v>ECM Motors on Variable Air Volume Boxes</v>
          </cell>
        </row>
        <row r="74">
          <cell r="B74" t="str">
            <v>ECM on VAV Boxes-NR</v>
          </cell>
          <cell r="F74" t="str">
            <v>ECM Motors on Variable Air Volume Boxes</v>
          </cell>
        </row>
        <row r="75">
          <cell r="B75" t="str">
            <v>Pool pumps-Retro</v>
          </cell>
          <cell r="F75" t="str">
            <v>Pool pumps</v>
          </cell>
        </row>
        <row r="76">
          <cell r="B76" t="str">
            <v>Switched Reluctance/Permanent Magnet Motors-Retro</v>
          </cell>
          <cell r="F76" t="str">
            <v>Switched Reluctance/Permanent Magnet Motors</v>
          </cell>
        </row>
        <row r="77">
          <cell r="B77" t="str">
            <v>Motors - Rewind-NR</v>
          </cell>
          <cell r="F77" t="str">
            <v>Motors - Rewind</v>
          </cell>
        </row>
        <row r="78">
          <cell r="B78" t="str">
            <v>Municipal Sewage Treatment-Retro</v>
          </cell>
          <cell r="C78" t="str">
            <v>COM-Wastewater-7P_V1</v>
          </cell>
          <cell r="D78" t="str">
            <v>SC_Retro</v>
          </cell>
          <cell r="E78" t="str">
            <v>Retro</v>
          </cell>
          <cell r="F78" t="str">
            <v>Municipal Sewage Treatment</v>
          </cell>
          <cell r="H78">
            <v>28.30602992149279</v>
          </cell>
        </row>
        <row r="79">
          <cell r="B79" t="str">
            <v>Municipal Water Supply-Retro</v>
          </cell>
          <cell r="C79" t="str">
            <v>COM-WaterSupply-7P_V2</v>
          </cell>
          <cell r="D79" t="str">
            <v>SC_Retro</v>
          </cell>
          <cell r="E79" t="str">
            <v>Retro</v>
          </cell>
          <cell r="F79" t="str">
            <v>Municipal Water Supply</v>
          </cell>
          <cell r="H79">
            <v>9.9833293540816399</v>
          </cell>
        </row>
        <row r="80">
          <cell r="B80" t="str">
            <v>Engine Generator Block Heaters-Retro</v>
          </cell>
          <cell r="F80" t="str">
            <v>Engine Generator Block Heaters</v>
          </cell>
        </row>
        <row r="81">
          <cell r="B81" t="str">
            <v>Grocery Refrigeration Bundle-Retro</v>
          </cell>
          <cell r="F81" t="str">
            <v>Grocery Refrigeration Bundle</v>
          </cell>
        </row>
        <row r="82">
          <cell r="B82" t="str">
            <v>Packaged Refrigeration Equipment-New</v>
          </cell>
          <cell r="F82" t="str">
            <v>Packaged Refrigeration Equipment</v>
          </cell>
        </row>
        <row r="83">
          <cell r="B83" t="str">
            <v>Appliances - Freezers-NR</v>
          </cell>
          <cell r="F83" t="str">
            <v>Appliances - Freezers</v>
          </cell>
        </row>
        <row r="84">
          <cell r="B84" t="str">
            <v>Appliances - Refrigerators-NR</v>
          </cell>
          <cell r="F84" t="str">
            <v>Appliances - Refrigerators</v>
          </cell>
        </row>
        <row r="85">
          <cell r="B85" t="str">
            <v>Water Cooler Controls-Retro</v>
          </cell>
          <cell r="F85" t="str">
            <v>Water Cooler Controls</v>
          </cell>
        </row>
        <row r="86">
          <cell r="B86" t="str">
            <v>Commercial Clothes Washers-New</v>
          </cell>
          <cell r="F86" t="str">
            <v>Commercial Clothes Washers</v>
          </cell>
        </row>
        <row r="87">
          <cell r="B87" t="str">
            <v>DHW - Efficient Tanks-Retro</v>
          </cell>
          <cell r="F87" t="str">
            <v>DHW - Efficient Tanks</v>
          </cell>
        </row>
        <row r="88">
          <cell r="B88" t="str">
            <v>Appliances - Clothes Washers-NR</v>
          </cell>
          <cell r="F88" t="str">
            <v>Appliances - Clothes Washers</v>
          </cell>
        </row>
        <row r="89">
          <cell r="B89" t="str">
            <v>DHW - Showerheads-Retro</v>
          </cell>
          <cell r="F89" t="str">
            <v>DHW - Showerheads</v>
          </cell>
        </row>
        <row r="90">
          <cell r="B90" t="str">
            <v>Water Heating - GFHX-New</v>
          </cell>
          <cell r="F90" t="str">
            <v>Water Heating - GFHX</v>
          </cell>
        </row>
        <row r="91">
          <cell r="B91" t="str">
            <v>Demand Control Circulating system DHW-Retro</v>
          </cell>
          <cell r="F91" t="str">
            <v>Demand Control Circulating system DHW</v>
          </cell>
        </row>
        <row r="92">
          <cell r="B92" t="str">
            <v>Central HPWH MF-Retro</v>
          </cell>
          <cell r="F92" t="str">
            <v>Central HPWH MF</v>
          </cell>
        </row>
        <row r="93">
          <cell r="B93" t="str">
            <v>Integrated Building Design-New</v>
          </cell>
          <cell r="F93" t="str">
            <v>Integrated Building Design</v>
          </cell>
        </row>
        <row r="111">
          <cell r="J111">
            <v>155</v>
          </cell>
          <cell r="L111" t="str">
            <v>power supplies</v>
          </cell>
        </row>
        <row r="112">
          <cell r="L112" t="str">
            <v>Computers (in ICE)</v>
          </cell>
        </row>
        <row r="113">
          <cell r="L113" t="str">
            <v>Monitors (in ICE)</v>
          </cell>
        </row>
      </sheetData>
      <sheetData sheetId="4">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 Controls-Retro</v>
          </cell>
          <cell r="C12">
            <v>0.01</v>
          </cell>
          <cell r="D12">
            <v>0.01</v>
          </cell>
          <cell r="E12">
            <v>0.01</v>
          </cell>
          <cell r="F12">
            <v>0.01</v>
          </cell>
          <cell r="G12">
            <v>0.01</v>
          </cell>
          <cell r="H12">
            <v>0.01</v>
          </cell>
          <cell r="I12">
            <v>0.01</v>
          </cell>
          <cell r="J12">
            <v>0.01</v>
          </cell>
          <cell r="K12">
            <v>0.01</v>
          </cell>
          <cell r="L12">
            <v>0.01</v>
          </cell>
          <cell r="M12">
            <v>0.01</v>
          </cell>
          <cell r="N12">
            <v>0.01</v>
          </cell>
          <cell r="O12">
            <v>0.01</v>
          </cell>
          <cell r="P12">
            <v>0.01</v>
          </cell>
          <cell r="Q12">
            <v>0.01</v>
          </cell>
          <cell r="R12">
            <v>0.01</v>
          </cell>
          <cell r="S12">
            <v>0.01</v>
          </cell>
          <cell r="T12">
            <v>0.01</v>
          </cell>
        </row>
        <row r="13">
          <cell r="B13" t="str">
            <v>Compressed Air Improvements-Retro</v>
          </cell>
          <cell r="C13">
            <v>9.9000000000000008E-3</v>
          </cell>
          <cell r="D13">
            <v>9.9000000000000008E-3</v>
          </cell>
          <cell r="E13">
            <v>9.9000000000000008E-3</v>
          </cell>
          <cell r="F13">
            <v>9.9000000000000008E-3</v>
          </cell>
          <cell r="G13">
            <v>9.9000000000000008E-3</v>
          </cell>
          <cell r="H13">
            <v>9.9000000000000008E-3</v>
          </cell>
          <cell r="I13">
            <v>9.9000000000000008E-3</v>
          </cell>
          <cell r="J13">
            <v>9.9000000000000008E-3</v>
          </cell>
          <cell r="K13">
            <v>9.9000000000000008E-3</v>
          </cell>
          <cell r="L13">
            <v>9.9000000000000008E-3</v>
          </cell>
          <cell r="M13">
            <v>9.9000000000000008E-3</v>
          </cell>
          <cell r="N13">
            <v>9.9000000000000008E-3</v>
          </cell>
          <cell r="O13">
            <v>9.9000000000000008E-3</v>
          </cell>
          <cell r="P13">
            <v>9.9000000000000008E-3</v>
          </cell>
          <cell r="Q13">
            <v>9.9000000000000008E-3</v>
          </cell>
          <cell r="R13">
            <v>9.9000000000000008E-3</v>
          </cell>
          <cell r="S13">
            <v>9.9000000000000008E-3</v>
          </cell>
          <cell r="T13">
            <v>9.9000000000000008E-3</v>
          </cell>
        </row>
        <row r="14">
          <cell r="B14" t="str">
            <v>Network PC Power Management-Retro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Computer Servers and IT-Retro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Smart Plug Power Strips-Retro</v>
          </cell>
          <cell r="C16">
            <v>0.01</v>
          </cell>
          <cell r="D16">
            <v>0.01</v>
          </cell>
          <cell r="E16">
            <v>0.01</v>
          </cell>
          <cell r="F16">
            <v>0.01</v>
          </cell>
          <cell r="G16">
            <v>0.01</v>
          </cell>
          <cell r="H16">
            <v>0.01</v>
          </cell>
          <cell r="I16">
            <v>0.01</v>
          </cell>
          <cell r="J16">
            <v>0.01</v>
          </cell>
          <cell r="K16">
            <v>0.01</v>
          </cell>
          <cell r="L16">
            <v>0.01</v>
          </cell>
          <cell r="M16">
            <v>0.01</v>
          </cell>
          <cell r="N16">
            <v>0.01</v>
          </cell>
          <cell r="O16">
            <v>0.01</v>
          </cell>
          <cell r="P16">
            <v>0.01</v>
          </cell>
          <cell r="Q16">
            <v>0.01</v>
          </cell>
          <cell r="R16">
            <v>0.01</v>
          </cell>
          <cell r="S16">
            <v>0.01</v>
          </cell>
          <cell r="T16">
            <v>0.01</v>
          </cell>
          <cell r="U16">
            <v>0.9</v>
          </cell>
        </row>
        <row r="17">
          <cell r="B17" t="str">
            <v>Data Centers-Retro</v>
          </cell>
          <cell r="C17">
            <v>0.01</v>
          </cell>
          <cell r="D17">
            <v>0.01</v>
          </cell>
          <cell r="E17">
            <v>0.01</v>
          </cell>
          <cell r="F17">
            <v>0.01</v>
          </cell>
          <cell r="G17">
            <v>0.01</v>
          </cell>
          <cell r="H17">
            <v>0.01</v>
          </cell>
          <cell r="I17">
            <v>0.01</v>
          </cell>
          <cell r="J17">
            <v>0.01</v>
          </cell>
          <cell r="K17">
            <v>0.01</v>
          </cell>
          <cell r="L17">
            <v>0.01</v>
          </cell>
          <cell r="M17">
            <v>0.01</v>
          </cell>
          <cell r="N17">
            <v>0.01</v>
          </cell>
          <cell r="O17">
            <v>0.01</v>
          </cell>
          <cell r="P17">
            <v>0.01</v>
          </cell>
          <cell r="Q17">
            <v>0.01</v>
          </cell>
          <cell r="R17">
            <v>0.01</v>
          </cell>
          <cell r="S17">
            <v>0.01</v>
          </cell>
          <cell r="T17">
            <v>0.01</v>
          </cell>
          <cell r="X17">
            <v>0.01</v>
          </cell>
          <cell r="Y17">
            <v>0.01</v>
          </cell>
        </row>
        <row r="18">
          <cell r="B18" t="str">
            <v>Commercial Computer Monitor-NR</v>
          </cell>
          <cell r="C18">
            <v>0.01</v>
          </cell>
          <cell r="D18">
            <v>0.01</v>
          </cell>
          <cell r="E18">
            <v>0.01</v>
          </cell>
          <cell r="F18">
            <v>0.01</v>
          </cell>
          <cell r="G18">
            <v>0.01</v>
          </cell>
          <cell r="H18">
            <v>0.01</v>
          </cell>
          <cell r="I18">
            <v>0.01</v>
          </cell>
          <cell r="J18">
            <v>0.01</v>
          </cell>
          <cell r="K18">
            <v>0.01</v>
          </cell>
          <cell r="L18">
            <v>0.01</v>
          </cell>
          <cell r="M18">
            <v>0.01</v>
          </cell>
          <cell r="N18">
            <v>0.01</v>
          </cell>
          <cell r="O18">
            <v>0.01</v>
          </cell>
          <cell r="P18">
            <v>0.01</v>
          </cell>
          <cell r="Q18">
            <v>0.01</v>
          </cell>
          <cell r="R18">
            <v>0.01</v>
          </cell>
          <cell r="S18">
            <v>0.01</v>
          </cell>
          <cell r="T18">
            <v>0.01</v>
          </cell>
          <cell r="X18">
            <v>0.01</v>
          </cell>
          <cell r="Y18">
            <v>0.01</v>
          </cell>
        </row>
        <row r="19">
          <cell r="B19" t="str">
            <v>Commercial Computer Desktop-NR</v>
          </cell>
          <cell r="C19">
            <v>0.01</v>
          </cell>
          <cell r="D19">
            <v>0.01</v>
          </cell>
          <cell r="E19">
            <v>0.01</v>
          </cell>
          <cell r="F19">
            <v>0.01</v>
          </cell>
          <cell r="G19">
            <v>0.01</v>
          </cell>
          <cell r="H19">
            <v>0.01</v>
          </cell>
          <cell r="I19">
            <v>0.01</v>
          </cell>
          <cell r="J19">
            <v>0.01</v>
          </cell>
          <cell r="K19">
            <v>0.01</v>
          </cell>
          <cell r="L19">
            <v>0.01</v>
          </cell>
          <cell r="M19">
            <v>0.01</v>
          </cell>
          <cell r="N19">
            <v>0.01</v>
          </cell>
          <cell r="O19">
            <v>0.01</v>
          </cell>
          <cell r="P19">
            <v>0.01</v>
          </cell>
          <cell r="Q19">
            <v>0.01</v>
          </cell>
          <cell r="R19">
            <v>0.01</v>
          </cell>
          <cell r="S19">
            <v>0.01</v>
          </cell>
          <cell r="T19">
            <v>0.01</v>
          </cell>
          <cell r="X19">
            <v>0.01</v>
          </cell>
          <cell r="Y19">
            <v>0.01</v>
          </cell>
        </row>
        <row r="20">
          <cell r="B20" t="str">
            <v>Pre-Rinse Spray Valve-Retro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0.74</v>
          </cell>
          <cell r="X20">
            <v>0</v>
          </cell>
          <cell r="Y20">
            <v>0</v>
          </cell>
        </row>
        <row r="21">
          <cell r="B21" t="str">
            <v>Cooking Equipment-NR</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0.54900000000000004</v>
          </cell>
          <cell r="X21">
            <v>0</v>
          </cell>
          <cell r="Y21">
            <v>0</v>
          </cell>
        </row>
        <row r="22">
          <cell r="B22" t="str">
            <v>Premium HVAC Equipment-New</v>
          </cell>
          <cell r="C22">
            <v>0.9</v>
          </cell>
          <cell r="D22">
            <v>0.9</v>
          </cell>
          <cell r="E22">
            <v>0.9</v>
          </cell>
          <cell r="F22">
            <v>0.9</v>
          </cell>
          <cell r="G22">
            <v>0.9</v>
          </cell>
          <cell r="H22">
            <v>0.9</v>
          </cell>
          <cell r="I22">
            <v>0.9</v>
          </cell>
          <cell r="J22">
            <v>0.9</v>
          </cell>
          <cell r="K22">
            <v>0.9</v>
          </cell>
          <cell r="L22">
            <v>0.9</v>
          </cell>
          <cell r="M22">
            <v>0.9</v>
          </cell>
          <cell r="N22">
            <v>0.9</v>
          </cell>
          <cell r="O22">
            <v>0.9</v>
          </cell>
          <cell r="P22">
            <v>0.9</v>
          </cell>
          <cell r="Q22">
            <v>0.9</v>
          </cell>
          <cell r="R22">
            <v>0.9</v>
          </cell>
          <cell r="S22">
            <v>0.9</v>
          </cell>
          <cell r="T22">
            <v>0.9</v>
          </cell>
          <cell r="X22">
            <v>1</v>
          </cell>
          <cell r="Y22">
            <v>1</v>
          </cell>
        </row>
        <row r="23">
          <cell r="B23" t="str">
            <v>Premium HVAC Equipment-NR</v>
          </cell>
          <cell r="C23">
            <v>0.9</v>
          </cell>
          <cell r="D23">
            <v>0.9</v>
          </cell>
          <cell r="E23">
            <v>0.9</v>
          </cell>
          <cell r="F23">
            <v>0.9</v>
          </cell>
          <cell r="G23">
            <v>0.9</v>
          </cell>
          <cell r="H23">
            <v>0.9</v>
          </cell>
          <cell r="I23">
            <v>0.9</v>
          </cell>
          <cell r="J23">
            <v>0.9</v>
          </cell>
          <cell r="K23">
            <v>0.9</v>
          </cell>
          <cell r="L23">
            <v>0.9</v>
          </cell>
          <cell r="M23">
            <v>0.9</v>
          </cell>
          <cell r="N23">
            <v>0.9</v>
          </cell>
          <cell r="O23">
            <v>0.9</v>
          </cell>
          <cell r="P23">
            <v>0.9</v>
          </cell>
          <cell r="Q23">
            <v>0.9</v>
          </cell>
          <cell r="R23">
            <v>0.9</v>
          </cell>
          <cell r="S23">
            <v>0.9</v>
          </cell>
          <cell r="T23">
            <v>0.9</v>
          </cell>
          <cell r="X23">
            <v>1</v>
          </cell>
          <cell r="Y23">
            <v>1</v>
          </cell>
        </row>
        <row r="24">
          <cell r="B24" t="str">
            <v>Glass-New</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X24">
            <v>0</v>
          </cell>
          <cell r="Y24">
            <v>0</v>
          </cell>
        </row>
        <row r="25">
          <cell r="B25" t="str">
            <v>Glass-NR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X25">
            <v>0</v>
          </cell>
          <cell r="Y25">
            <v>0</v>
          </cell>
        </row>
        <row r="26">
          <cell r="B26" t="str">
            <v>Glass-Retro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X26">
            <v>0</v>
          </cell>
          <cell r="Y26">
            <v>0</v>
          </cell>
        </row>
        <row r="27">
          <cell r="B27" t="str">
            <v>Advanced Rooftop Controller-New</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X27">
            <v>0</v>
          </cell>
          <cell r="Y27">
            <v>0</v>
          </cell>
        </row>
        <row r="28">
          <cell r="B28" t="str">
            <v>Advanced Rooftop Controller-NR</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X28">
            <v>0</v>
          </cell>
          <cell r="Y28">
            <v>0</v>
          </cell>
        </row>
        <row r="29">
          <cell r="B29" t="str">
            <v>Advanced Rooftop Controller-Retro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X29">
            <v>0</v>
          </cell>
          <cell r="Y29">
            <v>0</v>
          </cell>
        </row>
        <row r="30">
          <cell r="B30" t="str">
            <v>Variable Speed Chiller-New</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X30">
            <v>0</v>
          </cell>
          <cell r="Y30">
            <v>0</v>
          </cell>
        </row>
        <row r="31">
          <cell r="B31" t="str">
            <v>Variable Speed Chiller-NR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X31">
            <v>0</v>
          </cell>
          <cell r="Y31">
            <v>0</v>
          </cell>
        </row>
        <row r="32">
          <cell r="B32" t="str">
            <v>Commercial EM-New</v>
          </cell>
          <cell r="C32">
            <v>0.01</v>
          </cell>
          <cell r="D32">
            <v>0.01</v>
          </cell>
          <cell r="E32">
            <v>0.01</v>
          </cell>
          <cell r="F32">
            <v>0.01</v>
          </cell>
          <cell r="G32">
            <v>0.01</v>
          </cell>
          <cell r="H32">
            <v>0.01</v>
          </cell>
          <cell r="I32">
            <v>0.01</v>
          </cell>
          <cell r="J32">
            <v>0.01</v>
          </cell>
          <cell r="K32">
            <v>0.01</v>
          </cell>
          <cell r="L32">
            <v>0.01</v>
          </cell>
          <cell r="M32">
            <v>0.01</v>
          </cell>
          <cell r="N32">
            <v>0.01</v>
          </cell>
          <cell r="O32">
            <v>0.01</v>
          </cell>
          <cell r="P32">
            <v>0.01</v>
          </cell>
          <cell r="Q32">
            <v>0.01</v>
          </cell>
          <cell r="R32">
            <v>0.01</v>
          </cell>
          <cell r="S32">
            <v>0.01</v>
          </cell>
          <cell r="T32">
            <v>0.01</v>
          </cell>
          <cell r="X32">
            <v>0.01</v>
          </cell>
          <cell r="Y32">
            <v>0.01</v>
          </cell>
        </row>
        <row r="33">
          <cell r="B33" t="str">
            <v>Commercial EM-NR</v>
          </cell>
          <cell r="C33">
            <v>0.01</v>
          </cell>
          <cell r="D33">
            <v>0.01</v>
          </cell>
          <cell r="E33">
            <v>0.01</v>
          </cell>
          <cell r="F33">
            <v>0.01</v>
          </cell>
          <cell r="G33">
            <v>0.01</v>
          </cell>
          <cell r="H33">
            <v>0.01</v>
          </cell>
          <cell r="I33">
            <v>0.01</v>
          </cell>
          <cell r="J33">
            <v>0.01</v>
          </cell>
          <cell r="K33">
            <v>0.01</v>
          </cell>
          <cell r="L33">
            <v>0.01</v>
          </cell>
          <cell r="M33">
            <v>0.01</v>
          </cell>
          <cell r="N33">
            <v>0.01</v>
          </cell>
          <cell r="O33">
            <v>0.01</v>
          </cell>
          <cell r="P33">
            <v>0.01</v>
          </cell>
          <cell r="Q33">
            <v>0.01</v>
          </cell>
          <cell r="R33">
            <v>0.01</v>
          </cell>
          <cell r="S33">
            <v>0.01</v>
          </cell>
          <cell r="T33">
            <v>0.01</v>
          </cell>
          <cell r="X33">
            <v>0.01</v>
          </cell>
          <cell r="Y33">
            <v>0.01</v>
          </cell>
        </row>
        <row r="34">
          <cell r="B34" t="str">
            <v>Commercial EM-Retro</v>
          </cell>
          <cell r="C34">
            <v>0.01</v>
          </cell>
          <cell r="D34">
            <v>0.01</v>
          </cell>
          <cell r="E34">
            <v>0.01</v>
          </cell>
          <cell r="F34">
            <v>0.01</v>
          </cell>
          <cell r="G34">
            <v>0.01</v>
          </cell>
          <cell r="H34">
            <v>0.01</v>
          </cell>
          <cell r="I34">
            <v>0.01</v>
          </cell>
          <cell r="J34">
            <v>0.01</v>
          </cell>
          <cell r="K34">
            <v>0.01</v>
          </cell>
          <cell r="L34">
            <v>0.01</v>
          </cell>
          <cell r="M34">
            <v>0.01</v>
          </cell>
          <cell r="N34">
            <v>0.01</v>
          </cell>
          <cell r="O34">
            <v>0.01</v>
          </cell>
          <cell r="P34">
            <v>0.01</v>
          </cell>
          <cell r="Q34">
            <v>0.01</v>
          </cell>
          <cell r="R34">
            <v>0.01</v>
          </cell>
          <cell r="S34">
            <v>0.01</v>
          </cell>
          <cell r="T34">
            <v>0.01</v>
          </cell>
          <cell r="X34">
            <v>0.01</v>
          </cell>
          <cell r="Y34">
            <v>0.01</v>
          </cell>
        </row>
        <row r="35">
          <cell r="B35" t="str">
            <v>Evaporative Assist Cooling-New</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X35">
            <v>0</v>
          </cell>
          <cell r="Y35">
            <v>0</v>
          </cell>
        </row>
        <row r="36">
          <cell r="B36" t="str">
            <v>Evaporative Assist Cooling-NR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X36">
            <v>0</v>
          </cell>
          <cell r="Y36">
            <v>0</v>
          </cell>
        </row>
        <row r="37">
          <cell r="B37" t="str">
            <v>Low Pressure Distribution Complex HVAC-New</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X37">
            <v>0</v>
          </cell>
          <cell r="Y37">
            <v>0</v>
          </cell>
        </row>
        <row r="38">
          <cell r="B38" t="str">
            <v>Demand Control Ventilation-New</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X38">
            <v>0</v>
          </cell>
          <cell r="Y38">
            <v>0</v>
          </cell>
        </row>
        <row r="39">
          <cell r="B39" t="str">
            <v>Demand Control Ventilation-NR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X39">
            <v>0</v>
          </cell>
          <cell r="Y39">
            <v>0</v>
          </cell>
        </row>
        <row r="40">
          <cell r="B40" t="str">
            <v>Demand Control Ventilation-Retro</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X40">
            <v>0</v>
          </cell>
          <cell r="Y40">
            <v>0</v>
          </cell>
        </row>
        <row r="41">
          <cell r="B41" t="str">
            <v>Premium Fume Hood-New</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0.9</v>
          </cell>
          <cell r="X41">
            <v>0</v>
          </cell>
          <cell r="Y41">
            <v>0</v>
          </cell>
        </row>
        <row r="42">
          <cell r="B42" t="str">
            <v>DCV Restaurant Hood-Retro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X42">
            <v>0</v>
          </cell>
          <cell r="Y42">
            <v>0</v>
          </cell>
        </row>
        <row r="43">
          <cell r="B43" t="str">
            <v>DCV Parking Garage-Retro</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X43">
            <v>0</v>
          </cell>
          <cell r="Y43">
            <v>0</v>
          </cell>
        </row>
        <row r="44">
          <cell r="B44" t="str">
            <v>Weatherization - School-Retro</v>
          </cell>
          <cell r="C44">
            <v>0.01</v>
          </cell>
          <cell r="D44">
            <v>0.01</v>
          </cell>
          <cell r="E44">
            <v>0.01</v>
          </cell>
          <cell r="F44">
            <v>0.01</v>
          </cell>
          <cell r="G44">
            <v>0.01</v>
          </cell>
          <cell r="H44">
            <v>0.01</v>
          </cell>
          <cell r="I44">
            <v>0.01</v>
          </cell>
          <cell r="J44">
            <v>0.01</v>
          </cell>
          <cell r="K44">
            <v>0.01</v>
          </cell>
          <cell r="L44">
            <v>0.01</v>
          </cell>
          <cell r="M44">
            <v>0.01</v>
          </cell>
          <cell r="N44">
            <v>0.01</v>
          </cell>
          <cell r="O44">
            <v>0.01</v>
          </cell>
          <cell r="P44">
            <v>0.01</v>
          </cell>
          <cell r="Q44">
            <v>0.01</v>
          </cell>
          <cell r="R44">
            <v>0.01</v>
          </cell>
          <cell r="S44">
            <v>0.01</v>
          </cell>
          <cell r="T44">
            <v>0.01</v>
          </cell>
          <cell r="X44">
            <v>0.01</v>
          </cell>
          <cell r="Y44">
            <v>0.01</v>
          </cell>
        </row>
        <row r="45">
          <cell r="B45" t="str">
            <v>Energy Recovery Ventilator-NR</v>
          </cell>
          <cell r="C45">
            <v>0.01</v>
          </cell>
          <cell r="D45">
            <v>0.01</v>
          </cell>
          <cell r="E45">
            <v>0.01</v>
          </cell>
          <cell r="F45">
            <v>0.01</v>
          </cell>
          <cell r="G45">
            <v>0.01</v>
          </cell>
          <cell r="H45">
            <v>0.01</v>
          </cell>
          <cell r="I45">
            <v>0.01</v>
          </cell>
          <cell r="J45">
            <v>0.01</v>
          </cell>
          <cell r="K45">
            <v>0.01</v>
          </cell>
          <cell r="L45">
            <v>0.01</v>
          </cell>
          <cell r="M45">
            <v>0.01</v>
          </cell>
          <cell r="N45">
            <v>0.01</v>
          </cell>
          <cell r="O45">
            <v>0.01</v>
          </cell>
          <cell r="P45">
            <v>0.01</v>
          </cell>
          <cell r="Q45">
            <v>0.01</v>
          </cell>
          <cell r="R45">
            <v>0.01</v>
          </cell>
          <cell r="S45">
            <v>0.01</v>
          </cell>
          <cell r="T45">
            <v>0.01</v>
          </cell>
          <cell r="X45">
            <v>0.01</v>
          </cell>
          <cell r="Y45">
            <v>0.01</v>
          </cell>
        </row>
        <row r="46">
          <cell r="B46" t="str">
            <v>AC Heat Recovery for Water Heating-NR</v>
          </cell>
          <cell r="C46">
            <v>0.01</v>
          </cell>
          <cell r="D46">
            <v>0.01</v>
          </cell>
          <cell r="E46">
            <v>0.01</v>
          </cell>
          <cell r="F46">
            <v>0.01</v>
          </cell>
          <cell r="G46">
            <v>0.01</v>
          </cell>
          <cell r="H46">
            <v>0.01</v>
          </cell>
          <cell r="I46">
            <v>0.01</v>
          </cell>
          <cell r="J46">
            <v>0.01</v>
          </cell>
          <cell r="K46">
            <v>0.01</v>
          </cell>
          <cell r="L46">
            <v>0.01</v>
          </cell>
          <cell r="M46">
            <v>0.01</v>
          </cell>
          <cell r="N46">
            <v>0.01</v>
          </cell>
          <cell r="O46">
            <v>0.01</v>
          </cell>
          <cell r="P46">
            <v>0.01</v>
          </cell>
          <cell r="Q46">
            <v>0.01</v>
          </cell>
          <cell r="R46">
            <v>0.01</v>
          </cell>
          <cell r="S46">
            <v>0.01</v>
          </cell>
          <cell r="T46">
            <v>0.01</v>
          </cell>
          <cell r="X46">
            <v>0.01</v>
          </cell>
          <cell r="Y46">
            <v>0.01</v>
          </cell>
        </row>
        <row r="47">
          <cell r="B47" t="str">
            <v>Room Occupancy Sensors in Lodging-Retro</v>
          </cell>
          <cell r="C47">
            <v>0.01</v>
          </cell>
          <cell r="D47">
            <v>0.01</v>
          </cell>
          <cell r="E47">
            <v>0.01</v>
          </cell>
          <cell r="F47">
            <v>0.01</v>
          </cell>
          <cell r="G47">
            <v>0.01</v>
          </cell>
          <cell r="H47">
            <v>0.01</v>
          </cell>
          <cell r="I47">
            <v>0.01</v>
          </cell>
          <cell r="J47">
            <v>0.01</v>
          </cell>
          <cell r="K47">
            <v>0.01</v>
          </cell>
          <cell r="L47">
            <v>0.01</v>
          </cell>
          <cell r="M47">
            <v>0.01</v>
          </cell>
          <cell r="N47">
            <v>0.01</v>
          </cell>
          <cell r="O47">
            <v>0.01</v>
          </cell>
          <cell r="P47">
            <v>0.01</v>
          </cell>
          <cell r="Q47">
            <v>0.01</v>
          </cell>
          <cell r="R47">
            <v>0.01</v>
          </cell>
          <cell r="S47">
            <v>0.01</v>
          </cell>
          <cell r="T47">
            <v>0.01</v>
          </cell>
          <cell r="X47">
            <v>0.01</v>
          </cell>
          <cell r="Y47">
            <v>0.01</v>
          </cell>
        </row>
        <row r="48">
          <cell r="B48" t="str">
            <v>Chiller - chilled water retrofit-Retro</v>
          </cell>
          <cell r="C48">
            <v>0.01</v>
          </cell>
          <cell r="D48">
            <v>0.01</v>
          </cell>
          <cell r="E48">
            <v>0.01</v>
          </cell>
          <cell r="F48">
            <v>0.01</v>
          </cell>
          <cell r="G48">
            <v>0.01</v>
          </cell>
          <cell r="H48">
            <v>0.01</v>
          </cell>
          <cell r="I48">
            <v>0.01</v>
          </cell>
          <cell r="J48">
            <v>0.01</v>
          </cell>
          <cell r="K48">
            <v>0.01</v>
          </cell>
          <cell r="L48">
            <v>0.01</v>
          </cell>
          <cell r="M48">
            <v>0.01</v>
          </cell>
          <cell r="N48">
            <v>0.01</v>
          </cell>
          <cell r="O48">
            <v>0.01</v>
          </cell>
          <cell r="P48">
            <v>0.01</v>
          </cell>
          <cell r="Q48">
            <v>0.01</v>
          </cell>
          <cell r="R48">
            <v>0.01</v>
          </cell>
          <cell r="S48">
            <v>0.01</v>
          </cell>
          <cell r="T48">
            <v>0.01</v>
          </cell>
          <cell r="X48">
            <v>0.01</v>
          </cell>
          <cell r="Y48">
            <v>0.01</v>
          </cell>
        </row>
        <row r="49">
          <cell r="B49" t="str">
            <v>Chiller - equip retrofits-Retro</v>
          </cell>
          <cell r="C49">
            <v>0.01</v>
          </cell>
          <cell r="D49">
            <v>0.01</v>
          </cell>
          <cell r="E49">
            <v>0.01</v>
          </cell>
          <cell r="F49">
            <v>0.01</v>
          </cell>
          <cell r="G49">
            <v>0.01</v>
          </cell>
          <cell r="H49">
            <v>0.01</v>
          </cell>
          <cell r="I49">
            <v>0.01</v>
          </cell>
          <cell r="J49">
            <v>0.01</v>
          </cell>
          <cell r="K49">
            <v>0.01</v>
          </cell>
          <cell r="L49">
            <v>0.01</v>
          </cell>
          <cell r="M49">
            <v>0.01</v>
          </cell>
          <cell r="N49">
            <v>0.01</v>
          </cell>
          <cell r="O49">
            <v>0.01</v>
          </cell>
          <cell r="P49">
            <v>0.01</v>
          </cell>
          <cell r="Q49">
            <v>0.01</v>
          </cell>
          <cell r="R49">
            <v>0.01</v>
          </cell>
          <cell r="S49">
            <v>0.01</v>
          </cell>
          <cell r="T49">
            <v>0.01</v>
          </cell>
          <cell r="X49">
            <v>0.01</v>
          </cell>
          <cell r="Y49">
            <v>0.01</v>
          </cell>
        </row>
        <row r="50">
          <cell r="B50" t="str">
            <v>Pool Blankets-Retro</v>
          </cell>
          <cell r="C50">
            <v>0.01</v>
          </cell>
          <cell r="D50">
            <v>0.01</v>
          </cell>
          <cell r="E50">
            <v>0.01</v>
          </cell>
          <cell r="F50">
            <v>0.01</v>
          </cell>
          <cell r="G50">
            <v>0.01</v>
          </cell>
          <cell r="H50">
            <v>0.01</v>
          </cell>
          <cell r="I50">
            <v>0.01</v>
          </cell>
          <cell r="J50">
            <v>0.01</v>
          </cell>
          <cell r="K50">
            <v>0.01</v>
          </cell>
          <cell r="L50">
            <v>0.01</v>
          </cell>
          <cell r="M50">
            <v>0.01</v>
          </cell>
          <cell r="N50">
            <v>0.01</v>
          </cell>
          <cell r="O50">
            <v>0.01</v>
          </cell>
          <cell r="P50">
            <v>0.01</v>
          </cell>
          <cell r="Q50">
            <v>0.01</v>
          </cell>
          <cell r="R50">
            <v>0.01</v>
          </cell>
          <cell r="S50">
            <v>0.01</v>
          </cell>
          <cell r="T50">
            <v>0.01</v>
          </cell>
          <cell r="X50">
            <v>0.01</v>
          </cell>
          <cell r="Y50">
            <v>0.01</v>
          </cell>
        </row>
        <row r="51">
          <cell r="B51" t="str">
            <v>Web-Enabled Thermostats-Retro</v>
          </cell>
          <cell r="C51">
            <v>0.01</v>
          </cell>
          <cell r="D51">
            <v>0.01</v>
          </cell>
          <cell r="E51">
            <v>0.01</v>
          </cell>
          <cell r="F51">
            <v>0.01</v>
          </cell>
          <cell r="G51">
            <v>0.01</v>
          </cell>
          <cell r="H51">
            <v>0.01</v>
          </cell>
          <cell r="I51">
            <v>0.01</v>
          </cell>
          <cell r="J51">
            <v>0.01</v>
          </cell>
          <cell r="K51">
            <v>0.01</v>
          </cell>
          <cell r="L51">
            <v>0.01</v>
          </cell>
          <cell r="M51">
            <v>0.01</v>
          </cell>
          <cell r="N51">
            <v>0.01</v>
          </cell>
          <cell r="O51">
            <v>0.01</v>
          </cell>
          <cell r="P51">
            <v>0.01</v>
          </cell>
          <cell r="Q51">
            <v>0.01</v>
          </cell>
          <cell r="R51">
            <v>0.01</v>
          </cell>
          <cell r="S51">
            <v>0.01</v>
          </cell>
          <cell r="T51">
            <v>0.01</v>
          </cell>
          <cell r="X51">
            <v>0.01</v>
          </cell>
          <cell r="Y51">
            <v>0.01</v>
          </cell>
        </row>
        <row r="52">
          <cell r="B52" t="str">
            <v>Garage CO2 ventilation-Retro</v>
          </cell>
          <cell r="C52">
            <v>0.01</v>
          </cell>
          <cell r="D52">
            <v>0.01</v>
          </cell>
          <cell r="E52">
            <v>0.01</v>
          </cell>
          <cell r="F52">
            <v>0.01</v>
          </cell>
          <cell r="G52">
            <v>0.01</v>
          </cell>
          <cell r="H52">
            <v>0.01</v>
          </cell>
          <cell r="I52">
            <v>0.01</v>
          </cell>
          <cell r="J52">
            <v>0.01</v>
          </cell>
          <cell r="K52">
            <v>0.01</v>
          </cell>
          <cell r="L52">
            <v>0.01</v>
          </cell>
          <cell r="M52">
            <v>0.01</v>
          </cell>
          <cell r="N52">
            <v>0.01</v>
          </cell>
          <cell r="O52">
            <v>0.01</v>
          </cell>
          <cell r="P52">
            <v>0.01</v>
          </cell>
          <cell r="Q52">
            <v>0.01</v>
          </cell>
          <cell r="R52">
            <v>0.01</v>
          </cell>
          <cell r="S52">
            <v>0.01</v>
          </cell>
          <cell r="T52">
            <v>0.01</v>
          </cell>
          <cell r="X52">
            <v>0.01</v>
          </cell>
          <cell r="Y52">
            <v>0.01</v>
          </cell>
        </row>
        <row r="53">
          <cell r="B53" t="str">
            <v>Circ Pump ECM and drive-Retro</v>
          </cell>
          <cell r="C53">
            <v>0.01</v>
          </cell>
          <cell r="D53">
            <v>0.01</v>
          </cell>
          <cell r="E53">
            <v>0.01</v>
          </cell>
          <cell r="F53">
            <v>0.01</v>
          </cell>
          <cell r="G53">
            <v>0.01</v>
          </cell>
          <cell r="H53">
            <v>0.01</v>
          </cell>
          <cell r="I53">
            <v>0.01</v>
          </cell>
          <cell r="J53">
            <v>0.01</v>
          </cell>
          <cell r="K53">
            <v>0.01</v>
          </cell>
          <cell r="L53">
            <v>0.01</v>
          </cell>
          <cell r="M53">
            <v>0.01</v>
          </cell>
          <cell r="N53">
            <v>0.01</v>
          </cell>
          <cell r="O53">
            <v>0.01</v>
          </cell>
          <cell r="P53">
            <v>0.01</v>
          </cell>
          <cell r="Q53">
            <v>0.01</v>
          </cell>
          <cell r="R53">
            <v>0.01</v>
          </cell>
          <cell r="S53">
            <v>0.01</v>
          </cell>
          <cell r="T53">
            <v>0.01</v>
          </cell>
          <cell r="X53">
            <v>0.01</v>
          </cell>
          <cell r="Y53">
            <v>0.01</v>
          </cell>
        </row>
        <row r="54">
          <cell r="B54" t="str">
            <v>VRF-New</v>
          </cell>
          <cell r="C54">
            <v>0</v>
          </cell>
          <cell r="D54">
            <v>0.95</v>
          </cell>
          <cell r="E54">
            <v>0.95</v>
          </cell>
          <cell r="F54">
            <v>0</v>
          </cell>
          <cell r="G54">
            <v>0</v>
          </cell>
          <cell r="H54">
            <v>0</v>
          </cell>
          <cell r="I54">
            <v>0</v>
          </cell>
          <cell r="J54">
            <v>0.95</v>
          </cell>
          <cell r="K54">
            <v>0.95</v>
          </cell>
          <cell r="L54">
            <v>0</v>
          </cell>
          <cell r="M54">
            <v>0</v>
          </cell>
          <cell r="N54">
            <v>0</v>
          </cell>
          <cell r="O54">
            <v>0</v>
          </cell>
          <cell r="P54">
            <v>0.95</v>
          </cell>
          <cell r="Q54">
            <v>0.95</v>
          </cell>
          <cell r="R54">
            <v>0.95</v>
          </cell>
          <cell r="S54">
            <v>0</v>
          </cell>
          <cell r="T54">
            <v>0.95</v>
          </cell>
          <cell r="X54">
            <v>0</v>
          </cell>
          <cell r="Y54">
            <v>1</v>
          </cell>
        </row>
        <row r="55">
          <cell r="B55" t="str">
            <v>Cool Roofs-Retro</v>
          </cell>
          <cell r="C55">
            <v>0.01</v>
          </cell>
          <cell r="D55">
            <v>0.01</v>
          </cell>
          <cell r="E55">
            <v>0.01</v>
          </cell>
          <cell r="F55">
            <v>0.01</v>
          </cell>
          <cell r="G55">
            <v>0.01</v>
          </cell>
          <cell r="H55">
            <v>0.01</v>
          </cell>
          <cell r="I55">
            <v>0.01</v>
          </cell>
          <cell r="J55">
            <v>0.01</v>
          </cell>
          <cell r="K55">
            <v>0.01</v>
          </cell>
          <cell r="L55">
            <v>0.01</v>
          </cell>
          <cell r="M55">
            <v>0.01</v>
          </cell>
          <cell r="N55">
            <v>0.01</v>
          </cell>
          <cell r="O55">
            <v>0.01</v>
          </cell>
          <cell r="P55">
            <v>0.01</v>
          </cell>
          <cell r="Q55">
            <v>0.01</v>
          </cell>
          <cell r="R55">
            <v>0.01</v>
          </cell>
          <cell r="S55">
            <v>0.01</v>
          </cell>
          <cell r="T55">
            <v>0.01</v>
          </cell>
          <cell r="X55">
            <v>0.01</v>
          </cell>
          <cell r="Y55">
            <v>0.01</v>
          </cell>
        </row>
        <row r="56">
          <cell r="B56" t="str">
            <v>Evaporator Roof Top HVAC-Retro</v>
          </cell>
          <cell r="C56">
            <v>0.01</v>
          </cell>
          <cell r="D56">
            <v>0.01</v>
          </cell>
          <cell r="E56">
            <v>0.01</v>
          </cell>
          <cell r="F56">
            <v>0.01</v>
          </cell>
          <cell r="G56">
            <v>0.01</v>
          </cell>
          <cell r="H56">
            <v>0.01</v>
          </cell>
          <cell r="I56">
            <v>0.01</v>
          </cell>
          <cell r="J56">
            <v>0.01</v>
          </cell>
          <cell r="K56">
            <v>0.01</v>
          </cell>
          <cell r="L56">
            <v>0.01</v>
          </cell>
          <cell r="M56">
            <v>0.01</v>
          </cell>
          <cell r="N56">
            <v>0.01</v>
          </cell>
          <cell r="O56">
            <v>0.01</v>
          </cell>
          <cell r="P56">
            <v>0.01</v>
          </cell>
          <cell r="Q56">
            <v>0.01</v>
          </cell>
          <cell r="R56">
            <v>0.01</v>
          </cell>
          <cell r="S56">
            <v>0.01</v>
          </cell>
          <cell r="T56">
            <v>0.01</v>
          </cell>
          <cell r="X56">
            <v>0.01</v>
          </cell>
          <cell r="Y56">
            <v>0.01</v>
          </cell>
        </row>
        <row r="57">
          <cell r="B57" t="str">
            <v>Secondary Glazing Systems-Retro</v>
          </cell>
          <cell r="C57">
            <v>0.01</v>
          </cell>
          <cell r="D57">
            <v>0.01</v>
          </cell>
          <cell r="E57">
            <v>0.01</v>
          </cell>
          <cell r="F57">
            <v>0.01</v>
          </cell>
          <cell r="G57">
            <v>0.01</v>
          </cell>
          <cell r="H57">
            <v>0.01</v>
          </cell>
          <cell r="I57">
            <v>0.01</v>
          </cell>
          <cell r="J57">
            <v>0.01</v>
          </cell>
          <cell r="K57">
            <v>0.01</v>
          </cell>
          <cell r="L57">
            <v>0.01</v>
          </cell>
          <cell r="M57">
            <v>0.01</v>
          </cell>
          <cell r="N57">
            <v>0.01</v>
          </cell>
          <cell r="O57">
            <v>0.01</v>
          </cell>
          <cell r="P57">
            <v>0.01</v>
          </cell>
          <cell r="Q57">
            <v>0.01</v>
          </cell>
          <cell r="R57">
            <v>0.01</v>
          </cell>
          <cell r="S57">
            <v>0.01</v>
          </cell>
          <cell r="T57">
            <v>0.01</v>
          </cell>
          <cell r="X57">
            <v>0.01</v>
          </cell>
          <cell r="Y57">
            <v>0.01</v>
          </cell>
        </row>
        <row r="58">
          <cell r="B58" t="str">
            <v>LPD Package-New</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X58">
            <v>0</v>
          </cell>
          <cell r="Y58">
            <v>0</v>
          </cell>
        </row>
        <row r="59">
          <cell r="B59" t="str">
            <v>LPD Package-NR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X59">
            <v>0</v>
          </cell>
          <cell r="Y59">
            <v>0</v>
          </cell>
        </row>
        <row r="60">
          <cell r="B60" t="str">
            <v>LPD Package-Retro</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X60">
            <v>0</v>
          </cell>
          <cell r="Y60">
            <v>0</v>
          </cell>
        </row>
        <row r="61">
          <cell r="B61" t="str">
            <v>Top Daylighting-New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X61">
            <v>0</v>
          </cell>
          <cell r="Y61">
            <v>0</v>
          </cell>
        </row>
        <row r="62">
          <cell r="B62" t="str">
            <v>Perimeter Daylighting Controls Advanced-New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X62">
            <v>0</v>
          </cell>
          <cell r="Y62">
            <v>0</v>
          </cell>
        </row>
        <row r="63">
          <cell r="B63" t="str">
            <v>Perimeter Daylighting Controls Advanced-NR</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X63">
            <v>0</v>
          </cell>
          <cell r="Y63">
            <v>0</v>
          </cell>
        </row>
        <row r="64">
          <cell r="B64" t="str">
            <v>Lighting Controls Interior-New</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X64">
            <v>0</v>
          </cell>
          <cell r="Y64">
            <v>0</v>
          </cell>
        </row>
        <row r="65">
          <cell r="B65" t="str">
            <v>Lighting Controls Interior-NR</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X65">
            <v>0</v>
          </cell>
          <cell r="Y65">
            <v>0</v>
          </cell>
        </row>
        <row r="66">
          <cell r="B66" t="str">
            <v>Exterior Building Lighting-New</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X66">
            <v>0</v>
          </cell>
          <cell r="Y66">
            <v>0</v>
          </cell>
        </row>
        <row r="67">
          <cell r="B67" t="str">
            <v>Exterior Building Lighting-NR</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X67">
            <v>0</v>
          </cell>
          <cell r="Y67">
            <v>0</v>
          </cell>
        </row>
        <row r="68">
          <cell r="B68" t="str">
            <v>Street and Roadway Lighting-New</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0.5</v>
          </cell>
          <cell r="X68">
            <v>0</v>
          </cell>
          <cell r="Y68">
            <v>0</v>
          </cell>
        </row>
        <row r="69">
          <cell r="B69" t="str">
            <v>Street and Roadway Lighting-NR</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1</v>
          </cell>
          <cell r="X69">
            <v>0</v>
          </cell>
          <cell r="Y69">
            <v>0</v>
          </cell>
        </row>
        <row r="70">
          <cell r="B70" t="str">
            <v>Parking Lighting-New</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X70">
            <v>0</v>
          </cell>
          <cell r="Y70">
            <v>0</v>
          </cell>
        </row>
        <row r="71">
          <cell r="B71" t="str">
            <v>Parking Lighting-NR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X71">
            <v>0</v>
          </cell>
          <cell r="Y71">
            <v>0</v>
          </cell>
        </row>
        <row r="72">
          <cell r="B72" t="str">
            <v>Luminaire Level Lighting Controls-Retro</v>
          </cell>
          <cell r="C72">
            <v>0.01</v>
          </cell>
          <cell r="D72">
            <v>0.01</v>
          </cell>
          <cell r="E72">
            <v>0.01</v>
          </cell>
          <cell r="F72">
            <v>0.01</v>
          </cell>
          <cell r="G72">
            <v>0.01</v>
          </cell>
          <cell r="H72">
            <v>0.01</v>
          </cell>
          <cell r="I72">
            <v>0.01</v>
          </cell>
          <cell r="J72">
            <v>0.01</v>
          </cell>
          <cell r="K72">
            <v>0.01</v>
          </cell>
          <cell r="L72">
            <v>0.01</v>
          </cell>
          <cell r="M72">
            <v>0.01</v>
          </cell>
          <cell r="N72">
            <v>0.01</v>
          </cell>
          <cell r="O72">
            <v>0.01</v>
          </cell>
          <cell r="P72">
            <v>0.01</v>
          </cell>
          <cell r="Q72">
            <v>0.01</v>
          </cell>
          <cell r="R72">
            <v>0.01</v>
          </cell>
          <cell r="S72">
            <v>0.01</v>
          </cell>
          <cell r="T72">
            <v>0.01</v>
          </cell>
          <cell r="X72">
            <v>0.01</v>
          </cell>
          <cell r="Y72">
            <v>0.01</v>
          </cell>
        </row>
        <row r="73">
          <cell r="B73" t="str">
            <v>ECM on VAV Boxes-New</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X73">
            <v>0</v>
          </cell>
          <cell r="Y73">
            <v>0</v>
          </cell>
        </row>
        <row r="74">
          <cell r="B74" t="str">
            <v>ECM on VAV Boxes-NR</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X74">
            <v>0</v>
          </cell>
          <cell r="Y74">
            <v>0</v>
          </cell>
        </row>
        <row r="75">
          <cell r="B75" t="str">
            <v>Pool pumps-Retro</v>
          </cell>
          <cell r="C75">
            <v>0.01</v>
          </cell>
          <cell r="D75">
            <v>0.01</v>
          </cell>
          <cell r="E75">
            <v>0.01</v>
          </cell>
          <cell r="F75">
            <v>0.01</v>
          </cell>
          <cell r="G75">
            <v>0.01</v>
          </cell>
          <cell r="H75">
            <v>0.01</v>
          </cell>
          <cell r="I75">
            <v>0.01</v>
          </cell>
          <cell r="J75">
            <v>0.01</v>
          </cell>
          <cell r="K75">
            <v>0.01</v>
          </cell>
          <cell r="L75">
            <v>0.01</v>
          </cell>
          <cell r="M75">
            <v>0.01</v>
          </cell>
          <cell r="N75">
            <v>0.01</v>
          </cell>
          <cell r="O75">
            <v>0.01</v>
          </cell>
          <cell r="P75">
            <v>0.01</v>
          </cell>
          <cell r="Q75">
            <v>0.01</v>
          </cell>
          <cell r="R75">
            <v>0.01</v>
          </cell>
          <cell r="S75">
            <v>0.01</v>
          </cell>
          <cell r="T75">
            <v>0.01</v>
          </cell>
          <cell r="X75">
            <v>0.01</v>
          </cell>
          <cell r="Y75">
            <v>0.01</v>
          </cell>
        </row>
        <row r="76">
          <cell r="B76" t="str">
            <v>Switched Reluctance/Permanent Magnet Motors-Retro</v>
          </cell>
          <cell r="C76">
            <v>0.01</v>
          </cell>
          <cell r="D76">
            <v>0.01</v>
          </cell>
          <cell r="E76">
            <v>0.01</v>
          </cell>
          <cell r="F76">
            <v>0.01</v>
          </cell>
          <cell r="G76">
            <v>0.01</v>
          </cell>
          <cell r="H76">
            <v>0.01</v>
          </cell>
          <cell r="I76">
            <v>0.01</v>
          </cell>
          <cell r="J76">
            <v>0.01</v>
          </cell>
          <cell r="K76">
            <v>0.01</v>
          </cell>
          <cell r="L76">
            <v>0.01</v>
          </cell>
          <cell r="M76">
            <v>0.01</v>
          </cell>
          <cell r="N76">
            <v>0.01</v>
          </cell>
          <cell r="O76">
            <v>0.01</v>
          </cell>
          <cell r="P76">
            <v>0.01</v>
          </cell>
          <cell r="Q76">
            <v>0.01</v>
          </cell>
          <cell r="R76">
            <v>0.01</v>
          </cell>
          <cell r="S76">
            <v>0.01</v>
          </cell>
          <cell r="T76">
            <v>0.01</v>
          </cell>
          <cell r="X76">
            <v>0.01</v>
          </cell>
          <cell r="Y76">
            <v>0.01</v>
          </cell>
        </row>
        <row r="77">
          <cell r="B77" t="str">
            <v>Motors - Rewind-NR</v>
          </cell>
          <cell r="C77">
            <v>0.01</v>
          </cell>
          <cell r="D77">
            <v>0.01</v>
          </cell>
          <cell r="E77">
            <v>0.01</v>
          </cell>
          <cell r="F77">
            <v>0.01</v>
          </cell>
          <cell r="G77">
            <v>0.01</v>
          </cell>
          <cell r="H77">
            <v>0.01</v>
          </cell>
          <cell r="I77">
            <v>0.01</v>
          </cell>
          <cell r="J77">
            <v>0.01</v>
          </cell>
          <cell r="K77">
            <v>0.01</v>
          </cell>
          <cell r="L77">
            <v>0.01</v>
          </cell>
          <cell r="M77">
            <v>0.01</v>
          </cell>
          <cell r="N77">
            <v>0.01</v>
          </cell>
          <cell r="O77">
            <v>0.01</v>
          </cell>
          <cell r="P77">
            <v>0.01</v>
          </cell>
          <cell r="Q77">
            <v>0.01</v>
          </cell>
          <cell r="R77">
            <v>0.01</v>
          </cell>
          <cell r="S77">
            <v>0.01</v>
          </cell>
          <cell r="T77">
            <v>0.01</v>
          </cell>
          <cell r="X77">
            <v>0.01</v>
          </cell>
          <cell r="Y77">
            <v>0.01</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1</v>
          </cell>
          <cell r="X78">
            <v>0</v>
          </cell>
          <cell r="Y78">
            <v>0</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v>
          </cell>
          <cell r="X79">
            <v>0</v>
          </cell>
          <cell r="Y79">
            <v>0</v>
          </cell>
        </row>
        <row r="80">
          <cell r="B80" t="str">
            <v>Engine Generator Block Heaters-Retro</v>
          </cell>
          <cell r="C80">
            <v>0.01</v>
          </cell>
          <cell r="D80">
            <v>0.01</v>
          </cell>
          <cell r="E80">
            <v>0.01</v>
          </cell>
          <cell r="F80">
            <v>0.01</v>
          </cell>
          <cell r="G80">
            <v>0.01</v>
          </cell>
          <cell r="H80">
            <v>0.01</v>
          </cell>
          <cell r="I80">
            <v>0.01</v>
          </cell>
          <cell r="J80">
            <v>0.01</v>
          </cell>
          <cell r="K80">
            <v>0.01</v>
          </cell>
          <cell r="L80">
            <v>0.01</v>
          </cell>
          <cell r="M80">
            <v>0.01</v>
          </cell>
          <cell r="N80">
            <v>0.01</v>
          </cell>
          <cell r="O80">
            <v>0.01</v>
          </cell>
          <cell r="P80">
            <v>0.01</v>
          </cell>
          <cell r="Q80">
            <v>0.01</v>
          </cell>
          <cell r="R80">
            <v>0.01</v>
          </cell>
          <cell r="S80">
            <v>0.01</v>
          </cell>
          <cell r="T80">
            <v>0.01</v>
          </cell>
          <cell r="X80">
            <v>0.01</v>
          </cell>
          <cell r="Y80">
            <v>0.01</v>
          </cell>
        </row>
        <row r="81">
          <cell r="B81" t="str">
            <v>Grocery Refrigeration Bundle-Retro</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X81">
            <v>0</v>
          </cell>
          <cell r="Y81">
            <v>0</v>
          </cell>
        </row>
        <row r="82">
          <cell r="B82" t="str">
            <v>Packaged Refrigeration Equipment-New</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X82">
            <v>0</v>
          </cell>
          <cell r="Y82">
            <v>0</v>
          </cell>
        </row>
        <row r="83">
          <cell r="B83" t="str">
            <v>Appliances - Freezers-NR</v>
          </cell>
          <cell r="C83">
            <v>0.01</v>
          </cell>
          <cell r="D83">
            <v>0.01</v>
          </cell>
          <cell r="E83">
            <v>0.01</v>
          </cell>
          <cell r="F83">
            <v>0.01</v>
          </cell>
          <cell r="G83">
            <v>0.01</v>
          </cell>
          <cell r="H83">
            <v>0.01</v>
          </cell>
          <cell r="I83">
            <v>0.01</v>
          </cell>
          <cell r="J83">
            <v>0.01</v>
          </cell>
          <cell r="K83">
            <v>0.01</v>
          </cell>
          <cell r="L83">
            <v>0.01</v>
          </cell>
          <cell r="M83">
            <v>0.01</v>
          </cell>
          <cell r="N83">
            <v>0.01</v>
          </cell>
          <cell r="O83">
            <v>0.01</v>
          </cell>
          <cell r="P83">
            <v>0.01</v>
          </cell>
          <cell r="Q83">
            <v>0.01</v>
          </cell>
          <cell r="R83">
            <v>0.01</v>
          </cell>
          <cell r="S83">
            <v>0.01</v>
          </cell>
          <cell r="T83">
            <v>0.01</v>
          </cell>
          <cell r="U83" t="e">
            <v>#VALUE!</v>
          </cell>
          <cell r="X83">
            <v>0.01</v>
          </cell>
          <cell r="Y83">
            <v>0.01</v>
          </cell>
        </row>
        <row r="84">
          <cell r="B84" t="str">
            <v>Appliances - Refrigerators-NR</v>
          </cell>
          <cell r="C84">
            <v>0.01</v>
          </cell>
          <cell r="D84">
            <v>0.01</v>
          </cell>
          <cell r="E84">
            <v>0.01</v>
          </cell>
          <cell r="F84">
            <v>0.01</v>
          </cell>
          <cell r="G84">
            <v>0.01</v>
          </cell>
          <cell r="H84">
            <v>0.01</v>
          </cell>
          <cell r="I84">
            <v>0.01</v>
          </cell>
          <cell r="J84">
            <v>0.01</v>
          </cell>
          <cell r="K84">
            <v>0.01</v>
          </cell>
          <cell r="L84">
            <v>0.01</v>
          </cell>
          <cell r="M84">
            <v>0.01</v>
          </cell>
          <cell r="N84">
            <v>0.01</v>
          </cell>
          <cell r="O84">
            <v>0.01</v>
          </cell>
          <cell r="P84">
            <v>0.01</v>
          </cell>
          <cell r="Q84">
            <v>0.01</v>
          </cell>
          <cell r="R84">
            <v>0.01</v>
          </cell>
          <cell r="S84">
            <v>0.01</v>
          </cell>
          <cell r="T84">
            <v>0.01</v>
          </cell>
          <cell r="U84" t="e">
            <v>#VALUE!</v>
          </cell>
          <cell r="X84">
            <v>0.01</v>
          </cell>
          <cell r="Y84">
            <v>0.01</v>
          </cell>
        </row>
        <row r="85">
          <cell r="B85" t="str">
            <v>Water Cooler Controls-Retro</v>
          </cell>
          <cell r="C85">
            <v>0.01</v>
          </cell>
          <cell r="D85">
            <v>0.01</v>
          </cell>
          <cell r="E85">
            <v>0.01</v>
          </cell>
          <cell r="F85">
            <v>0.01</v>
          </cell>
          <cell r="G85">
            <v>0.01</v>
          </cell>
          <cell r="H85">
            <v>0.01</v>
          </cell>
          <cell r="I85">
            <v>0.01</v>
          </cell>
          <cell r="J85">
            <v>0.01</v>
          </cell>
          <cell r="K85">
            <v>0.01</v>
          </cell>
          <cell r="L85">
            <v>0.01</v>
          </cell>
          <cell r="M85">
            <v>0.01</v>
          </cell>
          <cell r="N85">
            <v>0.01</v>
          </cell>
          <cell r="O85">
            <v>0.01</v>
          </cell>
          <cell r="P85">
            <v>0.01</v>
          </cell>
          <cell r="Q85">
            <v>0.01</v>
          </cell>
          <cell r="R85">
            <v>0.01</v>
          </cell>
          <cell r="S85">
            <v>0.01</v>
          </cell>
          <cell r="T85">
            <v>0.01</v>
          </cell>
          <cell r="U85" t="e">
            <v>#VALUE!</v>
          </cell>
          <cell r="X85">
            <v>0.01</v>
          </cell>
          <cell r="Y85">
            <v>0.01</v>
          </cell>
        </row>
        <row r="86">
          <cell r="B86" t="str">
            <v>Commercial Clothes Washers-New</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v>0</v>
          </cell>
          <cell r="Y86">
            <v>0</v>
          </cell>
        </row>
        <row r="87">
          <cell r="B87" t="str">
            <v>DHW - Efficient Tanks-Retro</v>
          </cell>
          <cell r="C87">
            <v>0.01</v>
          </cell>
          <cell r="D87">
            <v>0.01</v>
          </cell>
          <cell r="E87">
            <v>0.01</v>
          </cell>
          <cell r="F87">
            <v>0.01</v>
          </cell>
          <cell r="G87">
            <v>0.01</v>
          </cell>
          <cell r="H87">
            <v>0.01</v>
          </cell>
          <cell r="I87">
            <v>0.01</v>
          </cell>
          <cell r="J87">
            <v>0.01</v>
          </cell>
          <cell r="K87">
            <v>0.01</v>
          </cell>
          <cell r="L87">
            <v>0.01</v>
          </cell>
          <cell r="M87">
            <v>0.01</v>
          </cell>
          <cell r="N87">
            <v>0.01</v>
          </cell>
          <cell r="O87">
            <v>0.01</v>
          </cell>
          <cell r="P87">
            <v>0.01</v>
          </cell>
          <cell r="Q87">
            <v>0.01</v>
          </cell>
          <cell r="R87">
            <v>0.01</v>
          </cell>
          <cell r="S87">
            <v>0.01</v>
          </cell>
          <cell r="T87">
            <v>0.01</v>
          </cell>
          <cell r="U87" t="e">
            <v>#VALUE!</v>
          </cell>
          <cell r="X87">
            <v>0.01</v>
          </cell>
          <cell r="Y87">
            <v>0.01</v>
          </cell>
        </row>
        <row r="88">
          <cell r="B88" t="str">
            <v>Appliances - Clothes Washers-NR</v>
          </cell>
          <cell r="C88">
            <v>0.01</v>
          </cell>
          <cell r="D88">
            <v>0.01</v>
          </cell>
          <cell r="E88">
            <v>0.01</v>
          </cell>
          <cell r="F88">
            <v>0.01</v>
          </cell>
          <cell r="G88">
            <v>0.01</v>
          </cell>
          <cell r="H88">
            <v>0.01</v>
          </cell>
          <cell r="I88">
            <v>0.01</v>
          </cell>
          <cell r="J88">
            <v>0.01</v>
          </cell>
          <cell r="K88">
            <v>0.01</v>
          </cell>
          <cell r="L88">
            <v>0.01</v>
          </cell>
          <cell r="M88">
            <v>0.01</v>
          </cell>
          <cell r="N88">
            <v>0.01</v>
          </cell>
          <cell r="O88">
            <v>0.01</v>
          </cell>
          <cell r="P88">
            <v>0.01</v>
          </cell>
          <cell r="Q88">
            <v>0.01</v>
          </cell>
          <cell r="R88">
            <v>0.01</v>
          </cell>
          <cell r="S88">
            <v>0.01</v>
          </cell>
          <cell r="T88">
            <v>0.01</v>
          </cell>
          <cell r="U88" t="e">
            <v>#VALUE!</v>
          </cell>
          <cell r="X88">
            <v>0.01</v>
          </cell>
          <cell r="Y88">
            <v>0.01</v>
          </cell>
        </row>
        <row r="89">
          <cell r="B89" t="str">
            <v>DHW - Showerheads-Retro</v>
          </cell>
          <cell r="C89">
            <v>0.01</v>
          </cell>
          <cell r="D89">
            <v>0.01</v>
          </cell>
          <cell r="E89">
            <v>0.01</v>
          </cell>
          <cell r="F89">
            <v>0.01</v>
          </cell>
          <cell r="G89">
            <v>0.01</v>
          </cell>
          <cell r="H89">
            <v>0.01</v>
          </cell>
          <cell r="I89">
            <v>0.01</v>
          </cell>
          <cell r="J89">
            <v>0.01</v>
          </cell>
          <cell r="K89">
            <v>0.01</v>
          </cell>
          <cell r="L89">
            <v>0.01</v>
          </cell>
          <cell r="M89">
            <v>0.01</v>
          </cell>
          <cell r="N89">
            <v>0.01</v>
          </cell>
          <cell r="O89">
            <v>0.01</v>
          </cell>
          <cell r="P89">
            <v>0.01</v>
          </cell>
          <cell r="Q89">
            <v>0.01</v>
          </cell>
          <cell r="R89">
            <v>0.01</v>
          </cell>
          <cell r="S89">
            <v>0.01</v>
          </cell>
          <cell r="T89">
            <v>0.01</v>
          </cell>
          <cell r="U89" t="e">
            <v>#VALUE!</v>
          </cell>
          <cell r="X89">
            <v>0.01</v>
          </cell>
          <cell r="Y89">
            <v>0.01</v>
          </cell>
        </row>
        <row r="90">
          <cell r="B90" t="str">
            <v>Water Heating - GFHX-New</v>
          </cell>
          <cell r="C90">
            <v>0.01</v>
          </cell>
          <cell r="D90">
            <v>0.01</v>
          </cell>
          <cell r="E90">
            <v>0.01</v>
          </cell>
          <cell r="F90">
            <v>0.01</v>
          </cell>
          <cell r="G90">
            <v>0.01</v>
          </cell>
          <cell r="H90">
            <v>0.01</v>
          </cell>
          <cell r="I90">
            <v>0.01</v>
          </cell>
          <cell r="J90">
            <v>0.01</v>
          </cell>
          <cell r="K90">
            <v>0.01</v>
          </cell>
          <cell r="L90">
            <v>0.01</v>
          </cell>
          <cell r="M90">
            <v>0.01</v>
          </cell>
          <cell r="N90">
            <v>0.01</v>
          </cell>
          <cell r="O90">
            <v>0.01</v>
          </cell>
          <cell r="P90">
            <v>0.01</v>
          </cell>
          <cell r="Q90">
            <v>0.01</v>
          </cell>
          <cell r="R90">
            <v>0.01</v>
          </cell>
          <cell r="S90">
            <v>0.01</v>
          </cell>
          <cell r="T90">
            <v>0.01</v>
          </cell>
          <cell r="U90" t="e">
            <v>#VALUE!</v>
          </cell>
          <cell r="X90">
            <v>0.01</v>
          </cell>
          <cell r="Y90">
            <v>0.01</v>
          </cell>
        </row>
        <row r="91">
          <cell r="B91" t="str">
            <v>Demand Control Circulating system DHW-Retro</v>
          </cell>
          <cell r="C91">
            <v>0.01</v>
          </cell>
          <cell r="D91">
            <v>0.01</v>
          </cell>
          <cell r="E91">
            <v>0.01</v>
          </cell>
          <cell r="F91">
            <v>0.01</v>
          </cell>
          <cell r="G91">
            <v>0.01</v>
          </cell>
          <cell r="H91">
            <v>0.01</v>
          </cell>
          <cell r="I91">
            <v>0.01</v>
          </cell>
          <cell r="J91">
            <v>0.01</v>
          </cell>
          <cell r="K91">
            <v>0.01</v>
          </cell>
          <cell r="L91">
            <v>0.01</v>
          </cell>
          <cell r="M91">
            <v>0.01</v>
          </cell>
          <cell r="N91">
            <v>0.01</v>
          </cell>
          <cell r="O91">
            <v>0.01</v>
          </cell>
          <cell r="P91">
            <v>0.01</v>
          </cell>
          <cell r="Q91">
            <v>0.01</v>
          </cell>
          <cell r="R91">
            <v>0.01</v>
          </cell>
          <cell r="S91">
            <v>0.01</v>
          </cell>
          <cell r="T91">
            <v>0.01</v>
          </cell>
          <cell r="U91" t="e">
            <v>#VALUE!</v>
          </cell>
          <cell r="X91">
            <v>0.01</v>
          </cell>
          <cell r="Y91">
            <v>0.01</v>
          </cell>
        </row>
        <row r="92">
          <cell r="B92" t="str">
            <v>Central HPWH MF-Retro</v>
          </cell>
          <cell r="C92">
            <v>0.01</v>
          </cell>
          <cell r="D92">
            <v>0.01</v>
          </cell>
          <cell r="E92">
            <v>0.01</v>
          </cell>
          <cell r="F92">
            <v>0.01</v>
          </cell>
          <cell r="G92">
            <v>0.01</v>
          </cell>
          <cell r="H92">
            <v>0.01</v>
          </cell>
          <cell r="I92">
            <v>0.01</v>
          </cell>
          <cell r="J92">
            <v>0.01</v>
          </cell>
          <cell r="K92">
            <v>0.01</v>
          </cell>
          <cell r="L92">
            <v>0.01</v>
          </cell>
          <cell r="M92">
            <v>0.01</v>
          </cell>
          <cell r="N92">
            <v>0.01</v>
          </cell>
          <cell r="O92">
            <v>0.01</v>
          </cell>
          <cell r="P92">
            <v>0.01</v>
          </cell>
          <cell r="Q92">
            <v>0.01</v>
          </cell>
          <cell r="R92">
            <v>0.01</v>
          </cell>
          <cell r="S92">
            <v>0.01</v>
          </cell>
          <cell r="T92">
            <v>0.01</v>
          </cell>
          <cell r="U92" t="e">
            <v>#VALUE!</v>
          </cell>
          <cell r="X92">
            <v>0.01</v>
          </cell>
          <cell r="Y92">
            <v>0.01</v>
          </cell>
        </row>
        <row r="93">
          <cell r="B93" t="str">
            <v>Integrated Building Design-New</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1</v>
          </cell>
          <cell r="X93">
            <v>0</v>
          </cell>
          <cell r="Y93">
            <v>0</v>
          </cell>
        </row>
      </sheetData>
      <sheetData sheetId="5">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 Controls-Retro</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
          </cell>
        </row>
        <row r="13">
          <cell r="B13" t="str">
            <v>Compressed Air Improvements-Retro</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
          </cell>
        </row>
        <row r="14">
          <cell r="B14" t="str">
            <v>Network PC Power Management-Retro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0.1</v>
          </cell>
        </row>
        <row r="15">
          <cell r="B15" t="str">
            <v>Computer Servers and IT-Retro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0.15</v>
          </cell>
        </row>
        <row r="16">
          <cell r="B16" t="str">
            <v>Smart Plug Power Strips-Retro</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0.1</v>
          </cell>
        </row>
        <row r="17">
          <cell r="B17" t="str">
            <v>Data Centers-Retro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t="str">
            <v/>
          </cell>
        </row>
        <row r="18">
          <cell r="B18" t="str">
            <v>Commercial Computer Monitor-NR</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t="str">
            <v/>
          </cell>
        </row>
        <row r="19">
          <cell r="B19" t="str">
            <v>Commercial Computer Desktop-NR</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
          </cell>
        </row>
        <row r="20">
          <cell r="B20" t="str">
            <v>Pre-Rinse Spray Valve-Retro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0.26</v>
          </cell>
          <cell r="V20" t="str">
            <v>6 going on 7 plus CBSA</v>
          </cell>
        </row>
        <row r="21">
          <cell r="B21" t="str">
            <v>Cooking Equipment-NR</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0.39</v>
          </cell>
          <cell r="V21" t="str">
            <v>EPA Energy Star 2011</v>
          </cell>
        </row>
        <row r="22">
          <cell r="B22" t="str">
            <v>Premium HVAC Equipment-New</v>
          </cell>
          <cell r="C22">
            <v>0.1</v>
          </cell>
          <cell r="D22">
            <v>0.1</v>
          </cell>
          <cell r="E22">
            <v>0.1</v>
          </cell>
          <cell r="F22">
            <v>0.1</v>
          </cell>
          <cell r="G22">
            <v>0.1</v>
          </cell>
          <cell r="H22">
            <v>0.1</v>
          </cell>
          <cell r="I22">
            <v>0.1</v>
          </cell>
          <cell r="J22">
            <v>0.1</v>
          </cell>
          <cell r="K22">
            <v>0.1</v>
          </cell>
          <cell r="L22">
            <v>0.1</v>
          </cell>
          <cell r="M22">
            <v>0.1</v>
          </cell>
          <cell r="N22">
            <v>0.1</v>
          </cell>
          <cell r="O22">
            <v>0.1</v>
          </cell>
          <cell r="P22">
            <v>0.1</v>
          </cell>
          <cell r="Q22">
            <v>0.1</v>
          </cell>
          <cell r="R22">
            <v>0.1</v>
          </cell>
          <cell r="S22">
            <v>0.1</v>
          </cell>
          <cell r="T22">
            <v>0.1</v>
          </cell>
          <cell r="U22">
            <v>0</v>
          </cell>
        </row>
        <row r="23">
          <cell r="B23" t="str">
            <v>Premium HVAC Equipment-NR</v>
          </cell>
          <cell r="C23">
            <v>0.1</v>
          </cell>
          <cell r="D23">
            <v>0.1</v>
          </cell>
          <cell r="E23">
            <v>0.1</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cell r="U23">
            <v>0</v>
          </cell>
        </row>
        <row r="24">
          <cell r="B24" t="str">
            <v>Glass-New</v>
          </cell>
          <cell r="C24">
            <v>0.30399999999999999</v>
          </cell>
          <cell r="D24">
            <v>0.21039999999999998</v>
          </cell>
          <cell r="E24">
            <v>0.21760000000000002</v>
          </cell>
          <cell r="F24">
            <v>0.38244</v>
          </cell>
          <cell r="G24">
            <v>0.38183</v>
          </cell>
          <cell r="H24">
            <v>0.21683000000000002</v>
          </cell>
          <cell r="I24">
            <v>0.45624999999999999</v>
          </cell>
          <cell r="J24">
            <v>0.1434</v>
          </cell>
          <cell r="K24">
            <v>0.20800000000000002</v>
          </cell>
          <cell r="L24">
            <v>0.47244999999999998</v>
          </cell>
          <cell r="M24">
            <v>0.21212000000000003</v>
          </cell>
          <cell r="N24">
            <v>0.22062000000000004</v>
          </cell>
          <cell r="O24">
            <v>0.225000056</v>
          </cell>
          <cell r="P24">
            <v>0.25224999999999997</v>
          </cell>
          <cell r="Q24">
            <v>0.19740000000000002</v>
          </cell>
          <cell r="R24">
            <v>0.25850000000000001</v>
          </cell>
          <cell r="S24">
            <v>0.2</v>
          </cell>
          <cell r="T24">
            <v>0.23139999999999999</v>
          </cell>
          <cell r="U24">
            <v>0</v>
          </cell>
        </row>
        <row r="25">
          <cell r="B25" t="str">
            <v>Glass-NR</v>
          </cell>
          <cell r="C25">
            <v>0.30399999999999999</v>
          </cell>
          <cell r="D25">
            <v>0.21039999999999998</v>
          </cell>
          <cell r="E25">
            <v>0.21760000000000002</v>
          </cell>
          <cell r="F25">
            <v>0.38244</v>
          </cell>
          <cell r="G25">
            <v>0.38183</v>
          </cell>
          <cell r="H25">
            <v>0.21683000000000002</v>
          </cell>
          <cell r="I25">
            <v>0.45624999999999999</v>
          </cell>
          <cell r="J25">
            <v>0.1434</v>
          </cell>
          <cell r="K25">
            <v>0.20800000000000002</v>
          </cell>
          <cell r="L25">
            <v>0.47244999999999998</v>
          </cell>
          <cell r="M25">
            <v>0.21212000000000003</v>
          </cell>
          <cell r="N25">
            <v>0.22062000000000004</v>
          </cell>
          <cell r="O25">
            <v>0.225000056</v>
          </cell>
          <cell r="P25">
            <v>0.25224999999999997</v>
          </cell>
          <cell r="Q25">
            <v>0.19740000000000002</v>
          </cell>
          <cell r="R25">
            <v>0.25850000000000001</v>
          </cell>
          <cell r="S25">
            <v>0.2</v>
          </cell>
          <cell r="T25">
            <v>0.23139999999999999</v>
          </cell>
          <cell r="U25">
            <v>0</v>
          </cell>
        </row>
        <row r="26">
          <cell r="B26" t="str">
            <v>Glass-Retro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Advanced Rooftop Controller-New</v>
          </cell>
          <cell r="C27">
            <v>0.05</v>
          </cell>
          <cell r="D27">
            <v>0.05</v>
          </cell>
          <cell r="E27">
            <v>0.05</v>
          </cell>
          <cell r="F27">
            <v>0.05</v>
          </cell>
          <cell r="G27">
            <v>0.05</v>
          </cell>
          <cell r="H27">
            <v>0.05</v>
          </cell>
          <cell r="I27">
            <v>0.05</v>
          </cell>
          <cell r="J27">
            <v>0.05</v>
          </cell>
          <cell r="K27">
            <v>0.05</v>
          </cell>
          <cell r="L27">
            <v>0.05</v>
          </cell>
          <cell r="M27">
            <v>0.05</v>
          </cell>
          <cell r="N27">
            <v>0.05</v>
          </cell>
          <cell r="O27">
            <v>0.05</v>
          </cell>
          <cell r="P27">
            <v>0.05</v>
          </cell>
          <cell r="Q27">
            <v>0.05</v>
          </cell>
          <cell r="R27">
            <v>0.05</v>
          </cell>
          <cell r="S27">
            <v>0.05</v>
          </cell>
          <cell r="T27">
            <v>0.05</v>
          </cell>
          <cell r="U27">
            <v>0</v>
          </cell>
        </row>
        <row r="28">
          <cell r="B28" t="str">
            <v>Advanced Rooftop Controller-NR</v>
          </cell>
          <cell r="C28">
            <v>0.05</v>
          </cell>
          <cell r="D28">
            <v>0.05</v>
          </cell>
          <cell r="E28">
            <v>0.05</v>
          </cell>
          <cell r="F28">
            <v>0.05</v>
          </cell>
          <cell r="G28">
            <v>0.05</v>
          </cell>
          <cell r="H28">
            <v>0.05</v>
          </cell>
          <cell r="I28">
            <v>0.05</v>
          </cell>
          <cell r="J28">
            <v>0.05</v>
          </cell>
          <cell r="K28">
            <v>0.05</v>
          </cell>
          <cell r="L28">
            <v>0.05</v>
          </cell>
          <cell r="M28">
            <v>0.05</v>
          </cell>
          <cell r="N28">
            <v>0.05</v>
          </cell>
          <cell r="O28">
            <v>0.05</v>
          </cell>
          <cell r="P28">
            <v>0.05</v>
          </cell>
          <cell r="Q28">
            <v>0.05</v>
          </cell>
          <cell r="R28">
            <v>0.05</v>
          </cell>
          <cell r="S28">
            <v>0.05</v>
          </cell>
          <cell r="T28">
            <v>0.05</v>
          </cell>
          <cell r="U28">
            <v>0</v>
          </cell>
        </row>
        <row r="29">
          <cell r="B29" t="str">
            <v>Advanced Rooftop Controller-Retro</v>
          </cell>
          <cell r="C29">
            <v>0.05</v>
          </cell>
          <cell r="D29">
            <v>0.05</v>
          </cell>
          <cell r="E29">
            <v>0.05</v>
          </cell>
          <cell r="F29">
            <v>0.05</v>
          </cell>
          <cell r="G29">
            <v>0.05</v>
          </cell>
          <cell r="H29">
            <v>0.05</v>
          </cell>
          <cell r="I29">
            <v>0.05</v>
          </cell>
          <cell r="J29">
            <v>0.05</v>
          </cell>
          <cell r="K29">
            <v>0.05</v>
          </cell>
          <cell r="L29">
            <v>0.05</v>
          </cell>
          <cell r="M29">
            <v>0.05</v>
          </cell>
          <cell r="N29">
            <v>0.05</v>
          </cell>
          <cell r="O29">
            <v>0.05</v>
          </cell>
          <cell r="P29">
            <v>0.05</v>
          </cell>
          <cell r="Q29">
            <v>0.05</v>
          </cell>
          <cell r="R29">
            <v>0.05</v>
          </cell>
          <cell r="S29">
            <v>0.05</v>
          </cell>
          <cell r="T29">
            <v>0.05</v>
          </cell>
          <cell r="U29">
            <v>0</v>
          </cell>
        </row>
        <row r="30">
          <cell r="B30" t="str">
            <v>Variable Speed Chiller-New</v>
          </cell>
          <cell r="C30">
            <v>0.1</v>
          </cell>
          <cell r="D30">
            <v>0.1</v>
          </cell>
          <cell r="E30">
            <v>0.1</v>
          </cell>
          <cell r="F30">
            <v>0.1</v>
          </cell>
          <cell r="G30">
            <v>0.1</v>
          </cell>
          <cell r="H30">
            <v>0.1</v>
          </cell>
          <cell r="I30">
            <v>0.1</v>
          </cell>
          <cell r="J30">
            <v>0.1</v>
          </cell>
          <cell r="K30">
            <v>0.1</v>
          </cell>
          <cell r="L30">
            <v>0.1</v>
          </cell>
          <cell r="M30">
            <v>0.1</v>
          </cell>
          <cell r="N30">
            <v>0.1</v>
          </cell>
          <cell r="O30">
            <v>0.1</v>
          </cell>
          <cell r="P30">
            <v>0.1</v>
          </cell>
          <cell r="Q30">
            <v>0.1</v>
          </cell>
          <cell r="R30">
            <v>0.1</v>
          </cell>
          <cell r="S30">
            <v>0.1</v>
          </cell>
          <cell r="T30">
            <v>0.1</v>
          </cell>
          <cell r="U30">
            <v>0</v>
          </cell>
        </row>
        <row r="31">
          <cell r="B31" t="str">
            <v>Variable Speed Chiller-NR</v>
          </cell>
          <cell r="C31">
            <v>0.1</v>
          </cell>
          <cell r="D31">
            <v>0.1</v>
          </cell>
          <cell r="E31">
            <v>0.1</v>
          </cell>
          <cell r="F31">
            <v>0.1</v>
          </cell>
          <cell r="G31">
            <v>0.1</v>
          </cell>
          <cell r="H31">
            <v>0.1</v>
          </cell>
          <cell r="I31">
            <v>0.1</v>
          </cell>
          <cell r="J31">
            <v>0.1</v>
          </cell>
          <cell r="K31">
            <v>0.1</v>
          </cell>
          <cell r="L31">
            <v>0.1</v>
          </cell>
          <cell r="M31">
            <v>0.1</v>
          </cell>
          <cell r="N31">
            <v>0.1</v>
          </cell>
          <cell r="O31">
            <v>0.1</v>
          </cell>
          <cell r="P31">
            <v>0.1</v>
          </cell>
          <cell r="Q31">
            <v>0.1</v>
          </cell>
          <cell r="R31">
            <v>0.1</v>
          </cell>
          <cell r="S31">
            <v>0.1</v>
          </cell>
          <cell r="T31">
            <v>0.1</v>
          </cell>
          <cell r="U31">
            <v>0</v>
          </cell>
        </row>
        <row r="32">
          <cell r="B32" t="str">
            <v>Commercial EM-New</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
          </cell>
          <cell r="V32" t="str">
            <v>Baseline saturation in measure workbook-eui adjustment</v>
          </cell>
        </row>
        <row r="33">
          <cell r="B33" t="str">
            <v>Commercial EM-NR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
          </cell>
        </row>
        <row r="34">
          <cell r="B34" t="str">
            <v>Commercial EM-Retro</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t="str">
            <v/>
          </cell>
        </row>
        <row r="35">
          <cell r="B35" t="str">
            <v>Evaporative Assist Cooling-New</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B36" t="str">
            <v>Evaporative Assist Cooling-NR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Low Pressure Distribution Complex HVAC-New</v>
          </cell>
          <cell r="C37">
            <v>0.1</v>
          </cell>
          <cell r="D37">
            <v>0.1</v>
          </cell>
          <cell r="E37">
            <v>0.1</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0.05</v>
          </cell>
          <cell r="U37">
            <v>0</v>
          </cell>
        </row>
        <row r="38">
          <cell r="B38" t="str">
            <v>Demand Control Ventilation-New</v>
          </cell>
          <cell r="C38">
            <v>0</v>
          </cell>
          <cell r="D38">
            <v>0</v>
          </cell>
          <cell r="E38">
            <v>0</v>
          </cell>
          <cell r="F38">
            <v>0.2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 Control Ventilation-NR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Demand Control Ventilation-Retro</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Premium Fume Hood-New</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0.1</v>
          </cell>
        </row>
        <row r="42">
          <cell r="B42" t="str">
            <v>DCV Restaurant Hood-Retro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B43" t="str">
            <v>DCV Parking Garage-Retro</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0.4</v>
          </cell>
        </row>
        <row r="44">
          <cell r="B44" t="str">
            <v>Weatherization - School-Retro</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t="str">
            <v/>
          </cell>
        </row>
        <row r="45">
          <cell r="B45" t="str">
            <v>Energy Recovery Ventilator-NR</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t="str">
            <v/>
          </cell>
        </row>
        <row r="46">
          <cell r="B46" t="str">
            <v>AC Heat Recovery for Water Heating-NR</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t="str">
            <v/>
          </cell>
        </row>
        <row r="47">
          <cell r="B47" t="str">
            <v>Room Occupancy Sensors in Lodging-Retro</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
          </cell>
        </row>
        <row r="48">
          <cell r="B48" t="str">
            <v>Chiller - chilled water retrofit-Retro</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t="str">
            <v/>
          </cell>
        </row>
        <row r="49">
          <cell r="B49" t="str">
            <v>Chiller - equip retrofits-Retro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
          </cell>
        </row>
        <row r="50">
          <cell r="B50" t="str">
            <v>Pool Blankets-Retro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t="str">
            <v/>
          </cell>
        </row>
        <row r="51">
          <cell r="B51" t="str">
            <v>Web-Enabled Thermostats-Retro</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t="str">
            <v/>
          </cell>
        </row>
        <row r="52">
          <cell r="B52" t="str">
            <v>Garage CO2 ventilation-Retro</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
          </cell>
        </row>
        <row r="53">
          <cell r="B53" t="str">
            <v>Circ Pump ECM and drive-Retro</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t="str">
            <v/>
          </cell>
        </row>
        <row r="54">
          <cell r="B54" t="str">
            <v>VRF-New</v>
          </cell>
          <cell r="C54">
            <v>0</v>
          </cell>
          <cell r="D54">
            <v>0.05</v>
          </cell>
          <cell r="E54">
            <v>0.05</v>
          </cell>
          <cell r="F54">
            <v>0.05</v>
          </cell>
          <cell r="G54">
            <v>0.05</v>
          </cell>
          <cell r="H54">
            <v>0.05</v>
          </cell>
          <cell r="I54">
            <v>0.05</v>
          </cell>
          <cell r="J54">
            <v>0.05</v>
          </cell>
          <cell r="K54">
            <v>0.05</v>
          </cell>
          <cell r="L54">
            <v>0.05</v>
          </cell>
          <cell r="M54">
            <v>0.05</v>
          </cell>
          <cell r="N54">
            <v>0.05</v>
          </cell>
          <cell r="O54">
            <v>0.05</v>
          </cell>
          <cell r="P54">
            <v>0.05</v>
          </cell>
          <cell r="Q54">
            <v>0.05</v>
          </cell>
          <cell r="R54">
            <v>0.05</v>
          </cell>
          <cell r="S54">
            <v>0.05</v>
          </cell>
          <cell r="T54">
            <v>0.05</v>
          </cell>
          <cell r="U54" t="str">
            <v/>
          </cell>
        </row>
        <row r="55">
          <cell r="B55" t="str">
            <v>Cool Roofs-Retro</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t="str">
            <v/>
          </cell>
        </row>
        <row r="56">
          <cell r="B56" t="str">
            <v>Evaporator Roof Top HVAC-Retro</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
          </cell>
        </row>
        <row r="57">
          <cell r="B57" t="str">
            <v>Secondary Glazing Systems-Retro</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t="str">
            <v/>
          </cell>
        </row>
        <row r="58">
          <cell r="B58" t="str">
            <v>LPD Package-New</v>
          </cell>
          <cell r="C58">
            <v>0.1</v>
          </cell>
          <cell r="D58">
            <v>0.1</v>
          </cell>
          <cell r="E58">
            <v>0.03</v>
          </cell>
          <cell r="F58">
            <v>0.25</v>
          </cell>
          <cell r="G58">
            <v>0.2</v>
          </cell>
          <cell r="H58">
            <v>0.05</v>
          </cell>
          <cell r="I58">
            <v>0.05</v>
          </cell>
          <cell r="J58">
            <v>0.15</v>
          </cell>
          <cell r="K58">
            <v>0.1</v>
          </cell>
          <cell r="L58">
            <v>0.5</v>
          </cell>
          <cell r="M58">
            <v>0.1</v>
          </cell>
          <cell r="N58">
            <v>0.1</v>
          </cell>
          <cell r="O58">
            <v>0.15</v>
          </cell>
          <cell r="P58">
            <v>0.2</v>
          </cell>
          <cell r="Q58">
            <v>0.25</v>
          </cell>
          <cell r="R58">
            <v>0.2</v>
          </cell>
          <cell r="S58">
            <v>0.05</v>
          </cell>
          <cell r="T58">
            <v>0.15</v>
          </cell>
          <cell r="U58">
            <v>0</v>
          </cell>
        </row>
        <row r="59">
          <cell r="B59" t="str">
            <v>LPD Package-NR</v>
          </cell>
          <cell r="C59">
            <v>0.1</v>
          </cell>
          <cell r="D59">
            <v>0.1</v>
          </cell>
          <cell r="E59">
            <v>0.03</v>
          </cell>
          <cell r="F59">
            <v>0.25</v>
          </cell>
          <cell r="G59">
            <v>0.2</v>
          </cell>
          <cell r="H59">
            <v>0.05</v>
          </cell>
          <cell r="I59">
            <v>0.05</v>
          </cell>
          <cell r="J59">
            <v>0.15</v>
          </cell>
          <cell r="K59">
            <v>0.1</v>
          </cell>
          <cell r="L59">
            <v>0.5</v>
          </cell>
          <cell r="M59">
            <v>0.1</v>
          </cell>
          <cell r="N59">
            <v>0.1</v>
          </cell>
          <cell r="O59">
            <v>0.15</v>
          </cell>
          <cell r="P59">
            <v>0.2</v>
          </cell>
          <cell r="Q59">
            <v>0.25</v>
          </cell>
          <cell r="R59">
            <v>0.2</v>
          </cell>
          <cell r="S59">
            <v>0.05</v>
          </cell>
          <cell r="T59">
            <v>0.15</v>
          </cell>
          <cell r="U59">
            <v>0</v>
          </cell>
        </row>
        <row r="60">
          <cell r="B60" t="str">
            <v>LPD Package-Retro</v>
          </cell>
          <cell r="C60">
            <v>0.2</v>
          </cell>
          <cell r="D60">
            <v>0.2</v>
          </cell>
          <cell r="E60">
            <v>0.2</v>
          </cell>
          <cell r="F60">
            <v>0.25</v>
          </cell>
          <cell r="G60">
            <v>0.25</v>
          </cell>
          <cell r="H60">
            <v>0.25</v>
          </cell>
          <cell r="I60">
            <v>0.25</v>
          </cell>
          <cell r="J60">
            <v>0.2</v>
          </cell>
          <cell r="K60">
            <v>0.2</v>
          </cell>
          <cell r="L60">
            <v>0.25</v>
          </cell>
          <cell r="M60">
            <v>0.5</v>
          </cell>
          <cell r="N60">
            <v>0.5</v>
          </cell>
          <cell r="O60">
            <v>0.25</v>
          </cell>
          <cell r="P60">
            <v>0.15</v>
          </cell>
          <cell r="Q60">
            <v>0.25</v>
          </cell>
          <cell r="R60">
            <v>0.25</v>
          </cell>
          <cell r="S60">
            <v>0.2</v>
          </cell>
          <cell r="T60">
            <v>0.2</v>
          </cell>
          <cell r="U60">
            <v>0</v>
          </cell>
        </row>
        <row r="61">
          <cell r="B61" t="str">
            <v>Top Daylighting-New</v>
          </cell>
          <cell r="C61">
            <v>0</v>
          </cell>
          <cell r="D61">
            <v>0.02</v>
          </cell>
          <cell r="E61">
            <v>0.03</v>
          </cell>
          <cell r="F61">
            <v>0.3</v>
          </cell>
          <cell r="G61">
            <v>0.1</v>
          </cell>
          <cell r="H61">
            <v>0</v>
          </cell>
          <cell r="I61">
            <v>0</v>
          </cell>
          <cell r="J61">
            <v>0.2</v>
          </cell>
          <cell r="K61">
            <v>0.1</v>
          </cell>
          <cell r="L61">
            <v>0.1</v>
          </cell>
          <cell r="M61">
            <v>0.1</v>
          </cell>
          <cell r="N61">
            <v>0</v>
          </cell>
          <cell r="O61">
            <v>0</v>
          </cell>
          <cell r="P61">
            <v>0</v>
          </cell>
          <cell r="Q61">
            <v>0</v>
          </cell>
          <cell r="R61">
            <v>0.02</v>
          </cell>
          <cell r="S61">
            <v>0</v>
          </cell>
          <cell r="T61">
            <v>0.02</v>
          </cell>
          <cell r="U61">
            <v>0</v>
          </cell>
        </row>
        <row r="62">
          <cell r="B62" t="str">
            <v>Perimeter Daylighting Controls Advanced-New</v>
          </cell>
          <cell r="C62">
            <v>0.2</v>
          </cell>
          <cell r="D62">
            <v>0.2</v>
          </cell>
          <cell r="E62">
            <v>0.1</v>
          </cell>
          <cell r="F62">
            <v>0</v>
          </cell>
          <cell r="G62">
            <v>0</v>
          </cell>
          <cell r="H62">
            <v>0</v>
          </cell>
          <cell r="I62">
            <v>0</v>
          </cell>
          <cell r="J62">
            <v>0.7</v>
          </cell>
          <cell r="K62">
            <v>0.2</v>
          </cell>
          <cell r="L62">
            <v>0</v>
          </cell>
          <cell r="M62">
            <v>0</v>
          </cell>
          <cell r="N62">
            <v>0</v>
          </cell>
          <cell r="O62">
            <v>0</v>
          </cell>
          <cell r="P62">
            <v>0</v>
          </cell>
          <cell r="Q62">
            <v>0</v>
          </cell>
          <cell r="R62">
            <v>0.05</v>
          </cell>
          <cell r="S62">
            <v>0.05</v>
          </cell>
          <cell r="T62">
            <v>0.05</v>
          </cell>
          <cell r="U62">
            <v>0</v>
          </cell>
        </row>
        <row r="63">
          <cell r="B63" t="str">
            <v>Perimeter Daylighting Controls Advanced-NR</v>
          </cell>
          <cell r="C63">
            <v>0.1</v>
          </cell>
          <cell r="D63">
            <v>0.1</v>
          </cell>
          <cell r="E63">
            <v>0.05</v>
          </cell>
          <cell r="F63">
            <v>0</v>
          </cell>
          <cell r="G63">
            <v>0</v>
          </cell>
          <cell r="H63">
            <v>0</v>
          </cell>
          <cell r="I63">
            <v>0</v>
          </cell>
          <cell r="J63">
            <v>0.3</v>
          </cell>
          <cell r="K63">
            <v>0.2</v>
          </cell>
          <cell r="L63">
            <v>0</v>
          </cell>
          <cell r="M63">
            <v>0</v>
          </cell>
          <cell r="N63">
            <v>0</v>
          </cell>
          <cell r="O63">
            <v>0</v>
          </cell>
          <cell r="P63">
            <v>0</v>
          </cell>
          <cell r="Q63">
            <v>0</v>
          </cell>
          <cell r="R63">
            <v>0.05</v>
          </cell>
          <cell r="S63">
            <v>0.05</v>
          </cell>
          <cell r="T63">
            <v>0.05</v>
          </cell>
          <cell r="U63">
            <v>0</v>
          </cell>
        </row>
        <row r="64">
          <cell r="B64" t="str">
            <v>Lighting Controls Interior-New</v>
          </cell>
          <cell r="C64">
            <v>0.1</v>
          </cell>
          <cell r="D64">
            <v>0.05</v>
          </cell>
          <cell r="E64">
            <v>0.03</v>
          </cell>
          <cell r="F64">
            <v>0.7</v>
          </cell>
          <cell r="G64">
            <v>0.5</v>
          </cell>
          <cell r="H64">
            <v>0.3</v>
          </cell>
          <cell r="I64">
            <v>0.5</v>
          </cell>
          <cell r="J64">
            <v>0.2</v>
          </cell>
          <cell r="K64">
            <v>0.2</v>
          </cell>
          <cell r="L64">
            <v>0.2</v>
          </cell>
          <cell r="M64">
            <v>0.7</v>
          </cell>
          <cell r="N64">
            <v>0.5</v>
          </cell>
          <cell r="O64">
            <v>0.05</v>
          </cell>
          <cell r="P64">
            <v>0.05</v>
          </cell>
          <cell r="Q64">
            <v>0.2</v>
          </cell>
          <cell r="R64">
            <v>0.2</v>
          </cell>
          <cell r="S64">
            <v>0.1</v>
          </cell>
          <cell r="T64">
            <v>0.1</v>
          </cell>
          <cell r="U64">
            <v>0</v>
          </cell>
        </row>
        <row r="65">
          <cell r="B65" t="str">
            <v>Lighting Controls Interior-NR</v>
          </cell>
          <cell r="C65">
            <v>0.1</v>
          </cell>
          <cell r="D65">
            <v>0.05</v>
          </cell>
          <cell r="E65">
            <v>0.03</v>
          </cell>
          <cell r="F65">
            <v>0.5</v>
          </cell>
          <cell r="G65">
            <v>0.3</v>
          </cell>
          <cell r="H65">
            <v>0.2</v>
          </cell>
          <cell r="I65">
            <v>0.3</v>
          </cell>
          <cell r="J65">
            <v>0.2</v>
          </cell>
          <cell r="K65">
            <v>0.2</v>
          </cell>
          <cell r="L65">
            <v>0.1</v>
          </cell>
          <cell r="M65">
            <v>0.5</v>
          </cell>
          <cell r="N65">
            <v>0.3</v>
          </cell>
          <cell r="O65">
            <v>0.05</v>
          </cell>
          <cell r="P65">
            <v>0.05</v>
          </cell>
          <cell r="Q65">
            <v>0.1</v>
          </cell>
          <cell r="R65">
            <v>0.1</v>
          </cell>
          <cell r="S65">
            <v>0.1</v>
          </cell>
          <cell r="T65">
            <v>0.1</v>
          </cell>
          <cell r="U65">
            <v>0</v>
          </cell>
        </row>
        <row r="66">
          <cell r="B66" t="str">
            <v>Exterior Building Lighting-New</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V66" t="str">
            <v>Baseline saturation in measure workbook.  Source (DOE 2014)</v>
          </cell>
        </row>
        <row r="67">
          <cell r="B67" t="str">
            <v>Exterior Building Lighting-NR</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t="str">
            <v>Baseline saturation in measure workbook.  Source (DOE 2014)</v>
          </cell>
        </row>
        <row r="68">
          <cell r="B68" t="str">
            <v>Street and Roadway Lighting-New</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0.5</v>
          </cell>
        </row>
        <row r="69">
          <cell r="B69" t="str">
            <v>Street and Roadway Lighting-NR</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t="str">
            <v>Baseline saturation in measure workbook</v>
          </cell>
        </row>
        <row r="70">
          <cell r="B70" t="str">
            <v>Parking Lighting-New</v>
          </cell>
          <cell r="C70">
            <v>0.2</v>
          </cell>
          <cell r="D70">
            <v>0.2</v>
          </cell>
          <cell r="E70">
            <v>0.2</v>
          </cell>
          <cell r="F70">
            <v>0.2</v>
          </cell>
          <cell r="G70">
            <v>0.2</v>
          </cell>
          <cell r="H70">
            <v>0.2</v>
          </cell>
          <cell r="I70">
            <v>0.2</v>
          </cell>
          <cell r="J70">
            <v>0.2</v>
          </cell>
          <cell r="K70">
            <v>0.2</v>
          </cell>
          <cell r="L70">
            <v>0.2</v>
          </cell>
          <cell r="M70">
            <v>0.2</v>
          </cell>
          <cell r="N70">
            <v>0.2</v>
          </cell>
          <cell r="O70">
            <v>0.2</v>
          </cell>
          <cell r="P70">
            <v>0.2</v>
          </cell>
          <cell r="Q70">
            <v>0.2</v>
          </cell>
          <cell r="R70">
            <v>0.2</v>
          </cell>
          <cell r="S70">
            <v>0.2</v>
          </cell>
          <cell r="T70">
            <v>0.2</v>
          </cell>
        </row>
        <row r="71">
          <cell r="B71" t="str">
            <v>Parking Lighting-NR</v>
          </cell>
          <cell r="C71">
            <v>0.01</v>
          </cell>
          <cell r="D71">
            <v>0.01</v>
          </cell>
          <cell r="E71">
            <v>0.01</v>
          </cell>
          <cell r="F71">
            <v>0.01</v>
          </cell>
          <cell r="G71">
            <v>0.01</v>
          </cell>
          <cell r="H71">
            <v>0.01</v>
          </cell>
          <cell r="I71">
            <v>0.01</v>
          </cell>
          <cell r="J71">
            <v>0.01</v>
          </cell>
          <cell r="K71">
            <v>0.01</v>
          </cell>
          <cell r="L71">
            <v>0.01</v>
          </cell>
          <cell r="M71">
            <v>0.01</v>
          </cell>
          <cell r="N71">
            <v>0.01</v>
          </cell>
          <cell r="O71">
            <v>0.01</v>
          </cell>
          <cell r="P71">
            <v>0.01</v>
          </cell>
          <cell r="Q71">
            <v>0.01</v>
          </cell>
          <cell r="R71">
            <v>0.01</v>
          </cell>
          <cell r="S71">
            <v>0.01</v>
          </cell>
          <cell r="T71">
            <v>0.01</v>
          </cell>
          <cell r="U71">
            <v>0.01</v>
          </cell>
        </row>
        <row r="72">
          <cell r="B72" t="str">
            <v>Luminaire Level Lighting Controls-Retro</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
          </cell>
        </row>
        <row r="73">
          <cell r="B73" t="str">
            <v>ECM on VAV Boxes-New</v>
          </cell>
          <cell r="C73">
            <v>0.4</v>
          </cell>
          <cell r="D73">
            <v>0.3</v>
          </cell>
          <cell r="E73">
            <v>0</v>
          </cell>
          <cell r="F73">
            <v>0</v>
          </cell>
          <cell r="G73">
            <v>0</v>
          </cell>
          <cell r="H73">
            <v>0</v>
          </cell>
          <cell r="I73">
            <v>0.4</v>
          </cell>
          <cell r="J73">
            <v>0</v>
          </cell>
          <cell r="K73">
            <v>0.4</v>
          </cell>
          <cell r="L73">
            <v>0</v>
          </cell>
          <cell r="M73">
            <v>0</v>
          </cell>
          <cell r="N73">
            <v>0</v>
          </cell>
          <cell r="O73">
            <v>0</v>
          </cell>
          <cell r="P73">
            <v>0</v>
          </cell>
          <cell r="Q73">
            <v>0.4</v>
          </cell>
          <cell r="R73">
            <v>0</v>
          </cell>
          <cell r="S73">
            <v>0.1</v>
          </cell>
          <cell r="T73">
            <v>0.4</v>
          </cell>
          <cell r="U73">
            <v>0</v>
          </cell>
        </row>
        <row r="74">
          <cell r="B74" t="str">
            <v>ECM on VAV Boxes-NR</v>
          </cell>
          <cell r="C74">
            <v>0.1</v>
          </cell>
          <cell r="D74">
            <v>0.1</v>
          </cell>
          <cell r="E74">
            <v>0</v>
          </cell>
          <cell r="F74">
            <v>0</v>
          </cell>
          <cell r="G74">
            <v>0</v>
          </cell>
          <cell r="H74">
            <v>0</v>
          </cell>
          <cell r="I74">
            <v>0.1</v>
          </cell>
          <cell r="J74">
            <v>0</v>
          </cell>
          <cell r="K74">
            <v>0.1</v>
          </cell>
          <cell r="L74">
            <v>0</v>
          </cell>
          <cell r="M74">
            <v>0</v>
          </cell>
          <cell r="N74">
            <v>0</v>
          </cell>
          <cell r="O74">
            <v>0</v>
          </cell>
          <cell r="P74">
            <v>0</v>
          </cell>
          <cell r="Q74">
            <v>0.1</v>
          </cell>
          <cell r="R74">
            <v>0</v>
          </cell>
          <cell r="S74">
            <v>0</v>
          </cell>
          <cell r="T74">
            <v>0.1</v>
          </cell>
          <cell r="U74">
            <v>0</v>
          </cell>
        </row>
        <row r="75">
          <cell r="B75" t="str">
            <v>Pool pumps-Retro</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
          </cell>
        </row>
        <row r="76">
          <cell r="B76" t="str">
            <v>Switched Reluctance/Permanent Magnet Motors-Retro</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
          </cell>
        </row>
        <row r="77">
          <cell r="B77" t="str">
            <v>Motors - Rewind-NR</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t="str">
            <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t="str">
            <v>Baseline saturation in measure workbook</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t="str">
            <v>Baseline saturation in measure workbook</v>
          </cell>
        </row>
        <row r="80">
          <cell r="B80" t="str">
            <v>Engine Generator Block Heaters-Retro</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t="str">
            <v/>
          </cell>
        </row>
        <row r="81">
          <cell r="B81" t="str">
            <v>Grocery Refrigeration Bundle-Retro</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row>
        <row r="82">
          <cell r="B82" t="str">
            <v>Packaged Refrigeration Equipment-New</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0.05</v>
          </cell>
        </row>
        <row r="83">
          <cell r="B83" t="str">
            <v>Appliances - Freezers-NR</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t="str">
            <v/>
          </cell>
        </row>
        <row r="84">
          <cell r="B84" t="str">
            <v>Appliances - Refrigerators-NR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t="str">
            <v/>
          </cell>
        </row>
        <row r="85">
          <cell r="B85" t="str">
            <v>Water Cooler Controls-Retro</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t="str">
            <v/>
          </cell>
        </row>
        <row r="86">
          <cell r="B86" t="str">
            <v>Commercial Clothes Washers-New</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0.1</v>
          </cell>
        </row>
        <row r="87">
          <cell r="B87" t="str">
            <v>DHW - Efficient Tanks-Retro</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t="str">
            <v/>
          </cell>
        </row>
        <row r="88">
          <cell r="B88" t="str">
            <v>Appliances - Clothes Washers-NR</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t="str">
            <v/>
          </cell>
        </row>
        <row r="89">
          <cell r="B89" t="str">
            <v>DHW - Showerheads-Retro</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t="str">
            <v/>
          </cell>
        </row>
        <row r="90">
          <cell r="B90" t="str">
            <v>Water Heating - GFHX-New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t="str">
            <v/>
          </cell>
        </row>
        <row r="91">
          <cell r="B91" t="str">
            <v>Demand Control Circulating system DHW-Retro</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t="str">
            <v/>
          </cell>
        </row>
        <row r="92">
          <cell r="B92" t="str">
            <v>Central HPWH MF-Retro</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t="str">
            <v/>
          </cell>
        </row>
        <row r="93">
          <cell r="B93" t="str">
            <v>Integrated Building Design-New</v>
          </cell>
          <cell r="C93">
            <v>0.08</v>
          </cell>
          <cell r="D93">
            <v>0.04</v>
          </cell>
          <cell r="E93">
            <v>0</v>
          </cell>
          <cell r="F93">
            <v>0.08</v>
          </cell>
          <cell r="G93">
            <v>0</v>
          </cell>
          <cell r="H93">
            <v>0</v>
          </cell>
          <cell r="I93">
            <v>0.02</v>
          </cell>
          <cell r="J93">
            <v>0.3</v>
          </cell>
          <cell r="K93">
            <v>0.15</v>
          </cell>
          <cell r="L93">
            <v>0</v>
          </cell>
          <cell r="M93">
            <v>0</v>
          </cell>
          <cell r="N93">
            <v>0</v>
          </cell>
          <cell r="O93">
            <v>0</v>
          </cell>
          <cell r="P93">
            <v>0.02</v>
          </cell>
          <cell r="Q93">
            <v>0.1</v>
          </cell>
          <cell r="R93">
            <v>0.05</v>
          </cell>
          <cell r="S93">
            <v>0.02</v>
          </cell>
          <cell r="T93">
            <v>0.02</v>
          </cell>
          <cell r="U93">
            <v>0</v>
          </cell>
        </row>
        <row r="94">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row>
      </sheetData>
      <sheetData sheetId="6">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 Controls-Retro</v>
          </cell>
          <cell r="C12" t="str">
            <v>_PRE2013</v>
          </cell>
          <cell r="D12" t="str">
            <v>_PRE2013</v>
          </cell>
          <cell r="E12" t="str">
            <v>_PRE2013</v>
          </cell>
          <cell r="F12" t="str">
            <v>_PRE2013</v>
          </cell>
          <cell r="G12" t="str">
            <v>_PRE2013</v>
          </cell>
          <cell r="H12" t="str">
            <v>_PRE2013</v>
          </cell>
          <cell r="I12" t="str">
            <v>_PRE2013</v>
          </cell>
          <cell r="J12" t="str">
            <v>_PRE2013</v>
          </cell>
          <cell r="K12" t="str">
            <v>_PRE2013</v>
          </cell>
          <cell r="L12" t="str">
            <v>_PRE2013</v>
          </cell>
          <cell r="M12" t="str">
            <v>_PRE2013</v>
          </cell>
          <cell r="N12" t="str">
            <v>_PRE2013</v>
          </cell>
          <cell r="O12" t="str">
            <v>_PRE2013</v>
          </cell>
          <cell r="P12" t="str">
            <v>_PRE2013</v>
          </cell>
          <cell r="Q12" t="str">
            <v>_PRE2013</v>
          </cell>
          <cell r="R12" t="str">
            <v>_PRE2013</v>
          </cell>
          <cell r="S12" t="str">
            <v>_PRE2013</v>
          </cell>
          <cell r="T12" t="str">
            <v>_PRE2013</v>
          </cell>
        </row>
        <row r="13">
          <cell r="B13" t="str">
            <v>Compressed Air Improvements-Retro</v>
          </cell>
          <cell r="C13" t="str">
            <v>_PRE2013</v>
          </cell>
          <cell r="D13" t="str">
            <v>_PRE2013</v>
          </cell>
          <cell r="E13" t="str">
            <v>_PRE2013</v>
          </cell>
          <cell r="F13" t="str">
            <v>_PRE2013</v>
          </cell>
          <cell r="G13" t="str">
            <v>_PRE2013</v>
          </cell>
          <cell r="H13" t="str">
            <v>_PRE2013</v>
          </cell>
          <cell r="I13" t="str">
            <v>_PRE2013</v>
          </cell>
          <cell r="J13" t="str">
            <v>_PRE2013</v>
          </cell>
          <cell r="K13" t="str">
            <v>_PRE2013</v>
          </cell>
          <cell r="L13" t="str">
            <v>_PRE2013</v>
          </cell>
          <cell r="M13" t="str">
            <v>_PRE2013</v>
          </cell>
          <cell r="N13" t="str">
            <v>_PRE2013</v>
          </cell>
          <cell r="O13" t="str">
            <v>_PRE2013</v>
          </cell>
          <cell r="P13" t="str">
            <v>_PRE2013</v>
          </cell>
          <cell r="Q13" t="str">
            <v>_PRE2013</v>
          </cell>
          <cell r="R13" t="str">
            <v>_PRE2013</v>
          </cell>
          <cell r="S13" t="str">
            <v>_PRE2013</v>
          </cell>
          <cell r="T13" t="str">
            <v>_PRE2013</v>
          </cell>
        </row>
        <row r="14">
          <cell r="B14" t="str">
            <v>Network PC Power Management-Retro</v>
          </cell>
          <cell r="C14" t="str">
            <v>_PRE2013</v>
          </cell>
          <cell r="D14" t="str">
            <v>_PRE2013</v>
          </cell>
          <cell r="E14" t="str">
            <v>_PRE2013</v>
          </cell>
          <cell r="F14" t="str">
            <v>_PRE2013</v>
          </cell>
          <cell r="G14" t="str">
            <v>_PRE2013</v>
          </cell>
          <cell r="H14" t="str">
            <v>_PRE2013</v>
          </cell>
          <cell r="I14" t="str">
            <v>_PRE2013</v>
          </cell>
          <cell r="J14" t="str">
            <v>_PRE2013</v>
          </cell>
          <cell r="K14" t="str">
            <v>_PRE2013</v>
          </cell>
          <cell r="L14" t="str">
            <v>_PRE2013</v>
          </cell>
          <cell r="M14" t="str">
            <v>_PRE2013</v>
          </cell>
          <cell r="N14" t="str">
            <v>_PRE2013</v>
          </cell>
          <cell r="O14" t="str">
            <v>_PRE2013</v>
          </cell>
          <cell r="P14" t="str">
            <v>_PRE2013</v>
          </cell>
          <cell r="Q14" t="str">
            <v>_PRE2013</v>
          </cell>
          <cell r="R14" t="str">
            <v>_PRE2013</v>
          </cell>
          <cell r="S14" t="str">
            <v>_PRE2013</v>
          </cell>
          <cell r="T14" t="str">
            <v>_PRE2013</v>
          </cell>
        </row>
        <row r="15">
          <cell r="B15" t="str">
            <v>Computer Servers and IT-Retro</v>
          </cell>
          <cell r="C15" t="str">
            <v>_PRE2013</v>
          </cell>
          <cell r="D15" t="str">
            <v>_PRE2013</v>
          </cell>
          <cell r="E15" t="str">
            <v>_PRE2013</v>
          </cell>
          <cell r="F15" t="str">
            <v>_PRE2013</v>
          </cell>
          <cell r="G15" t="str">
            <v>_PRE2013</v>
          </cell>
          <cell r="H15" t="str">
            <v>_PRE2013</v>
          </cell>
          <cell r="I15" t="str">
            <v>_PRE2013</v>
          </cell>
          <cell r="J15" t="str">
            <v>_PRE2013</v>
          </cell>
          <cell r="K15" t="str">
            <v>_PRE2013</v>
          </cell>
          <cell r="L15" t="str">
            <v>_PRE2013</v>
          </cell>
          <cell r="M15" t="str">
            <v>_PRE2013</v>
          </cell>
          <cell r="N15" t="str">
            <v>_PRE2013</v>
          </cell>
          <cell r="O15" t="str">
            <v>_PRE2013</v>
          </cell>
          <cell r="P15" t="str">
            <v>_PRE2013</v>
          </cell>
          <cell r="Q15" t="str">
            <v>_PRE2013</v>
          </cell>
          <cell r="R15" t="str">
            <v>_PRE2013</v>
          </cell>
          <cell r="S15" t="str">
            <v>_PRE2013</v>
          </cell>
          <cell r="T15" t="str">
            <v>_PRE2013</v>
          </cell>
        </row>
        <row r="16">
          <cell r="B16" t="str">
            <v>Smart Plug Power Strips-Retro</v>
          </cell>
          <cell r="C16" t="str">
            <v>_PRE2013</v>
          </cell>
          <cell r="D16" t="str">
            <v>_PRE2013</v>
          </cell>
          <cell r="E16" t="str">
            <v>_PRE2013</v>
          </cell>
          <cell r="F16" t="str">
            <v>_PRE2013</v>
          </cell>
          <cell r="G16" t="str">
            <v>_PRE2013</v>
          </cell>
          <cell r="H16" t="str">
            <v>_PRE2013</v>
          </cell>
          <cell r="I16" t="str">
            <v>_PRE2013</v>
          </cell>
          <cell r="J16" t="str">
            <v>_PRE2013</v>
          </cell>
          <cell r="K16" t="str">
            <v>_PRE2013</v>
          </cell>
          <cell r="L16" t="str">
            <v>_PRE2013</v>
          </cell>
          <cell r="M16" t="str">
            <v>_PRE2013</v>
          </cell>
          <cell r="N16" t="str">
            <v>_PRE2013</v>
          </cell>
          <cell r="O16" t="str">
            <v>_PRE2013</v>
          </cell>
          <cell r="P16" t="str">
            <v>_PRE2013</v>
          </cell>
          <cell r="Q16" t="str">
            <v>_PRE2013</v>
          </cell>
          <cell r="R16" t="str">
            <v>_PRE2013</v>
          </cell>
          <cell r="S16" t="str">
            <v>_PRE2013</v>
          </cell>
          <cell r="T16" t="str">
            <v>_PRE2013</v>
          </cell>
        </row>
        <row r="17">
          <cell r="B17" t="str">
            <v>Data Centers-Retro</v>
          </cell>
          <cell r="C17" t="str">
            <v>_PRE2013</v>
          </cell>
          <cell r="D17" t="str">
            <v>_PRE2013</v>
          </cell>
          <cell r="E17" t="str">
            <v>_PRE2013</v>
          </cell>
          <cell r="F17" t="str">
            <v>_PRE2013</v>
          </cell>
          <cell r="G17" t="str">
            <v>_PRE2013</v>
          </cell>
          <cell r="H17" t="str">
            <v>_PRE2013</v>
          </cell>
          <cell r="I17" t="str">
            <v>_PRE2013</v>
          </cell>
          <cell r="J17" t="str">
            <v>_PRE2013</v>
          </cell>
          <cell r="K17" t="str">
            <v>_PRE2013</v>
          </cell>
          <cell r="L17" t="str">
            <v>_PRE2013</v>
          </cell>
          <cell r="M17" t="str">
            <v>_PRE2013</v>
          </cell>
          <cell r="N17" t="str">
            <v>_PRE2013</v>
          </cell>
          <cell r="O17" t="str">
            <v>_PRE2013</v>
          </cell>
          <cell r="P17" t="str">
            <v>_PRE2013</v>
          </cell>
          <cell r="Q17" t="str">
            <v>_PRE2013</v>
          </cell>
          <cell r="R17" t="str">
            <v>_PRE2013</v>
          </cell>
          <cell r="S17" t="str">
            <v>_PRE2013</v>
          </cell>
          <cell r="T17" t="str">
            <v>_PRE2013</v>
          </cell>
          <cell r="W17" t="str">
            <v>_PRE2013</v>
          </cell>
          <cell r="X17" t="str">
            <v>Retro</v>
          </cell>
          <cell r="Y17" t="str">
            <v>_PRE2013</v>
          </cell>
        </row>
        <row r="18">
          <cell r="B18" t="str">
            <v>Commercial Computer Monitor-NR</v>
          </cell>
          <cell r="C18" t="str">
            <v>_PRE2013</v>
          </cell>
          <cell r="D18" t="str">
            <v>_PRE2013</v>
          </cell>
          <cell r="E18" t="str">
            <v>_PRE2013</v>
          </cell>
          <cell r="F18" t="str">
            <v>_PRE2013</v>
          </cell>
          <cell r="G18" t="str">
            <v>_PRE2013</v>
          </cell>
          <cell r="H18" t="str">
            <v>_PRE2013</v>
          </cell>
          <cell r="I18" t="str">
            <v>_PRE2013</v>
          </cell>
          <cell r="J18" t="str">
            <v>_PRE2013</v>
          </cell>
          <cell r="K18" t="str">
            <v>_PRE2013</v>
          </cell>
          <cell r="L18" t="str">
            <v>_PRE2013</v>
          </cell>
          <cell r="M18" t="str">
            <v>_PRE2013</v>
          </cell>
          <cell r="N18" t="str">
            <v>_PRE2013</v>
          </cell>
          <cell r="O18" t="str">
            <v>_PRE2013</v>
          </cell>
          <cell r="P18" t="str">
            <v>_PRE2013</v>
          </cell>
          <cell r="Q18" t="str">
            <v>_PRE2013</v>
          </cell>
          <cell r="R18" t="str">
            <v>_PRE2013</v>
          </cell>
          <cell r="S18" t="str">
            <v>_PRE2013</v>
          </cell>
          <cell r="T18" t="str">
            <v>_PRE2013</v>
          </cell>
          <cell r="W18" t="str">
            <v>_PRE2013</v>
          </cell>
          <cell r="X18" t="str">
            <v>NR</v>
          </cell>
          <cell r="Y18" t="str">
            <v>POST2013</v>
          </cell>
        </row>
        <row r="19">
          <cell r="B19" t="str">
            <v>Commercial Computer Desktop-NR</v>
          </cell>
          <cell r="C19" t="str">
            <v>_PRE2013</v>
          </cell>
          <cell r="D19" t="str">
            <v>_PRE2013</v>
          </cell>
          <cell r="E19" t="str">
            <v>_PRE2013</v>
          </cell>
          <cell r="F19" t="str">
            <v>_PRE2013</v>
          </cell>
          <cell r="G19" t="str">
            <v>_PRE2013</v>
          </cell>
          <cell r="H19" t="str">
            <v>_PRE2013</v>
          </cell>
          <cell r="I19" t="str">
            <v>_PRE2013</v>
          </cell>
          <cell r="J19" t="str">
            <v>_PRE2013</v>
          </cell>
          <cell r="K19" t="str">
            <v>_PRE2013</v>
          </cell>
          <cell r="L19" t="str">
            <v>_PRE2013</v>
          </cell>
          <cell r="M19" t="str">
            <v>_PRE2013</v>
          </cell>
          <cell r="N19" t="str">
            <v>_PRE2013</v>
          </cell>
          <cell r="O19" t="str">
            <v>_PRE2013</v>
          </cell>
          <cell r="P19" t="str">
            <v>_PRE2013</v>
          </cell>
          <cell r="Q19" t="str">
            <v>_PRE2013</v>
          </cell>
          <cell r="R19" t="str">
            <v>_PRE2013</v>
          </cell>
          <cell r="S19" t="str">
            <v>_PRE2013</v>
          </cell>
          <cell r="T19" t="str">
            <v>_PRE2013</v>
          </cell>
          <cell r="W19" t="str">
            <v>_PRE2013</v>
          </cell>
          <cell r="X19" t="str">
            <v>NR</v>
          </cell>
          <cell r="Y19" t="str">
            <v>POST2013</v>
          </cell>
        </row>
        <row r="20">
          <cell r="B20" t="str">
            <v>Pre-Rinse Spray Valve-Retro</v>
          </cell>
          <cell r="C20" t="str">
            <v>_PRE2013</v>
          </cell>
          <cell r="D20" t="str">
            <v>_PRE2013</v>
          </cell>
          <cell r="E20" t="str">
            <v>_PRE2013</v>
          </cell>
          <cell r="F20" t="str">
            <v>_PRE2013</v>
          </cell>
          <cell r="G20" t="str">
            <v>_PRE2013</v>
          </cell>
          <cell r="H20" t="str">
            <v>_PRE2013</v>
          </cell>
          <cell r="I20" t="str">
            <v>_PRE2013</v>
          </cell>
          <cell r="J20" t="str">
            <v>_PRE2013</v>
          </cell>
          <cell r="K20" t="str">
            <v>_PRE2013</v>
          </cell>
          <cell r="L20" t="str">
            <v>_PRE2013</v>
          </cell>
          <cell r="M20" t="str">
            <v>_PRE2013</v>
          </cell>
          <cell r="N20" t="str">
            <v>_PRE2013</v>
          </cell>
          <cell r="O20" t="str">
            <v>_PRE2013</v>
          </cell>
          <cell r="P20" t="str">
            <v>_PRE2013</v>
          </cell>
          <cell r="Q20" t="str">
            <v>_PRE2013</v>
          </cell>
          <cell r="R20" t="str">
            <v>_PRE2013</v>
          </cell>
          <cell r="S20" t="str">
            <v>_PRE2013</v>
          </cell>
          <cell r="T20" t="str">
            <v>_PRE2013</v>
          </cell>
          <cell r="W20" t="str">
            <v>_PRE2013</v>
          </cell>
          <cell r="X20" t="str">
            <v>Retro</v>
          </cell>
          <cell r="Y20" t="str">
            <v>_PRE2013</v>
          </cell>
        </row>
        <row r="21">
          <cell r="B21" t="str">
            <v>Cooking Equipment-NR</v>
          </cell>
          <cell r="C21" t="str">
            <v>POST2013</v>
          </cell>
          <cell r="D21" t="str">
            <v>POST2013</v>
          </cell>
          <cell r="E21" t="str">
            <v>POST2013</v>
          </cell>
          <cell r="F21" t="str">
            <v>POST2013</v>
          </cell>
          <cell r="G21" t="str">
            <v>POST2013</v>
          </cell>
          <cell r="H21" t="str">
            <v>POST2013</v>
          </cell>
          <cell r="I21" t="str">
            <v>POST2013</v>
          </cell>
          <cell r="J21" t="str">
            <v>POST2013</v>
          </cell>
          <cell r="K21" t="str">
            <v>POST2013</v>
          </cell>
          <cell r="L21" t="str">
            <v>POST2013</v>
          </cell>
          <cell r="M21" t="str">
            <v>POST2013</v>
          </cell>
          <cell r="N21" t="str">
            <v>POST2013</v>
          </cell>
          <cell r="O21" t="str">
            <v>POST2013</v>
          </cell>
          <cell r="P21" t="str">
            <v>POST2013</v>
          </cell>
          <cell r="Q21" t="str">
            <v>POST2013</v>
          </cell>
          <cell r="R21" t="str">
            <v>POST2013</v>
          </cell>
          <cell r="S21" t="str">
            <v>POST2013</v>
          </cell>
          <cell r="T21" t="str">
            <v>POST2013</v>
          </cell>
          <cell r="W21" t="str">
            <v>POST2013</v>
          </cell>
          <cell r="X21" t="str">
            <v>NR</v>
          </cell>
          <cell r="Y21" t="str">
            <v>POST2013</v>
          </cell>
        </row>
        <row r="22">
          <cell r="B22" t="str">
            <v>Premium HVAC Equipment-New</v>
          </cell>
          <cell r="C22" t="str">
            <v>POST2013</v>
          </cell>
          <cell r="D22" t="str">
            <v>POST2013</v>
          </cell>
          <cell r="E22" t="str">
            <v>POST2013</v>
          </cell>
          <cell r="F22" t="str">
            <v>POST2013</v>
          </cell>
          <cell r="G22" t="str">
            <v>POST2013</v>
          </cell>
          <cell r="H22" t="str">
            <v>POST2013</v>
          </cell>
          <cell r="I22" t="str">
            <v>POST2013</v>
          </cell>
          <cell r="J22" t="str">
            <v>POST2013</v>
          </cell>
          <cell r="K22" t="str">
            <v>POST2013</v>
          </cell>
          <cell r="L22" t="str">
            <v>POST2013</v>
          </cell>
          <cell r="M22" t="str">
            <v>POST2013</v>
          </cell>
          <cell r="N22" t="str">
            <v>POST2013</v>
          </cell>
          <cell r="O22" t="str">
            <v>POST2013</v>
          </cell>
          <cell r="P22" t="str">
            <v>POST2013</v>
          </cell>
          <cell r="Q22" t="str">
            <v>POST2013</v>
          </cell>
          <cell r="R22" t="str">
            <v>POST2013</v>
          </cell>
          <cell r="S22" t="str">
            <v>POST2013</v>
          </cell>
          <cell r="T22" t="str">
            <v>POST2013</v>
          </cell>
          <cell r="W22" t="str">
            <v>POST2013</v>
          </cell>
          <cell r="X22" t="str">
            <v>New</v>
          </cell>
          <cell r="Y22" t="str">
            <v>POST2013</v>
          </cell>
        </row>
        <row r="23">
          <cell r="B23" t="str">
            <v>Premium HVAC Equipment-NR</v>
          </cell>
          <cell r="C23" t="str">
            <v>POST2013</v>
          </cell>
          <cell r="D23" t="str">
            <v>POST2013</v>
          </cell>
          <cell r="E23" t="str">
            <v>POST2013</v>
          </cell>
          <cell r="F23" t="str">
            <v>POST2013</v>
          </cell>
          <cell r="G23" t="str">
            <v>POST2013</v>
          </cell>
          <cell r="H23" t="str">
            <v>POST2013</v>
          </cell>
          <cell r="I23" t="str">
            <v>POST2013</v>
          </cell>
          <cell r="J23" t="str">
            <v>POST2013</v>
          </cell>
          <cell r="K23" t="str">
            <v>POST2013</v>
          </cell>
          <cell r="L23" t="str">
            <v>POST2013</v>
          </cell>
          <cell r="M23" t="str">
            <v>POST2013</v>
          </cell>
          <cell r="N23" t="str">
            <v>POST2013</v>
          </cell>
          <cell r="O23" t="str">
            <v>POST2013</v>
          </cell>
          <cell r="P23" t="str">
            <v>POST2013</v>
          </cell>
          <cell r="Q23" t="str">
            <v>POST2013</v>
          </cell>
          <cell r="R23" t="str">
            <v>POST2013</v>
          </cell>
          <cell r="S23" t="str">
            <v>POST2013</v>
          </cell>
          <cell r="T23" t="str">
            <v>POST2013</v>
          </cell>
          <cell r="W23" t="str">
            <v>POST2013</v>
          </cell>
          <cell r="X23" t="str">
            <v>NR</v>
          </cell>
          <cell r="Y23" t="str">
            <v>POST2013</v>
          </cell>
        </row>
        <row r="24">
          <cell r="B24" t="str">
            <v>Glass-New</v>
          </cell>
          <cell r="C24" t="str">
            <v>POST2013</v>
          </cell>
          <cell r="D24" t="str">
            <v>POST2013</v>
          </cell>
          <cell r="E24" t="str">
            <v>POST2013</v>
          </cell>
          <cell r="F24" t="str">
            <v>POST2013</v>
          </cell>
          <cell r="G24" t="str">
            <v>POST2013</v>
          </cell>
          <cell r="H24" t="str">
            <v>POST2013</v>
          </cell>
          <cell r="I24" t="str">
            <v>POST2013</v>
          </cell>
          <cell r="J24" t="str">
            <v>POST2013</v>
          </cell>
          <cell r="K24" t="str">
            <v>POST2013</v>
          </cell>
          <cell r="L24" t="str">
            <v>POST2013</v>
          </cell>
          <cell r="M24" t="str">
            <v>POST2013</v>
          </cell>
          <cell r="N24" t="str">
            <v>POST2013</v>
          </cell>
          <cell r="O24" t="str">
            <v>POST2013</v>
          </cell>
          <cell r="P24" t="str">
            <v>POST2013</v>
          </cell>
          <cell r="Q24" t="str">
            <v>POST2013</v>
          </cell>
          <cell r="R24" t="str">
            <v>POST2013</v>
          </cell>
          <cell r="S24" t="str">
            <v>POST2013</v>
          </cell>
          <cell r="T24" t="str">
            <v>POST2013</v>
          </cell>
          <cell r="W24" t="str">
            <v>POST2013</v>
          </cell>
          <cell r="X24" t="str">
            <v>New</v>
          </cell>
          <cell r="Y24" t="str">
            <v>POST2013</v>
          </cell>
        </row>
        <row r="25">
          <cell r="B25" t="str">
            <v>Glass-NR</v>
          </cell>
          <cell r="C25" t="str">
            <v>POST2013</v>
          </cell>
          <cell r="D25" t="str">
            <v>POST2013</v>
          </cell>
          <cell r="E25" t="str">
            <v>POST2013</v>
          </cell>
          <cell r="F25" t="str">
            <v>POST2013</v>
          </cell>
          <cell r="G25" t="str">
            <v>POST2013</v>
          </cell>
          <cell r="H25" t="str">
            <v>POST2013</v>
          </cell>
          <cell r="I25" t="str">
            <v>POST2013</v>
          </cell>
          <cell r="J25" t="str">
            <v>POST2013</v>
          </cell>
          <cell r="K25" t="str">
            <v>POST2013</v>
          </cell>
          <cell r="L25" t="str">
            <v>POST2013</v>
          </cell>
          <cell r="M25" t="str">
            <v>POST2013</v>
          </cell>
          <cell r="N25" t="str">
            <v>POST2013</v>
          </cell>
          <cell r="O25" t="str">
            <v>POST2013</v>
          </cell>
          <cell r="P25" t="str">
            <v>POST2013</v>
          </cell>
          <cell r="Q25" t="str">
            <v>POST2013</v>
          </cell>
          <cell r="R25" t="str">
            <v>POST2013</v>
          </cell>
          <cell r="S25" t="str">
            <v>POST2013</v>
          </cell>
          <cell r="T25" t="str">
            <v>POST2013</v>
          </cell>
          <cell r="W25" t="str">
            <v>POST2013</v>
          </cell>
          <cell r="X25" t="str">
            <v>NR</v>
          </cell>
          <cell r="Y25" t="str">
            <v>POST2013</v>
          </cell>
        </row>
        <row r="26">
          <cell r="B26" t="str">
            <v>Glass-Retro</v>
          </cell>
          <cell r="C26" t="str">
            <v>_PRE2013</v>
          </cell>
          <cell r="D26" t="str">
            <v>_PRE2013</v>
          </cell>
          <cell r="E26" t="str">
            <v>_PRE2013</v>
          </cell>
          <cell r="F26" t="str">
            <v>_PRE2013</v>
          </cell>
          <cell r="G26" t="str">
            <v>_PRE2013</v>
          </cell>
          <cell r="H26" t="str">
            <v>_PRE2013</v>
          </cell>
          <cell r="I26" t="str">
            <v>_PRE2013</v>
          </cell>
          <cell r="J26" t="str">
            <v>_PRE2013</v>
          </cell>
          <cell r="K26" t="str">
            <v>_PRE2013</v>
          </cell>
          <cell r="L26" t="str">
            <v>_PRE2013</v>
          </cell>
          <cell r="M26" t="str">
            <v>_PRE2013</v>
          </cell>
          <cell r="N26" t="str">
            <v>_PRE2013</v>
          </cell>
          <cell r="O26" t="str">
            <v>_PRE2013</v>
          </cell>
          <cell r="P26" t="str">
            <v>_PRE2013</v>
          </cell>
          <cell r="Q26" t="str">
            <v>_PRE2013</v>
          </cell>
          <cell r="R26" t="str">
            <v>_PRE2013</v>
          </cell>
          <cell r="S26" t="str">
            <v>_PRE2013</v>
          </cell>
          <cell r="T26" t="str">
            <v>_PRE2013</v>
          </cell>
          <cell r="W26" t="str">
            <v>_PRE2013</v>
          </cell>
          <cell r="X26" t="str">
            <v>Retro</v>
          </cell>
          <cell r="Y26" t="str">
            <v>_PRE2013</v>
          </cell>
        </row>
        <row r="27">
          <cell r="B27" t="str">
            <v>Advanced Rooftop Controller-New</v>
          </cell>
          <cell r="C27" t="str">
            <v>POST2013</v>
          </cell>
          <cell r="D27" t="str">
            <v>POST2013</v>
          </cell>
          <cell r="E27" t="str">
            <v>POST2013</v>
          </cell>
          <cell r="F27" t="str">
            <v>POST2013</v>
          </cell>
          <cell r="G27" t="str">
            <v>POST2013</v>
          </cell>
          <cell r="H27" t="str">
            <v>POST2013</v>
          </cell>
          <cell r="I27" t="str">
            <v>POST2013</v>
          </cell>
          <cell r="J27" t="str">
            <v>POST2013</v>
          </cell>
          <cell r="K27" t="str">
            <v>POST2013</v>
          </cell>
          <cell r="L27" t="str">
            <v>POST2013</v>
          </cell>
          <cell r="M27" t="str">
            <v>POST2013</v>
          </cell>
          <cell r="N27" t="str">
            <v>POST2013</v>
          </cell>
          <cell r="O27" t="str">
            <v>POST2013</v>
          </cell>
          <cell r="P27" t="str">
            <v>POST2013</v>
          </cell>
          <cell r="Q27" t="str">
            <v>POST2013</v>
          </cell>
          <cell r="R27" t="str">
            <v>POST2013</v>
          </cell>
          <cell r="S27" t="str">
            <v>POST2013</v>
          </cell>
          <cell r="T27" t="str">
            <v>POST2013</v>
          </cell>
          <cell r="W27" t="str">
            <v>POST2013</v>
          </cell>
          <cell r="X27" t="str">
            <v>New</v>
          </cell>
          <cell r="Y27" t="str">
            <v>POST2013</v>
          </cell>
        </row>
        <row r="28">
          <cell r="B28" t="str">
            <v>Advanced Rooftop Controller-NR</v>
          </cell>
          <cell r="C28" t="str">
            <v>POST2013</v>
          </cell>
          <cell r="D28" t="str">
            <v>POST2013</v>
          </cell>
          <cell r="E28" t="str">
            <v>POST2013</v>
          </cell>
          <cell r="F28" t="str">
            <v>POST2013</v>
          </cell>
          <cell r="G28" t="str">
            <v>POST2013</v>
          </cell>
          <cell r="H28" t="str">
            <v>POST2013</v>
          </cell>
          <cell r="I28" t="str">
            <v>POST2013</v>
          </cell>
          <cell r="J28" t="str">
            <v>POST2013</v>
          </cell>
          <cell r="K28" t="str">
            <v>POST2013</v>
          </cell>
          <cell r="L28" t="str">
            <v>POST2013</v>
          </cell>
          <cell r="M28" t="str">
            <v>POST2013</v>
          </cell>
          <cell r="N28" t="str">
            <v>POST2013</v>
          </cell>
          <cell r="O28" t="str">
            <v>POST2013</v>
          </cell>
          <cell r="P28" t="str">
            <v>POST2013</v>
          </cell>
          <cell r="Q28" t="str">
            <v>POST2013</v>
          </cell>
          <cell r="R28" t="str">
            <v>POST2013</v>
          </cell>
          <cell r="S28" t="str">
            <v>POST2013</v>
          </cell>
          <cell r="T28" t="str">
            <v>POST2013</v>
          </cell>
          <cell r="W28" t="str">
            <v>POST2013</v>
          </cell>
          <cell r="X28" t="str">
            <v>NR</v>
          </cell>
          <cell r="Y28" t="str">
            <v>POST2013</v>
          </cell>
        </row>
        <row r="29">
          <cell r="B29" t="str">
            <v>Advanced Rooftop Controller-Retro</v>
          </cell>
          <cell r="C29" t="str">
            <v>_PRE2013</v>
          </cell>
          <cell r="D29" t="str">
            <v>_PRE2013</v>
          </cell>
          <cell r="E29" t="str">
            <v>_PRE2013</v>
          </cell>
          <cell r="F29" t="str">
            <v>_PRE2013</v>
          </cell>
          <cell r="G29" t="str">
            <v>_PRE2013</v>
          </cell>
          <cell r="H29" t="str">
            <v>_PRE2013</v>
          </cell>
          <cell r="I29" t="str">
            <v>_PRE2013</v>
          </cell>
          <cell r="J29" t="str">
            <v>_PRE2013</v>
          </cell>
          <cell r="K29" t="str">
            <v>_PRE2013</v>
          </cell>
          <cell r="L29" t="str">
            <v>_PRE2013</v>
          </cell>
          <cell r="M29" t="str">
            <v>_PRE2013</v>
          </cell>
          <cell r="N29" t="str">
            <v>_PRE2013</v>
          </cell>
          <cell r="O29" t="str">
            <v>_PRE2013</v>
          </cell>
          <cell r="P29" t="str">
            <v>_PRE2013</v>
          </cell>
          <cell r="Q29" t="str">
            <v>_PRE2013</v>
          </cell>
          <cell r="R29" t="str">
            <v>_PRE2013</v>
          </cell>
          <cell r="S29" t="str">
            <v>_PRE2013</v>
          </cell>
          <cell r="T29" t="str">
            <v>_PRE2013</v>
          </cell>
          <cell r="W29" t="str">
            <v>_PRE2013</v>
          </cell>
          <cell r="X29" t="str">
            <v>Retro</v>
          </cell>
          <cell r="Y29" t="str">
            <v>_PRE2013</v>
          </cell>
        </row>
        <row r="30">
          <cell r="B30" t="str">
            <v>Variable Speed Chiller-New</v>
          </cell>
          <cell r="C30" t="str">
            <v>POST2013</v>
          </cell>
          <cell r="D30" t="str">
            <v>POST2013</v>
          </cell>
          <cell r="E30" t="str">
            <v>POST2013</v>
          </cell>
          <cell r="F30" t="str">
            <v>POST2013</v>
          </cell>
          <cell r="G30" t="str">
            <v>POST2013</v>
          </cell>
          <cell r="H30" t="str">
            <v>POST2013</v>
          </cell>
          <cell r="I30" t="str">
            <v>POST2013</v>
          </cell>
          <cell r="J30" t="str">
            <v>POST2013</v>
          </cell>
          <cell r="K30" t="str">
            <v>POST2013</v>
          </cell>
          <cell r="L30" t="str">
            <v>POST2013</v>
          </cell>
          <cell r="M30" t="str">
            <v>POST2013</v>
          </cell>
          <cell r="N30" t="str">
            <v>POST2013</v>
          </cell>
          <cell r="O30" t="str">
            <v>POST2013</v>
          </cell>
          <cell r="P30" t="str">
            <v>POST2013</v>
          </cell>
          <cell r="Q30" t="str">
            <v>POST2013</v>
          </cell>
          <cell r="R30" t="str">
            <v>POST2013</v>
          </cell>
          <cell r="S30" t="str">
            <v>POST2013</v>
          </cell>
          <cell r="T30" t="str">
            <v>POST2013</v>
          </cell>
          <cell r="W30" t="str">
            <v>POST2013</v>
          </cell>
          <cell r="X30" t="str">
            <v>New</v>
          </cell>
          <cell r="Y30" t="str">
            <v>POST2013</v>
          </cell>
        </row>
        <row r="31">
          <cell r="B31" t="str">
            <v>Variable Speed Chiller-NR</v>
          </cell>
          <cell r="C31" t="str">
            <v>POST2013</v>
          </cell>
          <cell r="D31" t="str">
            <v>POST2013</v>
          </cell>
          <cell r="E31" t="str">
            <v>POST2013</v>
          </cell>
          <cell r="F31" t="str">
            <v>POST2013</v>
          </cell>
          <cell r="G31" t="str">
            <v>POST2013</v>
          </cell>
          <cell r="H31" t="str">
            <v>POST2013</v>
          </cell>
          <cell r="I31" t="str">
            <v>POST2013</v>
          </cell>
          <cell r="J31" t="str">
            <v>POST2013</v>
          </cell>
          <cell r="K31" t="str">
            <v>POST2013</v>
          </cell>
          <cell r="L31" t="str">
            <v>POST2013</v>
          </cell>
          <cell r="M31" t="str">
            <v>POST2013</v>
          </cell>
          <cell r="N31" t="str">
            <v>POST2013</v>
          </cell>
          <cell r="O31" t="str">
            <v>POST2013</v>
          </cell>
          <cell r="P31" t="str">
            <v>POST2013</v>
          </cell>
          <cell r="Q31" t="str">
            <v>POST2013</v>
          </cell>
          <cell r="R31" t="str">
            <v>POST2013</v>
          </cell>
          <cell r="S31" t="str">
            <v>POST2013</v>
          </cell>
          <cell r="T31" t="str">
            <v>POST2013</v>
          </cell>
          <cell r="W31" t="str">
            <v>POST2013</v>
          </cell>
          <cell r="X31" t="str">
            <v>NR</v>
          </cell>
          <cell r="Y31" t="str">
            <v>POST2013</v>
          </cell>
        </row>
        <row r="32">
          <cell r="B32" t="str">
            <v>Commercial EM-New</v>
          </cell>
          <cell r="C32" t="str">
            <v>POST2013</v>
          </cell>
          <cell r="D32" t="str">
            <v>POST2013</v>
          </cell>
          <cell r="E32" t="str">
            <v>POST2013</v>
          </cell>
          <cell r="F32" t="str">
            <v>POST2013</v>
          </cell>
          <cell r="G32" t="str">
            <v>POST2013</v>
          </cell>
          <cell r="H32" t="str">
            <v>POST2013</v>
          </cell>
          <cell r="I32" t="str">
            <v>POST2013</v>
          </cell>
          <cell r="J32" t="str">
            <v>POST2013</v>
          </cell>
          <cell r="K32" t="str">
            <v>POST2013</v>
          </cell>
          <cell r="L32" t="str">
            <v>POST2013</v>
          </cell>
          <cell r="M32" t="str">
            <v>POST2013</v>
          </cell>
          <cell r="N32" t="str">
            <v>POST2013</v>
          </cell>
          <cell r="O32" t="str">
            <v>POST2013</v>
          </cell>
          <cell r="P32" t="str">
            <v>POST2013</v>
          </cell>
          <cell r="Q32" t="str">
            <v>POST2013</v>
          </cell>
          <cell r="R32" t="str">
            <v>POST2013</v>
          </cell>
          <cell r="S32" t="str">
            <v>POST2013</v>
          </cell>
          <cell r="T32" t="str">
            <v>POST2013</v>
          </cell>
          <cell r="W32" t="str">
            <v>POST2013</v>
          </cell>
          <cell r="X32" t="str">
            <v>New</v>
          </cell>
          <cell r="Y32" t="str">
            <v>POST2013</v>
          </cell>
        </row>
        <row r="33">
          <cell r="B33" t="str">
            <v>Commercial EM-NR</v>
          </cell>
          <cell r="C33" t="str">
            <v>POST2013</v>
          </cell>
          <cell r="D33" t="str">
            <v>POST2013</v>
          </cell>
          <cell r="E33" t="str">
            <v>POST2013</v>
          </cell>
          <cell r="F33" t="str">
            <v>POST2013</v>
          </cell>
          <cell r="G33" t="str">
            <v>POST2013</v>
          </cell>
          <cell r="H33" t="str">
            <v>POST2013</v>
          </cell>
          <cell r="I33" t="str">
            <v>POST2013</v>
          </cell>
          <cell r="J33" t="str">
            <v>POST2013</v>
          </cell>
          <cell r="K33" t="str">
            <v>POST2013</v>
          </cell>
          <cell r="L33" t="str">
            <v>POST2013</v>
          </cell>
          <cell r="M33" t="str">
            <v>POST2013</v>
          </cell>
          <cell r="N33" t="str">
            <v>POST2013</v>
          </cell>
          <cell r="O33" t="str">
            <v>POST2013</v>
          </cell>
          <cell r="P33" t="str">
            <v>POST2013</v>
          </cell>
          <cell r="Q33" t="str">
            <v>POST2013</v>
          </cell>
          <cell r="R33" t="str">
            <v>POST2013</v>
          </cell>
          <cell r="S33" t="str">
            <v>POST2013</v>
          </cell>
          <cell r="T33" t="str">
            <v>POST2013</v>
          </cell>
          <cell r="W33" t="str">
            <v>POST2013</v>
          </cell>
          <cell r="X33" t="str">
            <v>NR</v>
          </cell>
          <cell r="Y33" t="str">
            <v>POST2013</v>
          </cell>
        </row>
        <row r="34">
          <cell r="B34" t="str">
            <v>Commercial EM-Retro</v>
          </cell>
          <cell r="C34" t="str">
            <v>_PRE2013</v>
          </cell>
          <cell r="D34" t="str">
            <v>_PRE2013</v>
          </cell>
          <cell r="E34" t="str">
            <v>_PRE2013</v>
          </cell>
          <cell r="F34" t="str">
            <v>_PRE2013</v>
          </cell>
          <cell r="G34" t="str">
            <v>_PRE2013</v>
          </cell>
          <cell r="H34" t="str">
            <v>_PRE2013</v>
          </cell>
          <cell r="I34" t="str">
            <v>_PRE2013</v>
          </cell>
          <cell r="J34" t="str">
            <v>_PRE2013</v>
          </cell>
          <cell r="K34" t="str">
            <v>_PRE2013</v>
          </cell>
          <cell r="L34" t="str">
            <v>_PRE2013</v>
          </cell>
          <cell r="M34" t="str">
            <v>_PRE2013</v>
          </cell>
          <cell r="N34" t="str">
            <v>_PRE2013</v>
          </cell>
          <cell r="O34" t="str">
            <v>_PRE2013</v>
          </cell>
          <cell r="P34" t="str">
            <v>_PRE2013</v>
          </cell>
          <cell r="Q34" t="str">
            <v>_PRE2013</v>
          </cell>
          <cell r="R34" t="str">
            <v>_PRE2013</v>
          </cell>
          <cell r="S34" t="str">
            <v>_PRE2013</v>
          </cell>
          <cell r="T34" t="str">
            <v>_PRE2013</v>
          </cell>
          <cell r="W34" t="str">
            <v>_PRE2013</v>
          </cell>
          <cell r="X34" t="str">
            <v>Retro</v>
          </cell>
          <cell r="Y34" t="str">
            <v>_PRE2013</v>
          </cell>
        </row>
        <row r="35">
          <cell r="B35" t="str">
            <v>Evaporative Assist Cooling-New</v>
          </cell>
          <cell r="C35" t="str">
            <v>POST2013</v>
          </cell>
          <cell r="D35" t="str">
            <v>POST2013</v>
          </cell>
          <cell r="E35" t="str">
            <v>POST2013</v>
          </cell>
          <cell r="F35" t="str">
            <v>POST2013</v>
          </cell>
          <cell r="G35" t="str">
            <v>POST2013</v>
          </cell>
          <cell r="H35" t="str">
            <v>POST2013</v>
          </cell>
          <cell r="I35" t="str">
            <v>POST2013</v>
          </cell>
          <cell r="J35" t="str">
            <v>POST2013</v>
          </cell>
          <cell r="K35" t="str">
            <v>POST2013</v>
          </cell>
          <cell r="L35" t="str">
            <v>POST2013</v>
          </cell>
          <cell r="M35" t="str">
            <v>POST2013</v>
          </cell>
          <cell r="N35" t="str">
            <v>POST2013</v>
          </cell>
          <cell r="O35" t="str">
            <v>POST2013</v>
          </cell>
          <cell r="P35" t="str">
            <v>POST2013</v>
          </cell>
          <cell r="Q35" t="str">
            <v>POST2013</v>
          </cell>
          <cell r="R35" t="str">
            <v>POST2013</v>
          </cell>
          <cell r="S35" t="str">
            <v>POST2013</v>
          </cell>
          <cell r="T35" t="str">
            <v>POST2013</v>
          </cell>
          <cell r="W35" t="str">
            <v>POST2013</v>
          </cell>
          <cell r="X35" t="str">
            <v>New</v>
          </cell>
          <cell r="Y35" t="str">
            <v>POST2013</v>
          </cell>
        </row>
        <row r="36">
          <cell r="B36" t="str">
            <v>Evaporative Assist Cooling-NR</v>
          </cell>
          <cell r="C36" t="str">
            <v>POST2013</v>
          </cell>
          <cell r="D36" t="str">
            <v>POST2013</v>
          </cell>
          <cell r="E36" t="str">
            <v>POST2013</v>
          </cell>
          <cell r="F36" t="str">
            <v>POST2013</v>
          </cell>
          <cell r="G36" t="str">
            <v>POST2013</v>
          </cell>
          <cell r="H36" t="str">
            <v>POST2013</v>
          </cell>
          <cell r="I36" t="str">
            <v>POST2013</v>
          </cell>
          <cell r="J36" t="str">
            <v>POST2013</v>
          </cell>
          <cell r="K36" t="str">
            <v>POST2013</v>
          </cell>
          <cell r="L36" t="str">
            <v>POST2013</v>
          </cell>
          <cell r="M36" t="str">
            <v>POST2013</v>
          </cell>
          <cell r="N36" t="str">
            <v>POST2013</v>
          </cell>
          <cell r="O36" t="str">
            <v>POST2013</v>
          </cell>
          <cell r="P36" t="str">
            <v>POST2013</v>
          </cell>
          <cell r="Q36" t="str">
            <v>POST2013</v>
          </cell>
          <cell r="R36" t="str">
            <v>POST2013</v>
          </cell>
          <cell r="S36" t="str">
            <v>POST2013</v>
          </cell>
          <cell r="T36" t="str">
            <v>POST2013</v>
          </cell>
          <cell r="W36" t="str">
            <v>POST2013</v>
          </cell>
          <cell r="X36" t="str">
            <v>NR</v>
          </cell>
          <cell r="Y36" t="str">
            <v>POST2013</v>
          </cell>
        </row>
        <row r="37">
          <cell r="B37" t="str">
            <v>Low Pressure Distribution Complex HVAC-New</v>
          </cell>
          <cell r="C37" t="str">
            <v>POST2013</v>
          </cell>
          <cell r="D37" t="str">
            <v>POST2013</v>
          </cell>
          <cell r="E37" t="str">
            <v>POST2013</v>
          </cell>
          <cell r="F37" t="str">
            <v>POST2013</v>
          </cell>
          <cell r="G37" t="str">
            <v>POST2013</v>
          </cell>
          <cell r="H37" t="str">
            <v>POST2013</v>
          </cell>
          <cell r="I37" t="str">
            <v>POST2013</v>
          </cell>
          <cell r="J37" t="str">
            <v>POST2013</v>
          </cell>
          <cell r="K37" t="str">
            <v>POST2013</v>
          </cell>
          <cell r="L37" t="str">
            <v>POST2013</v>
          </cell>
          <cell r="M37" t="str">
            <v>POST2013</v>
          </cell>
          <cell r="N37" t="str">
            <v>POST2013</v>
          </cell>
          <cell r="O37" t="str">
            <v>POST2013</v>
          </cell>
          <cell r="P37" t="str">
            <v>POST2013</v>
          </cell>
          <cell r="Q37" t="str">
            <v>POST2013</v>
          </cell>
          <cell r="R37" t="str">
            <v>POST2013</v>
          </cell>
          <cell r="S37" t="str">
            <v>POST2013</v>
          </cell>
          <cell r="T37" t="str">
            <v>POST2013</v>
          </cell>
          <cell r="W37" t="str">
            <v>POST2013</v>
          </cell>
          <cell r="X37" t="str">
            <v>New</v>
          </cell>
          <cell r="Y37" t="str">
            <v>POST2013</v>
          </cell>
        </row>
        <row r="38">
          <cell r="B38" t="str">
            <v>Demand Control Ventilation-New</v>
          </cell>
          <cell r="C38" t="str">
            <v>POST2013</v>
          </cell>
          <cell r="D38" t="str">
            <v>POST2013</v>
          </cell>
          <cell r="E38" t="str">
            <v>POST2013</v>
          </cell>
          <cell r="F38" t="str">
            <v>POST2013</v>
          </cell>
          <cell r="G38" t="str">
            <v>POST2013</v>
          </cell>
          <cell r="H38" t="str">
            <v>POST2013</v>
          </cell>
          <cell r="I38" t="str">
            <v>POST2013</v>
          </cell>
          <cell r="J38" t="str">
            <v>POST2013</v>
          </cell>
          <cell r="K38" t="str">
            <v>POST2013</v>
          </cell>
          <cell r="L38" t="str">
            <v>POST2013</v>
          </cell>
          <cell r="M38" t="str">
            <v>POST2013</v>
          </cell>
          <cell r="N38" t="str">
            <v>POST2013</v>
          </cell>
          <cell r="O38" t="str">
            <v>POST2013</v>
          </cell>
          <cell r="P38" t="str">
            <v>POST2013</v>
          </cell>
          <cell r="Q38" t="str">
            <v>POST2013</v>
          </cell>
          <cell r="R38" t="str">
            <v>POST2013</v>
          </cell>
          <cell r="S38" t="str">
            <v>POST2013</v>
          </cell>
          <cell r="T38" t="str">
            <v>POST2013</v>
          </cell>
          <cell r="W38" t="str">
            <v>POST2013</v>
          </cell>
          <cell r="X38" t="str">
            <v>New</v>
          </cell>
          <cell r="Y38" t="str">
            <v>POST2013</v>
          </cell>
        </row>
        <row r="39">
          <cell r="B39" t="str">
            <v>Demand Control Ventilation-NR</v>
          </cell>
          <cell r="C39" t="str">
            <v>POST2013</v>
          </cell>
          <cell r="D39" t="str">
            <v>POST2013</v>
          </cell>
          <cell r="E39" t="str">
            <v>POST2013</v>
          </cell>
          <cell r="F39" t="str">
            <v>POST2013</v>
          </cell>
          <cell r="G39" t="str">
            <v>POST2013</v>
          </cell>
          <cell r="H39" t="str">
            <v>POST2013</v>
          </cell>
          <cell r="I39" t="str">
            <v>POST2013</v>
          </cell>
          <cell r="J39" t="str">
            <v>POST2013</v>
          </cell>
          <cell r="K39" t="str">
            <v>POST2013</v>
          </cell>
          <cell r="L39" t="str">
            <v>POST2013</v>
          </cell>
          <cell r="M39" t="str">
            <v>POST2013</v>
          </cell>
          <cell r="N39" t="str">
            <v>POST2013</v>
          </cell>
          <cell r="O39" t="str">
            <v>POST2013</v>
          </cell>
          <cell r="P39" t="str">
            <v>POST2013</v>
          </cell>
          <cell r="Q39" t="str">
            <v>POST2013</v>
          </cell>
          <cell r="R39" t="str">
            <v>POST2013</v>
          </cell>
          <cell r="S39" t="str">
            <v>POST2013</v>
          </cell>
          <cell r="T39" t="str">
            <v>POST2013</v>
          </cell>
          <cell r="W39" t="str">
            <v>POST2013</v>
          </cell>
          <cell r="X39" t="str">
            <v>NR</v>
          </cell>
          <cell r="Y39" t="str">
            <v>POST2013</v>
          </cell>
        </row>
        <row r="40">
          <cell r="B40" t="str">
            <v>Demand Control Ventilation-Retro</v>
          </cell>
          <cell r="C40" t="str">
            <v>_PRE2013</v>
          </cell>
          <cell r="D40" t="str">
            <v>_PRE2013</v>
          </cell>
          <cell r="E40" t="str">
            <v>_PRE2013</v>
          </cell>
          <cell r="F40" t="str">
            <v>_PRE2013</v>
          </cell>
          <cell r="G40" t="str">
            <v>_PRE2013</v>
          </cell>
          <cell r="H40" t="str">
            <v>_PRE2013</v>
          </cell>
          <cell r="I40" t="str">
            <v>_PRE2013</v>
          </cell>
          <cell r="J40" t="str">
            <v>_PRE2013</v>
          </cell>
          <cell r="K40" t="str">
            <v>_PRE2013</v>
          </cell>
          <cell r="L40" t="str">
            <v>_PRE2013</v>
          </cell>
          <cell r="M40" t="str">
            <v>_PRE2013</v>
          </cell>
          <cell r="N40" t="str">
            <v>_PRE2013</v>
          </cell>
          <cell r="O40" t="str">
            <v>_PRE2013</v>
          </cell>
          <cell r="P40" t="str">
            <v>_PRE2013</v>
          </cell>
          <cell r="Q40" t="str">
            <v>_PRE2013</v>
          </cell>
          <cell r="R40" t="str">
            <v>_PRE2013</v>
          </cell>
          <cell r="S40" t="str">
            <v>_PRE2013</v>
          </cell>
          <cell r="T40" t="str">
            <v>_PRE2013</v>
          </cell>
          <cell r="W40" t="str">
            <v>_PRE2013</v>
          </cell>
          <cell r="X40" t="str">
            <v>Retro</v>
          </cell>
          <cell r="Y40" t="str">
            <v>_PRE2013</v>
          </cell>
        </row>
        <row r="41">
          <cell r="B41" t="str">
            <v>Premium Fume Hood-New</v>
          </cell>
          <cell r="C41" t="str">
            <v>POST2013</v>
          </cell>
          <cell r="D41" t="str">
            <v>POST2013</v>
          </cell>
          <cell r="E41" t="str">
            <v>POST2013</v>
          </cell>
          <cell r="F41" t="str">
            <v>POST2013</v>
          </cell>
          <cell r="G41" t="str">
            <v>POST2013</v>
          </cell>
          <cell r="H41" t="str">
            <v>POST2013</v>
          </cell>
          <cell r="I41" t="str">
            <v>POST2013</v>
          </cell>
          <cell r="J41" t="str">
            <v>POST2013</v>
          </cell>
          <cell r="K41" t="str">
            <v>POST2013</v>
          </cell>
          <cell r="L41" t="str">
            <v>POST2013</v>
          </cell>
          <cell r="M41" t="str">
            <v>POST2013</v>
          </cell>
          <cell r="N41" t="str">
            <v>POST2013</v>
          </cell>
          <cell r="O41" t="str">
            <v>POST2013</v>
          </cell>
          <cell r="P41" t="str">
            <v>POST2013</v>
          </cell>
          <cell r="Q41" t="str">
            <v>POST2013</v>
          </cell>
          <cell r="R41" t="str">
            <v>POST2013</v>
          </cell>
          <cell r="S41" t="str">
            <v>POST2013</v>
          </cell>
          <cell r="T41" t="str">
            <v>POST2013</v>
          </cell>
          <cell r="W41" t="str">
            <v>POST2013</v>
          </cell>
          <cell r="X41" t="str">
            <v>New</v>
          </cell>
          <cell r="Y41" t="str">
            <v>POST2013</v>
          </cell>
        </row>
        <row r="42">
          <cell r="B42" t="str">
            <v>DCV Restaurant Hood-Retro</v>
          </cell>
          <cell r="C42" t="str">
            <v>_PRE2013</v>
          </cell>
          <cell r="D42" t="str">
            <v>_PRE2013</v>
          </cell>
          <cell r="E42" t="str">
            <v>_PRE2013</v>
          </cell>
          <cell r="F42" t="str">
            <v>_PRE2013</v>
          </cell>
          <cell r="G42" t="str">
            <v>_PRE2013</v>
          </cell>
          <cell r="H42" t="str">
            <v>_PRE2013</v>
          </cell>
          <cell r="I42" t="str">
            <v>_PRE2013</v>
          </cell>
          <cell r="J42" t="str">
            <v>_PRE2013</v>
          </cell>
          <cell r="K42" t="str">
            <v>_PRE2013</v>
          </cell>
          <cell r="L42" t="str">
            <v>_PRE2013</v>
          </cell>
          <cell r="M42" t="str">
            <v>_PRE2013</v>
          </cell>
          <cell r="N42" t="str">
            <v>_PRE2013</v>
          </cell>
          <cell r="O42" t="str">
            <v>_PRE2013</v>
          </cell>
          <cell r="P42" t="str">
            <v>_PRE2013</v>
          </cell>
          <cell r="Q42" t="str">
            <v>_PRE2013</v>
          </cell>
          <cell r="R42" t="str">
            <v>_PRE2013</v>
          </cell>
          <cell r="S42" t="str">
            <v>_PRE2013</v>
          </cell>
          <cell r="T42" t="str">
            <v>_PRE2013</v>
          </cell>
          <cell r="W42" t="str">
            <v>_PRE2013</v>
          </cell>
          <cell r="X42" t="str">
            <v>Retro</v>
          </cell>
          <cell r="Y42" t="str">
            <v>_PRE2013</v>
          </cell>
        </row>
        <row r="43">
          <cell r="B43" t="str">
            <v>DCV Parking Garage-Retro</v>
          </cell>
          <cell r="C43" t="str">
            <v>_PRE2013</v>
          </cell>
          <cell r="D43" t="str">
            <v>_PRE2013</v>
          </cell>
          <cell r="E43" t="str">
            <v>_PRE2013</v>
          </cell>
          <cell r="F43" t="str">
            <v>_PRE2013</v>
          </cell>
          <cell r="G43" t="str">
            <v>_PRE2013</v>
          </cell>
          <cell r="H43" t="str">
            <v>_PRE2013</v>
          </cell>
          <cell r="I43" t="str">
            <v>_PRE2013</v>
          </cell>
          <cell r="J43" t="str">
            <v>_PRE2013</v>
          </cell>
          <cell r="K43" t="str">
            <v>_PRE2013</v>
          </cell>
          <cell r="L43" t="str">
            <v>_PRE2013</v>
          </cell>
          <cell r="M43" t="str">
            <v>_PRE2013</v>
          </cell>
          <cell r="N43" t="str">
            <v>_PRE2013</v>
          </cell>
          <cell r="O43" t="str">
            <v>_PRE2013</v>
          </cell>
          <cell r="P43" t="str">
            <v>_PRE2013</v>
          </cell>
          <cell r="Q43" t="str">
            <v>_PRE2013</v>
          </cell>
          <cell r="R43" t="str">
            <v>_PRE2013</v>
          </cell>
          <cell r="S43" t="str">
            <v>_PRE2013</v>
          </cell>
          <cell r="T43" t="str">
            <v>_PRE2013</v>
          </cell>
          <cell r="W43" t="str">
            <v>_PRE2013</v>
          </cell>
          <cell r="X43" t="str">
            <v>Retro</v>
          </cell>
          <cell r="Y43" t="str">
            <v>_PRE2013</v>
          </cell>
        </row>
        <row r="44">
          <cell r="B44" t="str">
            <v>Weatherization - School-Retro</v>
          </cell>
          <cell r="C44" t="str">
            <v>_PRE2013</v>
          </cell>
          <cell r="D44" t="str">
            <v>_PRE2013</v>
          </cell>
          <cell r="E44" t="str">
            <v>_PRE2013</v>
          </cell>
          <cell r="F44" t="str">
            <v>_PRE2013</v>
          </cell>
          <cell r="G44" t="str">
            <v>_PRE2013</v>
          </cell>
          <cell r="H44" t="str">
            <v>_PRE2013</v>
          </cell>
          <cell r="I44" t="str">
            <v>_PRE2013</v>
          </cell>
          <cell r="J44" t="str">
            <v>_PRE2013</v>
          </cell>
          <cell r="K44" t="str">
            <v>_PRE2013</v>
          </cell>
          <cell r="L44" t="str">
            <v>_PRE2013</v>
          </cell>
          <cell r="M44" t="str">
            <v>_PRE2013</v>
          </cell>
          <cell r="N44" t="str">
            <v>_PRE2013</v>
          </cell>
          <cell r="O44" t="str">
            <v>_PRE2013</v>
          </cell>
          <cell r="P44" t="str">
            <v>_PRE2013</v>
          </cell>
          <cell r="Q44" t="str">
            <v>_PRE2013</v>
          </cell>
          <cell r="R44" t="str">
            <v>_PRE2013</v>
          </cell>
          <cell r="S44" t="str">
            <v>_PRE2013</v>
          </cell>
          <cell r="T44" t="str">
            <v>_PRE2013</v>
          </cell>
          <cell r="W44" t="str">
            <v>_PRE2013</v>
          </cell>
          <cell r="X44" t="str">
            <v>Retro</v>
          </cell>
          <cell r="Y44" t="str">
            <v>_PRE2013</v>
          </cell>
        </row>
        <row r="45">
          <cell r="B45" t="str">
            <v>Energy Recovery Ventilator-NR</v>
          </cell>
          <cell r="C45" t="str">
            <v>POST2013</v>
          </cell>
          <cell r="D45" t="str">
            <v>POST2013</v>
          </cell>
          <cell r="E45" t="str">
            <v>POST2013</v>
          </cell>
          <cell r="F45" t="str">
            <v>POST2013</v>
          </cell>
          <cell r="G45" t="str">
            <v>POST2013</v>
          </cell>
          <cell r="H45" t="str">
            <v>POST2013</v>
          </cell>
          <cell r="I45" t="str">
            <v>POST2013</v>
          </cell>
          <cell r="J45" t="str">
            <v>POST2013</v>
          </cell>
          <cell r="K45" t="str">
            <v>POST2013</v>
          </cell>
          <cell r="L45" t="str">
            <v>POST2013</v>
          </cell>
          <cell r="M45" t="str">
            <v>POST2013</v>
          </cell>
          <cell r="N45" t="str">
            <v>POST2013</v>
          </cell>
          <cell r="O45" t="str">
            <v>POST2013</v>
          </cell>
          <cell r="P45" t="str">
            <v>POST2013</v>
          </cell>
          <cell r="Q45" t="str">
            <v>POST2013</v>
          </cell>
          <cell r="R45" t="str">
            <v>POST2013</v>
          </cell>
          <cell r="S45" t="str">
            <v>POST2013</v>
          </cell>
          <cell r="T45" t="str">
            <v>POST2013</v>
          </cell>
          <cell r="W45" t="str">
            <v>POST2013</v>
          </cell>
          <cell r="X45" t="str">
            <v>NR</v>
          </cell>
          <cell r="Y45" t="str">
            <v>POST2013</v>
          </cell>
        </row>
        <row r="46">
          <cell r="B46" t="str">
            <v>AC Heat Recovery for Water Heating-NR</v>
          </cell>
          <cell r="C46" t="str">
            <v>POST2013</v>
          </cell>
          <cell r="D46" t="str">
            <v>POST2013</v>
          </cell>
          <cell r="E46" t="str">
            <v>POST2013</v>
          </cell>
          <cell r="F46" t="str">
            <v>POST2013</v>
          </cell>
          <cell r="G46" t="str">
            <v>POST2013</v>
          </cell>
          <cell r="H46" t="str">
            <v>POST2013</v>
          </cell>
          <cell r="I46" t="str">
            <v>POST2013</v>
          </cell>
          <cell r="J46" t="str">
            <v>POST2013</v>
          </cell>
          <cell r="K46" t="str">
            <v>POST2013</v>
          </cell>
          <cell r="L46" t="str">
            <v>POST2013</v>
          </cell>
          <cell r="M46" t="str">
            <v>POST2013</v>
          </cell>
          <cell r="N46" t="str">
            <v>POST2013</v>
          </cell>
          <cell r="O46" t="str">
            <v>POST2013</v>
          </cell>
          <cell r="P46" t="str">
            <v>POST2013</v>
          </cell>
          <cell r="Q46" t="str">
            <v>POST2013</v>
          </cell>
          <cell r="R46" t="str">
            <v>POST2013</v>
          </cell>
          <cell r="S46" t="str">
            <v>POST2013</v>
          </cell>
          <cell r="T46" t="str">
            <v>POST2013</v>
          </cell>
          <cell r="W46" t="str">
            <v>POST2013</v>
          </cell>
          <cell r="X46" t="str">
            <v>NR</v>
          </cell>
          <cell r="Y46" t="str">
            <v>POST2013</v>
          </cell>
        </row>
        <row r="47">
          <cell r="B47" t="str">
            <v>Room Occupancy Sensors in Lodging-Retro</v>
          </cell>
          <cell r="C47" t="str">
            <v>_PRE2013</v>
          </cell>
          <cell r="D47" t="str">
            <v>_PRE2013</v>
          </cell>
          <cell r="E47" t="str">
            <v>_PRE2013</v>
          </cell>
          <cell r="F47" t="str">
            <v>_PRE2013</v>
          </cell>
          <cell r="G47" t="str">
            <v>_PRE2013</v>
          </cell>
          <cell r="H47" t="str">
            <v>_PRE2013</v>
          </cell>
          <cell r="I47" t="str">
            <v>_PRE2013</v>
          </cell>
          <cell r="J47" t="str">
            <v>_PRE2013</v>
          </cell>
          <cell r="K47" t="str">
            <v>_PRE2013</v>
          </cell>
          <cell r="L47" t="str">
            <v>_PRE2013</v>
          </cell>
          <cell r="M47" t="str">
            <v>_PRE2013</v>
          </cell>
          <cell r="N47" t="str">
            <v>_PRE2013</v>
          </cell>
          <cell r="O47" t="str">
            <v>_PRE2013</v>
          </cell>
          <cell r="P47" t="str">
            <v>_PRE2013</v>
          </cell>
          <cell r="Q47" t="str">
            <v>_PRE2013</v>
          </cell>
          <cell r="R47" t="str">
            <v>_PRE2013</v>
          </cell>
          <cell r="S47" t="str">
            <v>_PRE2013</v>
          </cell>
          <cell r="T47" t="str">
            <v>_PRE2013</v>
          </cell>
          <cell r="W47" t="str">
            <v>_PRE2013</v>
          </cell>
          <cell r="X47" t="str">
            <v>Retro</v>
          </cell>
          <cell r="Y47" t="str">
            <v>_PRE2013</v>
          </cell>
        </row>
        <row r="48">
          <cell r="B48" t="str">
            <v>Chiller - chilled water retrofit-Retro</v>
          </cell>
          <cell r="C48" t="str">
            <v>_PRE2013</v>
          </cell>
          <cell r="D48" t="str">
            <v>_PRE2013</v>
          </cell>
          <cell r="E48" t="str">
            <v>_PRE2013</v>
          </cell>
          <cell r="F48" t="str">
            <v>_PRE2013</v>
          </cell>
          <cell r="G48" t="str">
            <v>_PRE2013</v>
          </cell>
          <cell r="H48" t="str">
            <v>_PRE2013</v>
          </cell>
          <cell r="I48" t="str">
            <v>_PRE2013</v>
          </cell>
          <cell r="J48" t="str">
            <v>_PRE2013</v>
          </cell>
          <cell r="K48" t="str">
            <v>_PRE2013</v>
          </cell>
          <cell r="L48" t="str">
            <v>_PRE2013</v>
          </cell>
          <cell r="M48" t="str">
            <v>_PRE2013</v>
          </cell>
          <cell r="N48" t="str">
            <v>_PRE2013</v>
          </cell>
          <cell r="O48" t="str">
            <v>_PRE2013</v>
          </cell>
          <cell r="P48" t="str">
            <v>_PRE2013</v>
          </cell>
          <cell r="Q48" t="str">
            <v>_PRE2013</v>
          </cell>
          <cell r="R48" t="str">
            <v>_PRE2013</v>
          </cell>
          <cell r="S48" t="str">
            <v>_PRE2013</v>
          </cell>
          <cell r="T48" t="str">
            <v>_PRE2013</v>
          </cell>
          <cell r="W48" t="str">
            <v>_PRE2013</v>
          </cell>
          <cell r="X48" t="str">
            <v>Retro</v>
          </cell>
          <cell r="Y48" t="str">
            <v>_PRE2013</v>
          </cell>
        </row>
        <row r="49">
          <cell r="B49" t="str">
            <v>Chiller - equip retrofits-Retro</v>
          </cell>
          <cell r="C49" t="str">
            <v>_PRE2013</v>
          </cell>
          <cell r="D49" t="str">
            <v>_PRE2013</v>
          </cell>
          <cell r="E49" t="str">
            <v>_PRE2013</v>
          </cell>
          <cell r="F49" t="str">
            <v>_PRE2013</v>
          </cell>
          <cell r="G49" t="str">
            <v>_PRE2013</v>
          </cell>
          <cell r="H49" t="str">
            <v>_PRE2013</v>
          </cell>
          <cell r="I49" t="str">
            <v>_PRE2013</v>
          </cell>
          <cell r="J49" t="str">
            <v>_PRE2013</v>
          </cell>
          <cell r="K49" t="str">
            <v>_PRE2013</v>
          </cell>
          <cell r="L49" t="str">
            <v>_PRE2013</v>
          </cell>
          <cell r="M49" t="str">
            <v>_PRE2013</v>
          </cell>
          <cell r="N49" t="str">
            <v>_PRE2013</v>
          </cell>
          <cell r="O49" t="str">
            <v>_PRE2013</v>
          </cell>
          <cell r="P49" t="str">
            <v>_PRE2013</v>
          </cell>
          <cell r="Q49" t="str">
            <v>_PRE2013</v>
          </cell>
          <cell r="R49" t="str">
            <v>_PRE2013</v>
          </cell>
          <cell r="S49" t="str">
            <v>_PRE2013</v>
          </cell>
          <cell r="T49" t="str">
            <v>_PRE2013</v>
          </cell>
          <cell r="W49" t="str">
            <v>_PRE2013</v>
          </cell>
          <cell r="X49" t="str">
            <v>Retro</v>
          </cell>
          <cell r="Y49" t="str">
            <v>_PRE2013</v>
          </cell>
        </row>
        <row r="50">
          <cell r="B50" t="str">
            <v>Pool Blankets-Retro</v>
          </cell>
          <cell r="C50" t="str">
            <v>_PRE2013</v>
          </cell>
          <cell r="D50" t="str">
            <v>_PRE2013</v>
          </cell>
          <cell r="E50" t="str">
            <v>_PRE2013</v>
          </cell>
          <cell r="F50" t="str">
            <v>_PRE2013</v>
          </cell>
          <cell r="G50" t="str">
            <v>_PRE2013</v>
          </cell>
          <cell r="H50" t="str">
            <v>_PRE2013</v>
          </cell>
          <cell r="I50" t="str">
            <v>_PRE2013</v>
          </cell>
          <cell r="J50" t="str">
            <v>_PRE2013</v>
          </cell>
          <cell r="K50" t="str">
            <v>_PRE2013</v>
          </cell>
          <cell r="L50" t="str">
            <v>_PRE2013</v>
          </cell>
          <cell r="M50" t="str">
            <v>_PRE2013</v>
          </cell>
          <cell r="N50" t="str">
            <v>_PRE2013</v>
          </cell>
          <cell r="O50" t="str">
            <v>_PRE2013</v>
          </cell>
          <cell r="P50" t="str">
            <v>_PRE2013</v>
          </cell>
          <cell r="Q50" t="str">
            <v>_PRE2013</v>
          </cell>
          <cell r="R50" t="str">
            <v>_PRE2013</v>
          </cell>
          <cell r="S50" t="str">
            <v>_PRE2013</v>
          </cell>
          <cell r="T50" t="str">
            <v>_PRE2013</v>
          </cell>
          <cell r="W50" t="str">
            <v>_PRE2013</v>
          </cell>
          <cell r="X50" t="str">
            <v>Retro</v>
          </cell>
          <cell r="Y50" t="str">
            <v>_PRE2013</v>
          </cell>
        </row>
        <row r="51">
          <cell r="B51" t="str">
            <v>Web-Enabled Thermostats-Retro</v>
          </cell>
          <cell r="C51" t="str">
            <v>_PRE2013</v>
          </cell>
          <cell r="D51" t="str">
            <v>_PRE2013</v>
          </cell>
          <cell r="E51" t="str">
            <v>_PRE2013</v>
          </cell>
          <cell r="F51" t="str">
            <v>_PRE2013</v>
          </cell>
          <cell r="G51" t="str">
            <v>_PRE2013</v>
          </cell>
          <cell r="H51" t="str">
            <v>_PRE2013</v>
          </cell>
          <cell r="I51" t="str">
            <v>_PRE2013</v>
          </cell>
          <cell r="J51" t="str">
            <v>_PRE2013</v>
          </cell>
          <cell r="K51" t="str">
            <v>_PRE2013</v>
          </cell>
          <cell r="L51" t="str">
            <v>_PRE2013</v>
          </cell>
          <cell r="M51" t="str">
            <v>_PRE2013</v>
          </cell>
          <cell r="N51" t="str">
            <v>_PRE2013</v>
          </cell>
          <cell r="O51" t="str">
            <v>_PRE2013</v>
          </cell>
          <cell r="P51" t="str">
            <v>_PRE2013</v>
          </cell>
          <cell r="Q51" t="str">
            <v>_PRE2013</v>
          </cell>
          <cell r="R51" t="str">
            <v>_PRE2013</v>
          </cell>
          <cell r="S51" t="str">
            <v>_PRE2013</v>
          </cell>
          <cell r="T51" t="str">
            <v>_PRE2013</v>
          </cell>
          <cell r="W51" t="str">
            <v>_PRE2013</v>
          </cell>
          <cell r="X51" t="str">
            <v>Retro</v>
          </cell>
          <cell r="Y51" t="str">
            <v>_PRE2013</v>
          </cell>
        </row>
        <row r="52">
          <cell r="B52" t="str">
            <v>Garage CO2 ventilation-Retro</v>
          </cell>
          <cell r="C52" t="str">
            <v>_PRE2013</v>
          </cell>
          <cell r="D52" t="str">
            <v>_PRE2013</v>
          </cell>
          <cell r="E52" t="str">
            <v>_PRE2013</v>
          </cell>
          <cell r="F52" t="str">
            <v>_PRE2013</v>
          </cell>
          <cell r="G52" t="str">
            <v>_PRE2013</v>
          </cell>
          <cell r="H52" t="str">
            <v>_PRE2013</v>
          </cell>
          <cell r="I52" t="str">
            <v>_PRE2013</v>
          </cell>
          <cell r="J52" t="str">
            <v>_PRE2013</v>
          </cell>
          <cell r="K52" t="str">
            <v>_PRE2013</v>
          </cell>
          <cell r="L52" t="str">
            <v>_PRE2013</v>
          </cell>
          <cell r="M52" t="str">
            <v>_PRE2013</v>
          </cell>
          <cell r="N52" t="str">
            <v>_PRE2013</v>
          </cell>
          <cell r="O52" t="str">
            <v>_PRE2013</v>
          </cell>
          <cell r="P52" t="str">
            <v>_PRE2013</v>
          </cell>
          <cell r="Q52" t="str">
            <v>_PRE2013</v>
          </cell>
          <cell r="R52" t="str">
            <v>_PRE2013</v>
          </cell>
          <cell r="S52" t="str">
            <v>_PRE2013</v>
          </cell>
          <cell r="T52" t="str">
            <v>_PRE2013</v>
          </cell>
          <cell r="W52" t="str">
            <v>_PRE2013</v>
          </cell>
          <cell r="X52" t="str">
            <v>Retro</v>
          </cell>
          <cell r="Y52" t="str">
            <v>_PRE2013</v>
          </cell>
        </row>
        <row r="53">
          <cell r="B53" t="str">
            <v>Circ Pump ECM and drive-Retro</v>
          </cell>
          <cell r="C53" t="str">
            <v>_PRE2013</v>
          </cell>
          <cell r="D53" t="str">
            <v>_PRE2013</v>
          </cell>
          <cell r="E53" t="str">
            <v>_PRE2013</v>
          </cell>
          <cell r="F53" t="str">
            <v>_PRE2013</v>
          </cell>
          <cell r="G53" t="str">
            <v>_PRE2013</v>
          </cell>
          <cell r="H53" t="str">
            <v>_PRE2013</v>
          </cell>
          <cell r="I53" t="str">
            <v>_PRE2013</v>
          </cell>
          <cell r="J53" t="str">
            <v>_PRE2013</v>
          </cell>
          <cell r="K53" t="str">
            <v>_PRE2013</v>
          </cell>
          <cell r="L53" t="str">
            <v>_PRE2013</v>
          </cell>
          <cell r="M53" t="str">
            <v>_PRE2013</v>
          </cell>
          <cell r="N53" t="str">
            <v>_PRE2013</v>
          </cell>
          <cell r="O53" t="str">
            <v>_PRE2013</v>
          </cell>
          <cell r="P53" t="str">
            <v>_PRE2013</v>
          </cell>
          <cell r="Q53" t="str">
            <v>_PRE2013</v>
          </cell>
          <cell r="R53" t="str">
            <v>_PRE2013</v>
          </cell>
          <cell r="S53" t="str">
            <v>_PRE2013</v>
          </cell>
          <cell r="T53" t="str">
            <v>_PRE2013</v>
          </cell>
          <cell r="W53" t="str">
            <v>_PRE2013</v>
          </cell>
          <cell r="X53" t="str">
            <v>Retro</v>
          </cell>
          <cell r="Y53" t="str">
            <v>_PRE2013</v>
          </cell>
        </row>
        <row r="54">
          <cell r="B54" t="str">
            <v>VRF-New</v>
          </cell>
          <cell r="C54" t="str">
            <v>_PRE2013</v>
          </cell>
          <cell r="D54" t="str">
            <v>_PRE2013</v>
          </cell>
          <cell r="E54" t="str">
            <v>_PRE2013</v>
          </cell>
          <cell r="F54" t="str">
            <v>_PRE2013</v>
          </cell>
          <cell r="G54" t="str">
            <v>_PRE2013</v>
          </cell>
          <cell r="H54" t="str">
            <v>_PRE2013</v>
          </cell>
          <cell r="I54" t="str">
            <v>_PRE2013</v>
          </cell>
          <cell r="J54" t="str">
            <v>_PRE2013</v>
          </cell>
          <cell r="K54" t="str">
            <v>_PRE2013</v>
          </cell>
          <cell r="L54" t="str">
            <v>_PRE2013</v>
          </cell>
          <cell r="M54" t="str">
            <v>_PRE2013</v>
          </cell>
          <cell r="N54" t="str">
            <v>_PRE2013</v>
          </cell>
          <cell r="O54" t="str">
            <v>_PRE2013</v>
          </cell>
          <cell r="P54" t="str">
            <v>_PRE2013</v>
          </cell>
          <cell r="Q54" t="str">
            <v>_PRE2013</v>
          </cell>
          <cell r="R54" t="str">
            <v>_PRE2013</v>
          </cell>
          <cell r="S54" t="str">
            <v>_PRE2013</v>
          </cell>
          <cell r="T54" t="str">
            <v>_PRE2013</v>
          </cell>
          <cell r="W54" t="str">
            <v>_PRE2013</v>
          </cell>
          <cell r="X54" t="str">
            <v>New</v>
          </cell>
          <cell r="Y54" t="str">
            <v>POST2013</v>
          </cell>
        </row>
        <row r="55">
          <cell r="B55" t="str">
            <v>Cool Roofs-Retro</v>
          </cell>
          <cell r="C55" t="str">
            <v>_PRE2013</v>
          </cell>
          <cell r="D55" t="str">
            <v>_PRE2013</v>
          </cell>
          <cell r="E55" t="str">
            <v>_PRE2013</v>
          </cell>
          <cell r="F55" t="str">
            <v>_PRE2013</v>
          </cell>
          <cell r="G55" t="str">
            <v>_PRE2013</v>
          </cell>
          <cell r="H55" t="str">
            <v>_PRE2013</v>
          </cell>
          <cell r="I55" t="str">
            <v>_PRE2013</v>
          </cell>
          <cell r="J55" t="str">
            <v>_PRE2013</v>
          </cell>
          <cell r="K55" t="str">
            <v>_PRE2013</v>
          </cell>
          <cell r="L55" t="str">
            <v>_PRE2013</v>
          </cell>
          <cell r="M55" t="str">
            <v>_PRE2013</v>
          </cell>
          <cell r="N55" t="str">
            <v>_PRE2013</v>
          </cell>
          <cell r="O55" t="str">
            <v>_PRE2013</v>
          </cell>
          <cell r="P55" t="str">
            <v>_PRE2013</v>
          </cell>
          <cell r="Q55" t="str">
            <v>_PRE2013</v>
          </cell>
          <cell r="R55" t="str">
            <v>_PRE2013</v>
          </cell>
          <cell r="S55" t="str">
            <v>_PRE2013</v>
          </cell>
          <cell r="T55" t="str">
            <v>_PRE2013</v>
          </cell>
          <cell r="W55" t="str">
            <v>_PRE2013</v>
          </cell>
          <cell r="X55" t="str">
            <v>Retro</v>
          </cell>
          <cell r="Y55" t="str">
            <v>_PRE2013</v>
          </cell>
        </row>
        <row r="56">
          <cell r="B56" t="str">
            <v>Evaporator Roof Top HVAC-Retro</v>
          </cell>
          <cell r="C56" t="str">
            <v>_PRE2013</v>
          </cell>
          <cell r="D56" t="str">
            <v>_PRE2013</v>
          </cell>
          <cell r="E56" t="str">
            <v>_PRE2013</v>
          </cell>
          <cell r="F56" t="str">
            <v>_PRE2013</v>
          </cell>
          <cell r="G56" t="str">
            <v>_PRE2013</v>
          </cell>
          <cell r="H56" t="str">
            <v>_PRE2013</v>
          </cell>
          <cell r="I56" t="str">
            <v>_PRE2013</v>
          </cell>
          <cell r="J56" t="str">
            <v>_PRE2013</v>
          </cell>
          <cell r="K56" t="str">
            <v>_PRE2013</v>
          </cell>
          <cell r="L56" t="str">
            <v>_PRE2013</v>
          </cell>
          <cell r="M56" t="str">
            <v>_PRE2013</v>
          </cell>
          <cell r="N56" t="str">
            <v>_PRE2013</v>
          </cell>
          <cell r="O56" t="str">
            <v>_PRE2013</v>
          </cell>
          <cell r="P56" t="str">
            <v>_PRE2013</v>
          </cell>
          <cell r="Q56" t="str">
            <v>_PRE2013</v>
          </cell>
          <cell r="R56" t="str">
            <v>_PRE2013</v>
          </cell>
          <cell r="S56" t="str">
            <v>_PRE2013</v>
          </cell>
          <cell r="T56" t="str">
            <v>_PRE2013</v>
          </cell>
          <cell r="W56" t="str">
            <v>_PRE2013</v>
          </cell>
          <cell r="X56" t="str">
            <v>Retro</v>
          </cell>
          <cell r="Y56" t="str">
            <v>_PRE2013</v>
          </cell>
        </row>
        <row r="57">
          <cell r="B57" t="str">
            <v>Secondary Glazing Systems-Retro</v>
          </cell>
          <cell r="C57" t="str">
            <v>_PRE2013</v>
          </cell>
          <cell r="D57" t="str">
            <v>_PRE2013</v>
          </cell>
          <cell r="E57" t="str">
            <v>_PRE2013</v>
          </cell>
          <cell r="F57" t="str">
            <v>_PRE2013</v>
          </cell>
          <cell r="G57" t="str">
            <v>_PRE2013</v>
          </cell>
          <cell r="H57" t="str">
            <v>_PRE2013</v>
          </cell>
          <cell r="I57" t="str">
            <v>_PRE2013</v>
          </cell>
          <cell r="J57" t="str">
            <v>_PRE2013</v>
          </cell>
          <cell r="K57" t="str">
            <v>_PRE2013</v>
          </cell>
          <cell r="L57" t="str">
            <v>_PRE2013</v>
          </cell>
          <cell r="M57" t="str">
            <v>_PRE2013</v>
          </cell>
          <cell r="N57" t="str">
            <v>_PRE2013</v>
          </cell>
          <cell r="O57" t="str">
            <v>_PRE2013</v>
          </cell>
          <cell r="P57" t="str">
            <v>_PRE2013</v>
          </cell>
          <cell r="Q57" t="str">
            <v>_PRE2013</v>
          </cell>
          <cell r="R57" t="str">
            <v>_PRE2013</v>
          </cell>
          <cell r="S57" t="str">
            <v>_PRE2013</v>
          </cell>
          <cell r="T57" t="str">
            <v>_PRE2013</v>
          </cell>
          <cell r="W57" t="str">
            <v>_PRE2013</v>
          </cell>
          <cell r="X57" t="str">
            <v>Retro</v>
          </cell>
          <cell r="Y57" t="str">
            <v>_PRE2013</v>
          </cell>
        </row>
        <row r="58">
          <cell r="B58" t="str">
            <v>LPD Package-New</v>
          </cell>
          <cell r="C58" t="str">
            <v>POST2013</v>
          </cell>
          <cell r="D58" t="str">
            <v>POST2013</v>
          </cell>
          <cell r="E58" t="str">
            <v>POST2013</v>
          </cell>
          <cell r="F58" t="str">
            <v>POST2013</v>
          </cell>
          <cell r="G58" t="str">
            <v>POST2013</v>
          </cell>
          <cell r="H58" t="str">
            <v>POST2013</v>
          </cell>
          <cell r="I58" t="str">
            <v>POST2013</v>
          </cell>
          <cell r="J58" t="str">
            <v>POST2013</v>
          </cell>
          <cell r="K58" t="str">
            <v>POST2013</v>
          </cell>
          <cell r="L58" t="str">
            <v>POST2013</v>
          </cell>
          <cell r="M58" t="str">
            <v>POST2013</v>
          </cell>
          <cell r="N58" t="str">
            <v>POST2013</v>
          </cell>
          <cell r="O58" t="str">
            <v>POST2013</v>
          </cell>
          <cell r="P58" t="str">
            <v>POST2013</v>
          </cell>
          <cell r="Q58" t="str">
            <v>POST2013</v>
          </cell>
          <cell r="R58" t="str">
            <v>POST2013</v>
          </cell>
          <cell r="S58" t="str">
            <v>POST2013</v>
          </cell>
          <cell r="T58" t="str">
            <v>POST2013</v>
          </cell>
          <cell r="W58" t="str">
            <v>POST2013</v>
          </cell>
          <cell r="X58" t="str">
            <v>New</v>
          </cell>
          <cell r="Y58" t="str">
            <v>POST2013</v>
          </cell>
        </row>
        <row r="59">
          <cell r="B59" t="str">
            <v>LPD Package-NR</v>
          </cell>
          <cell r="C59" t="str">
            <v>POST2013</v>
          </cell>
          <cell r="D59" t="str">
            <v>POST2013</v>
          </cell>
          <cell r="E59" t="str">
            <v>POST2013</v>
          </cell>
          <cell r="F59" t="str">
            <v>POST2013</v>
          </cell>
          <cell r="G59" t="str">
            <v>POST2013</v>
          </cell>
          <cell r="H59" t="str">
            <v>POST2013</v>
          </cell>
          <cell r="I59" t="str">
            <v>POST2013</v>
          </cell>
          <cell r="J59" t="str">
            <v>POST2013</v>
          </cell>
          <cell r="K59" t="str">
            <v>POST2013</v>
          </cell>
          <cell r="L59" t="str">
            <v>POST2013</v>
          </cell>
          <cell r="M59" t="str">
            <v>POST2013</v>
          </cell>
          <cell r="N59" t="str">
            <v>POST2013</v>
          </cell>
          <cell r="O59" t="str">
            <v>POST2013</v>
          </cell>
          <cell r="P59" t="str">
            <v>POST2013</v>
          </cell>
          <cell r="Q59" t="str">
            <v>POST2013</v>
          </cell>
          <cell r="R59" t="str">
            <v>POST2013</v>
          </cell>
          <cell r="S59" t="str">
            <v>POST2013</v>
          </cell>
          <cell r="T59" t="str">
            <v>POST2013</v>
          </cell>
          <cell r="W59" t="str">
            <v>POST2013</v>
          </cell>
          <cell r="X59" t="str">
            <v>NR</v>
          </cell>
          <cell r="Y59" t="str">
            <v>POST2013</v>
          </cell>
        </row>
        <row r="60">
          <cell r="B60" t="str">
            <v>LPD Package-Retro</v>
          </cell>
          <cell r="C60" t="str">
            <v>_PRE2013</v>
          </cell>
          <cell r="D60" t="str">
            <v>_PRE2013</v>
          </cell>
          <cell r="E60" t="str">
            <v>_PRE2013</v>
          </cell>
          <cell r="F60" t="str">
            <v>_PRE2013</v>
          </cell>
          <cell r="G60" t="str">
            <v>_PRE2013</v>
          </cell>
          <cell r="H60" t="str">
            <v>_PRE2013</v>
          </cell>
          <cell r="I60" t="str">
            <v>_PRE2013</v>
          </cell>
          <cell r="J60" t="str">
            <v>_PRE2013</v>
          </cell>
          <cell r="K60" t="str">
            <v>_PRE2013</v>
          </cell>
          <cell r="L60" t="str">
            <v>_PRE2013</v>
          </cell>
          <cell r="M60" t="str">
            <v>_PRE2013</v>
          </cell>
          <cell r="N60" t="str">
            <v>_PRE2013</v>
          </cell>
          <cell r="O60" t="str">
            <v>_PRE2013</v>
          </cell>
          <cell r="P60" t="str">
            <v>_PRE2013</v>
          </cell>
          <cell r="Q60" t="str">
            <v>_PRE2013</v>
          </cell>
          <cell r="R60" t="str">
            <v>_PRE2013</v>
          </cell>
          <cell r="S60" t="str">
            <v>_PRE2013</v>
          </cell>
          <cell r="T60" t="str">
            <v>_PRE2013</v>
          </cell>
          <cell r="W60" t="str">
            <v>_PRE2013</v>
          </cell>
          <cell r="X60" t="str">
            <v>Retro</v>
          </cell>
          <cell r="Y60" t="str">
            <v>_PRE2013</v>
          </cell>
        </row>
        <row r="61">
          <cell r="B61" t="str">
            <v>Top Daylighting-New</v>
          </cell>
          <cell r="C61" t="str">
            <v>POST2013</v>
          </cell>
          <cell r="D61" t="str">
            <v>POST2013</v>
          </cell>
          <cell r="E61" t="str">
            <v>POST2013</v>
          </cell>
          <cell r="F61" t="str">
            <v>POST2013</v>
          </cell>
          <cell r="G61" t="str">
            <v>POST2013</v>
          </cell>
          <cell r="H61" t="str">
            <v>POST2013</v>
          </cell>
          <cell r="I61" t="str">
            <v>POST2013</v>
          </cell>
          <cell r="J61" t="str">
            <v>POST2013</v>
          </cell>
          <cell r="K61" t="str">
            <v>POST2013</v>
          </cell>
          <cell r="L61" t="str">
            <v>POST2013</v>
          </cell>
          <cell r="M61" t="str">
            <v>POST2013</v>
          </cell>
          <cell r="N61" t="str">
            <v>POST2013</v>
          </cell>
          <cell r="O61" t="str">
            <v>POST2013</v>
          </cell>
          <cell r="P61" t="str">
            <v>POST2013</v>
          </cell>
          <cell r="Q61" t="str">
            <v>POST2013</v>
          </cell>
          <cell r="R61" t="str">
            <v>POST2013</v>
          </cell>
          <cell r="S61" t="str">
            <v>POST2013</v>
          </cell>
          <cell r="T61" t="str">
            <v>POST2013</v>
          </cell>
          <cell r="W61" t="str">
            <v>POST2013</v>
          </cell>
          <cell r="X61" t="str">
            <v>New</v>
          </cell>
          <cell r="Y61" t="str">
            <v>POST2013</v>
          </cell>
        </row>
        <row r="62">
          <cell r="B62" t="str">
            <v>Perimeter Daylighting Controls Advanced-New</v>
          </cell>
          <cell r="C62" t="str">
            <v>POST2013</v>
          </cell>
          <cell r="D62" t="str">
            <v>POST2013</v>
          </cell>
          <cell r="E62" t="str">
            <v>POST2013</v>
          </cell>
          <cell r="F62" t="str">
            <v>POST2013</v>
          </cell>
          <cell r="G62" t="str">
            <v>POST2013</v>
          </cell>
          <cell r="H62" t="str">
            <v>POST2013</v>
          </cell>
          <cell r="I62" t="str">
            <v>POST2013</v>
          </cell>
          <cell r="J62" t="str">
            <v>POST2013</v>
          </cell>
          <cell r="K62" t="str">
            <v>POST2013</v>
          </cell>
          <cell r="L62" t="str">
            <v>POST2013</v>
          </cell>
          <cell r="M62" t="str">
            <v>POST2013</v>
          </cell>
          <cell r="N62" t="str">
            <v>POST2013</v>
          </cell>
          <cell r="O62" t="str">
            <v>POST2013</v>
          </cell>
          <cell r="P62" t="str">
            <v>POST2013</v>
          </cell>
          <cell r="Q62" t="str">
            <v>POST2013</v>
          </cell>
          <cell r="R62" t="str">
            <v>POST2013</v>
          </cell>
          <cell r="S62" t="str">
            <v>POST2013</v>
          </cell>
          <cell r="T62" t="str">
            <v>POST2013</v>
          </cell>
          <cell r="W62" t="str">
            <v>POST2013</v>
          </cell>
          <cell r="X62" t="str">
            <v>New</v>
          </cell>
          <cell r="Y62" t="str">
            <v>POST2013</v>
          </cell>
        </row>
        <row r="63">
          <cell r="B63" t="str">
            <v>Perimeter Daylighting Controls Advanced-NR</v>
          </cell>
          <cell r="C63" t="str">
            <v>POST2013</v>
          </cell>
          <cell r="D63" t="str">
            <v>POST2013</v>
          </cell>
          <cell r="E63" t="str">
            <v>POST2013</v>
          </cell>
          <cell r="F63" t="str">
            <v>POST2013</v>
          </cell>
          <cell r="G63" t="str">
            <v>POST2013</v>
          </cell>
          <cell r="H63" t="str">
            <v>POST2013</v>
          </cell>
          <cell r="I63" t="str">
            <v>POST2013</v>
          </cell>
          <cell r="J63" t="str">
            <v>POST2013</v>
          </cell>
          <cell r="K63" t="str">
            <v>POST2013</v>
          </cell>
          <cell r="L63" t="str">
            <v>POST2013</v>
          </cell>
          <cell r="M63" t="str">
            <v>POST2013</v>
          </cell>
          <cell r="N63" t="str">
            <v>POST2013</v>
          </cell>
          <cell r="O63" t="str">
            <v>POST2013</v>
          </cell>
          <cell r="P63" t="str">
            <v>POST2013</v>
          </cell>
          <cell r="Q63" t="str">
            <v>POST2013</v>
          </cell>
          <cell r="R63" t="str">
            <v>POST2013</v>
          </cell>
          <cell r="S63" t="str">
            <v>POST2013</v>
          </cell>
          <cell r="T63" t="str">
            <v>POST2013</v>
          </cell>
          <cell r="W63" t="str">
            <v>POST2013</v>
          </cell>
          <cell r="X63" t="str">
            <v>NR</v>
          </cell>
          <cell r="Y63" t="str">
            <v>POST2013</v>
          </cell>
        </row>
        <row r="64">
          <cell r="B64" t="str">
            <v>Lighting Controls Interior-New</v>
          </cell>
          <cell r="C64" t="str">
            <v>POST2013</v>
          </cell>
          <cell r="D64" t="str">
            <v>POST2013</v>
          </cell>
          <cell r="E64" t="str">
            <v>POST2013</v>
          </cell>
          <cell r="F64" t="str">
            <v>POST2013</v>
          </cell>
          <cell r="G64" t="str">
            <v>POST2013</v>
          </cell>
          <cell r="H64" t="str">
            <v>POST2013</v>
          </cell>
          <cell r="I64" t="str">
            <v>POST2013</v>
          </cell>
          <cell r="J64" t="str">
            <v>POST2013</v>
          </cell>
          <cell r="K64" t="str">
            <v>POST2013</v>
          </cell>
          <cell r="L64" t="str">
            <v>POST2013</v>
          </cell>
          <cell r="M64" t="str">
            <v>POST2013</v>
          </cell>
          <cell r="N64" t="str">
            <v>POST2013</v>
          </cell>
          <cell r="O64" t="str">
            <v>POST2013</v>
          </cell>
          <cell r="P64" t="str">
            <v>POST2013</v>
          </cell>
          <cell r="Q64" t="str">
            <v>POST2013</v>
          </cell>
          <cell r="R64" t="str">
            <v>POST2013</v>
          </cell>
          <cell r="S64" t="str">
            <v>POST2013</v>
          </cell>
          <cell r="T64" t="str">
            <v>POST2013</v>
          </cell>
          <cell r="W64" t="str">
            <v>POST2013</v>
          </cell>
          <cell r="X64" t="str">
            <v>New</v>
          </cell>
          <cell r="Y64" t="str">
            <v>POST2013</v>
          </cell>
        </row>
        <row r="65">
          <cell r="B65" t="str">
            <v>Lighting Controls Interior-NR</v>
          </cell>
          <cell r="C65" t="str">
            <v>POST2013</v>
          </cell>
          <cell r="D65" t="str">
            <v>POST2013</v>
          </cell>
          <cell r="E65" t="str">
            <v>POST2013</v>
          </cell>
          <cell r="F65" t="str">
            <v>POST2013</v>
          </cell>
          <cell r="G65" t="str">
            <v>POST2013</v>
          </cell>
          <cell r="H65" t="str">
            <v>POST2013</v>
          </cell>
          <cell r="I65" t="str">
            <v>POST2013</v>
          </cell>
          <cell r="J65" t="str">
            <v>POST2013</v>
          </cell>
          <cell r="K65" t="str">
            <v>POST2013</v>
          </cell>
          <cell r="L65" t="str">
            <v>POST2013</v>
          </cell>
          <cell r="M65" t="str">
            <v>POST2013</v>
          </cell>
          <cell r="N65" t="str">
            <v>POST2013</v>
          </cell>
          <cell r="O65" t="str">
            <v>POST2013</v>
          </cell>
          <cell r="P65" t="str">
            <v>POST2013</v>
          </cell>
          <cell r="Q65" t="str">
            <v>POST2013</v>
          </cell>
          <cell r="R65" t="str">
            <v>POST2013</v>
          </cell>
          <cell r="S65" t="str">
            <v>POST2013</v>
          </cell>
          <cell r="T65" t="str">
            <v>POST2013</v>
          </cell>
          <cell r="W65" t="str">
            <v>POST2013</v>
          </cell>
          <cell r="X65" t="str">
            <v>NR</v>
          </cell>
          <cell r="Y65" t="str">
            <v>POST2013</v>
          </cell>
        </row>
        <row r="66">
          <cell r="B66" t="str">
            <v>Exterior Building Lighting-New</v>
          </cell>
          <cell r="C66" t="str">
            <v>POST2013</v>
          </cell>
          <cell r="D66" t="str">
            <v>POST2013</v>
          </cell>
          <cell r="E66" t="str">
            <v>POST2013</v>
          </cell>
          <cell r="F66" t="str">
            <v>POST2013</v>
          </cell>
          <cell r="G66" t="str">
            <v>POST2013</v>
          </cell>
          <cell r="H66" t="str">
            <v>POST2013</v>
          </cell>
          <cell r="I66" t="str">
            <v>POST2013</v>
          </cell>
          <cell r="J66" t="str">
            <v>POST2013</v>
          </cell>
          <cell r="K66" t="str">
            <v>POST2013</v>
          </cell>
          <cell r="L66" t="str">
            <v>POST2013</v>
          </cell>
          <cell r="M66" t="str">
            <v>POST2013</v>
          </cell>
          <cell r="N66" t="str">
            <v>POST2013</v>
          </cell>
          <cell r="O66" t="str">
            <v>POST2013</v>
          </cell>
          <cell r="P66" t="str">
            <v>POST2013</v>
          </cell>
          <cell r="Q66" t="str">
            <v>POST2013</v>
          </cell>
          <cell r="R66" t="str">
            <v>POST2013</v>
          </cell>
          <cell r="S66" t="str">
            <v>POST2013</v>
          </cell>
          <cell r="T66" t="str">
            <v>POST2013</v>
          </cell>
          <cell r="W66" t="str">
            <v>POST2013</v>
          </cell>
          <cell r="X66" t="str">
            <v>New</v>
          </cell>
          <cell r="Y66" t="str">
            <v>POST2013</v>
          </cell>
        </row>
        <row r="67">
          <cell r="B67" t="str">
            <v>Exterior Building Lighting-NR</v>
          </cell>
          <cell r="C67" t="str">
            <v>POST2013</v>
          </cell>
          <cell r="D67" t="str">
            <v>POST2013</v>
          </cell>
          <cell r="E67" t="str">
            <v>POST2013</v>
          </cell>
          <cell r="F67" t="str">
            <v>POST2013</v>
          </cell>
          <cell r="G67" t="str">
            <v>POST2013</v>
          </cell>
          <cell r="H67" t="str">
            <v>POST2013</v>
          </cell>
          <cell r="I67" t="str">
            <v>POST2013</v>
          </cell>
          <cell r="J67" t="str">
            <v>POST2013</v>
          </cell>
          <cell r="K67" t="str">
            <v>POST2013</v>
          </cell>
          <cell r="L67" t="str">
            <v>POST2013</v>
          </cell>
          <cell r="M67" t="str">
            <v>POST2013</v>
          </cell>
          <cell r="N67" t="str">
            <v>POST2013</v>
          </cell>
          <cell r="O67" t="str">
            <v>POST2013</v>
          </cell>
          <cell r="P67" t="str">
            <v>POST2013</v>
          </cell>
          <cell r="Q67" t="str">
            <v>POST2013</v>
          </cell>
          <cell r="R67" t="str">
            <v>POST2013</v>
          </cell>
          <cell r="S67" t="str">
            <v>POST2013</v>
          </cell>
          <cell r="T67" t="str">
            <v>POST2013</v>
          </cell>
          <cell r="W67" t="str">
            <v>POST2013</v>
          </cell>
          <cell r="X67" t="str">
            <v>NR</v>
          </cell>
          <cell r="Y67" t="str">
            <v>POST2013</v>
          </cell>
        </row>
        <row r="68">
          <cell r="B68" t="str">
            <v>Street and Roadway Lighting-New</v>
          </cell>
          <cell r="C68" t="str">
            <v>POST2013</v>
          </cell>
          <cell r="D68" t="str">
            <v>POST2013</v>
          </cell>
          <cell r="E68" t="str">
            <v>POST2013</v>
          </cell>
          <cell r="F68" t="str">
            <v>POST2013</v>
          </cell>
          <cell r="G68" t="str">
            <v>POST2013</v>
          </cell>
          <cell r="H68" t="str">
            <v>POST2013</v>
          </cell>
          <cell r="I68" t="str">
            <v>POST2013</v>
          </cell>
          <cell r="J68" t="str">
            <v>POST2013</v>
          </cell>
          <cell r="K68" t="str">
            <v>POST2013</v>
          </cell>
          <cell r="L68" t="str">
            <v>POST2013</v>
          </cell>
          <cell r="M68" t="str">
            <v>POST2013</v>
          </cell>
          <cell r="N68" t="str">
            <v>POST2013</v>
          </cell>
          <cell r="O68" t="str">
            <v>POST2013</v>
          </cell>
          <cell r="P68" t="str">
            <v>POST2013</v>
          </cell>
          <cell r="Q68" t="str">
            <v>POST2013</v>
          </cell>
          <cell r="R68" t="str">
            <v>POST2013</v>
          </cell>
          <cell r="S68" t="str">
            <v>POST2013</v>
          </cell>
          <cell r="T68" t="str">
            <v>POST2013</v>
          </cell>
          <cell r="W68" t="str">
            <v>POST2013</v>
          </cell>
          <cell r="X68" t="str">
            <v>New</v>
          </cell>
          <cell r="Y68" t="str">
            <v>POST2013</v>
          </cell>
        </row>
        <row r="69">
          <cell r="B69" t="str">
            <v>Street and Roadway Lighting-NR</v>
          </cell>
          <cell r="C69" t="str">
            <v>POST2013</v>
          </cell>
          <cell r="D69" t="str">
            <v>POST2013</v>
          </cell>
          <cell r="E69" t="str">
            <v>POST2013</v>
          </cell>
          <cell r="F69" t="str">
            <v>POST2013</v>
          </cell>
          <cell r="G69" t="str">
            <v>POST2013</v>
          </cell>
          <cell r="H69" t="str">
            <v>POST2013</v>
          </cell>
          <cell r="I69" t="str">
            <v>POST2013</v>
          </cell>
          <cell r="J69" t="str">
            <v>POST2013</v>
          </cell>
          <cell r="K69" t="str">
            <v>POST2013</v>
          </cell>
          <cell r="L69" t="str">
            <v>POST2013</v>
          </cell>
          <cell r="M69" t="str">
            <v>POST2013</v>
          </cell>
          <cell r="N69" t="str">
            <v>POST2013</v>
          </cell>
          <cell r="O69" t="str">
            <v>POST2013</v>
          </cell>
          <cell r="P69" t="str">
            <v>POST2013</v>
          </cell>
          <cell r="Q69" t="str">
            <v>POST2013</v>
          </cell>
          <cell r="R69" t="str">
            <v>POST2013</v>
          </cell>
          <cell r="S69" t="str">
            <v>POST2013</v>
          </cell>
          <cell r="T69" t="str">
            <v>POST2013</v>
          </cell>
          <cell r="W69" t="str">
            <v>POST2013</v>
          </cell>
          <cell r="X69" t="str">
            <v>NR</v>
          </cell>
          <cell r="Y69" t="str">
            <v>POST2013</v>
          </cell>
        </row>
        <row r="70">
          <cell r="B70" t="str">
            <v>Parking Lighting-New</v>
          </cell>
          <cell r="C70" t="str">
            <v>POST2013</v>
          </cell>
          <cell r="D70" t="str">
            <v>POST2013</v>
          </cell>
          <cell r="E70" t="str">
            <v>POST2013</v>
          </cell>
          <cell r="F70" t="str">
            <v>POST2013</v>
          </cell>
          <cell r="G70" t="str">
            <v>POST2013</v>
          </cell>
          <cell r="H70" t="str">
            <v>POST2013</v>
          </cell>
          <cell r="I70" t="str">
            <v>POST2013</v>
          </cell>
          <cell r="J70" t="str">
            <v>POST2013</v>
          </cell>
          <cell r="K70" t="str">
            <v>POST2013</v>
          </cell>
          <cell r="L70" t="str">
            <v>POST2013</v>
          </cell>
          <cell r="M70" t="str">
            <v>POST2013</v>
          </cell>
          <cell r="N70" t="str">
            <v>POST2013</v>
          </cell>
          <cell r="O70" t="str">
            <v>POST2013</v>
          </cell>
          <cell r="P70" t="str">
            <v>POST2013</v>
          </cell>
          <cell r="Q70" t="str">
            <v>POST2013</v>
          </cell>
          <cell r="R70" t="str">
            <v>POST2013</v>
          </cell>
          <cell r="S70" t="str">
            <v>POST2013</v>
          </cell>
          <cell r="T70" t="str">
            <v>POST2013</v>
          </cell>
          <cell r="W70" t="str">
            <v>POST2013</v>
          </cell>
          <cell r="X70" t="str">
            <v>New</v>
          </cell>
          <cell r="Y70" t="str">
            <v>POST2013</v>
          </cell>
        </row>
        <row r="71">
          <cell r="B71" t="str">
            <v>Parking Lighting-NR</v>
          </cell>
          <cell r="C71" t="str">
            <v>POST2013</v>
          </cell>
          <cell r="D71" t="str">
            <v>POST2013</v>
          </cell>
          <cell r="E71" t="str">
            <v>POST2013</v>
          </cell>
          <cell r="F71" t="str">
            <v>POST2013</v>
          </cell>
          <cell r="G71" t="str">
            <v>POST2013</v>
          </cell>
          <cell r="H71" t="str">
            <v>POST2013</v>
          </cell>
          <cell r="I71" t="str">
            <v>POST2013</v>
          </cell>
          <cell r="J71" t="str">
            <v>POST2013</v>
          </cell>
          <cell r="K71" t="str">
            <v>POST2013</v>
          </cell>
          <cell r="L71" t="str">
            <v>POST2013</v>
          </cell>
          <cell r="M71" t="str">
            <v>POST2013</v>
          </cell>
          <cell r="N71" t="str">
            <v>POST2013</v>
          </cell>
          <cell r="O71" t="str">
            <v>POST2013</v>
          </cell>
          <cell r="P71" t="str">
            <v>POST2013</v>
          </cell>
          <cell r="Q71" t="str">
            <v>POST2013</v>
          </cell>
          <cell r="R71" t="str">
            <v>POST2013</v>
          </cell>
          <cell r="S71" t="str">
            <v>POST2013</v>
          </cell>
          <cell r="T71" t="str">
            <v>POST2013</v>
          </cell>
          <cell r="W71" t="str">
            <v>POST2013</v>
          </cell>
          <cell r="X71" t="str">
            <v>NR</v>
          </cell>
          <cell r="Y71" t="str">
            <v>POST2013</v>
          </cell>
        </row>
        <row r="72">
          <cell r="B72" t="str">
            <v>Luminaire Level Lighting Controls-Retro</v>
          </cell>
          <cell r="C72" t="str">
            <v>_PRE2013</v>
          </cell>
          <cell r="D72" t="str">
            <v>_PRE2013</v>
          </cell>
          <cell r="E72" t="str">
            <v>_PRE2013</v>
          </cell>
          <cell r="F72" t="str">
            <v>_PRE2013</v>
          </cell>
          <cell r="G72" t="str">
            <v>_PRE2013</v>
          </cell>
          <cell r="H72" t="str">
            <v>_PRE2013</v>
          </cell>
          <cell r="I72" t="str">
            <v>_PRE2013</v>
          </cell>
          <cell r="J72" t="str">
            <v>_PRE2013</v>
          </cell>
          <cell r="K72" t="str">
            <v>_PRE2013</v>
          </cell>
          <cell r="L72" t="str">
            <v>_PRE2013</v>
          </cell>
          <cell r="M72" t="str">
            <v>_PRE2013</v>
          </cell>
          <cell r="N72" t="str">
            <v>_PRE2013</v>
          </cell>
          <cell r="O72" t="str">
            <v>_PRE2013</v>
          </cell>
          <cell r="P72" t="str">
            <v>_PRE2013</v>
          </cell>
          <cell r="Q72" t="str">
            <v>_PRE2013</v>
          </cell>
          <cell r="R72" t="str">
            <v>_PRE2013</v>
          </cell>
          <cell r="S72" t="str">
            <v>_PRE2013</v>
          </cell>
          <cell r="T72" t="str">
            <v>_PRE2013</v>
          </cell>
          <cell r="W72" t="str">
            <v>_PRE2013</v>
          </cell>
          <cell r="X72" t="str">
            <v>Retro</v>
          </cell>
          <cell r="Y72" t="str">
            <v>_PRE2013</v>
          </cell>
        </row>
        <row r="73">
          <cell r="B73" t="str">
            <v>ECM on VAV Boxes-New</v>
          </cell>
          <cell r="C73" t="str">
            <v>POST2013</v>
          </cell>
          <cell r="D73" t="str">
            <v>POST2013</v>
          </cell>
          <cell r="E73" t="str">
            <v>POST2013</v>
          </cell>
          <cell r="F73" t="str">
            <v>POST2013</v>
          </cell>
          <cell r="G73" t="str">
            <v>POST2013</v>
          </cell>
          <cell r="H73" t="str">
            <v>POST2013</v>
          </cell>
          <cell r="I73" t="str">
            <v>POST2013</v>
          </cell>
          <cell r="J73" t="str">
            <v>POST2013</v>
          </cell>
          <cell r="K73" t="str">
            <v>POST2013</v>
          </cell>
          <cell r="L73" t="str">
            <v>POST2013</v>
          </cell>
          <cell r="M73" t="str">
            <v>POST2013</v>
          </cell>
          <cell r="N73" t="str">
            <v>POST2013</v>
          </cell>
          <cell r="O73" t="str">
            <v>POST2013</v>
          </cell>
          <cell r="P73" t="str">
            <v>POST2013</v>
          </cell>
          <cell r="Q73" t="str">
            <v>POST2013</v>
          </cell>
          <cell r="R73" t="str">
            <v>POST2013</v>
          </cell>
          <cell r="S73" t="str">
            <v>POST2013</v>
          </cell>
          <cell r="T73" t="str">
            <v>POST2013</v>
          </cell>
          <cell r="W73" t="str">
            <v>POST2013</v>
          </cell>
          <cell r="X73" t="str">
            <v>New</v>
          </cell>
          <cell r="Y73" t="str">
            <v>POST2013</v>
          </cell>
        </row>
        <row r="74">
          <cell r="B74" t="str">
            <v>ECM on VAV Boxes-NR</v>
          </cell>
          <cell r="C74" t="str">
            <v>POST2013</v>
          </cell>
          <cell r="D74" t="str">
            <v>POST2013</v>
          </cell>
          <cell r="E74" t="str">
            <v>POST2013</v>
          </cell>
          <cell r="F74" t="str">
            <v>POST2013</v>
          </cell>
          <cell r="G74" t="str">
            <v>POST2013</v>
          </cell>
          <cell r="H74" t="str">
            <v>POST2013</v>
          </cell>
          <cell r="I74" t="str">
            <v>POST2013</v>
          </cell>
          <cell r="J74" t="str">
            <v>POST2013</v>
          </cell>
          <cell r="K74" t="str">
            <v>POST2013</v>
          </cell>
          <cell r="L74" t="str">
            <v>POST2013</v>
          </cell>
          <cell r="M74" t="str">
            <v>POST2013</v>
          </cell>
          <cell r="N74" t="str">
            <v>POST2013</v>
          </cell>
          <cell r="O74" t="str">
            <v>POST2013</v>
          </cell>
          <cell r="P74" t="str">
            <v>POST2013</v>
          </cell>
          <cell r="Q74" t="str">
            <v>POST2013</v>
          </cell>
          <cell r="R74" t="str">
            <v>POST2013</v>
          </cell>
          <cell r="S74" t="str">
            <v>POST2013</v>
          </cell>
          <cell r="T74" t="str">
            <v>POST2013</v>
          </cell>
          <cell r="W74" t="str">
            <v>POST2013</v>
          </cell>
          <cell r="X74" t="str">
            <v>NR</v>
          </cell>
          <cell r="Y74" t="str">
            <v>POST2013</v>
          </cell>
        </row>
        <row r="75">
          <cell r="B75" t="str">
            <v>Pool pumps-Retro</v>
          </cell>
          <cell r="C75" t="str">
            <v>_PRE2013</v>
          </cell>
          <cell r="D75" t="str">
            <v>_PRE2013</v>
          </cell>
          <cell r="E75" t="str">
            <v>_PRE2013</v>
          </cell>
          <cell r="F75" t="str">
            <v>_PRE2013</v>
          </cell>
          <cell r="G75" t="str">
            <v>_PRE2013</v>
          </cell>
          <cell r="H75" t="str">
            <v>_PRE2013</v>
          </cell>
          <cell r="I75" t="str">
            <v>_PRE2013</v>
          </cell>
          <cell r="J75" t="str">
            <v>_PRE2013</v>
          </cell>
          <cell r="K75" t="str">
            <v>_PRE2013</v>
          </cell>
          <cell r="L75" t="str">
            <v>_PRE2013</v>
          </cell>
          <cell r="M75" t="str">
            <v>_PRE2013</v>
          </cell>
          <cell r="N75" t="str">
            <v>_PRE2013</v>
          </cell>
          <cell r="O75" t="str">
            <v>_PRE2013</v>
          </cell>
          <cell r="P75" t="str">
            <v>_PRE2013</v>
          </cell>
          <cell r="Q75" t="str">
            <v>_PRE2013</v>
          </cell>
          <cell r="R75" t="str">
            <v>_PRE2013</v>
          </cell>
          <cell r="S75" t="str">
            <v>_PRE2013</v>
          </cell>
          <cell r="T75" t="str">
            <v>_PRE2013</v>
          </cell>
          <cell r="W75" t="str">
            <v>_PRE2013</v>
          </cell>
          <cell r="X75" t="str">
            <v>Retro</v>
          </cell>
          <cell r="Y75" t="str">
            <v>_PRE2013</v>
          </cell>
        </row>
        <row r="76">
          <cell r="B76" t="str">
            <v>Switched Reluctance/Permanent Magnet Motors-Retro</v>
          </cell>
          <cell r="C76" t="str">
            <v>_PRE2013</v>
          </cell>
          <cell r="D76" t="str">
            <v>_PRE2013</v>
          </cell>
          <cell r="E76" t="str">
            <v>_PRE2013</v>
          </cell>
          <cell r="F76" t="str">
            <v>_PRE2013</v>
          </cell>
          <cell r="G76" t="str">
            <v>_PRE2013</v>
          </cell>
          <cell r="H76" t="str">
            <v>_PRE2013</v>
          </cell>
          <cell r="I76" t="str">
            <v>_PRE2013</v>
          </cell>
          <cell r="J76" t="str">
            <v>_PRE2013</v>
          </cell>
          <cell r="K76" t="str">
            <v>_PRE2013</v>
          </cell>
          <cell r="L76" t="str">
            <v>_PRE2013</v>
          </cell>
          <cell r="M76" t="str">
            <v>_PRE2013</v>
          </cell>
          <cell r="N76" t="str">
            <v>_PRE2013</v>
          </cell>
          <cell r="O76" t="str">
            <v>_PRE2013</v>
          </cell>
          <cell r="P76" t="str">
            <v>_PRE2013</v>
          </cell>
          <cell r="Q76" t="str">
            <v>_PRE2013</v>
          </cell>
          <cell r="R76" t="str">
            <v>_PRE2013</v>
          </cell>
          <cell r="S76" t="str">
            <v>_PRE2013</v>
          </cell>
          <cell r="T76" t="str">
            <v>_PRE2013</v>
          </cell>
          <cell r="W76" t="str">
            <v>_PRE2013</v>
          </cell>
          <cell r="X76" t="str">
            <v>Retro</v>
          </cell>
          <cell r="Y76" t="str">
            <v>_PRE2013</v>
          </cell>
        </row>
        <row r="77">
          <cell r="B77" t="str">
            <v>Motors - Rewind-NR</v>
          </cell>
          <cell r="C77" t="str">
            <v>POST2013</v>
          </cell>
          <cell r="D77" t="str">
            <v>POST2013</v>
          </cell>
          <cell r="E77" t="str">
            <v>POST2013</v>
          </cell>
          <cell r="F77" t="str">
            <v>POST2013</v>
          </cell>
          <cell r="G77" t="str">
            <v>POST2013</v>
          </cell>
          <cell r="H77" t="str">
            <v>POST2013</v>
          </cell>
          <cell r="I77" t="str">
            <v>POST2013</v>
          </cell>
          <cell r="J77" t="str">
            <v>POST2013</v>
          </cell>
          <cell r="K77" t="str">
            <v>POST2013</v>
          </cell>
          <cell r="L77" t="str">
            <v>POST2013</v>
          </cell>
          <cell r="M77" t="str">
            <v>POST2013</v>
          </cell>
          <cell r="N77" t="str">
            <v>POST2013</v>
          </cell>
          <cell r="O77" t="str">
            <v>POST2013</v>
          </cell>
          <cell r="P77" t="str">
            <v>POST2013</v>
          </cell>
          <cell r="Q77" t="str">
            <v>POST2013</v>
          </cell>
          <cell r="R77" t="str">
            <v>POST2013</v>
          </cell>
          <cell r="S77" t="str">
            <v>POST2013</v>
          </cell>
          <cell r="T77" t="str">
            <v>POST2013</v>
          </cell>
          <cell r="W77" t="str">
            <v>POST2013</v>
          </cell>
          <cell r="X77" t="str">
            <v>NR</v>
          </cell>
          <cell r="Y77" t="str">
            <v>POST2013</v>
          </cell>
        </row>
        <row r="78">
          <cell r="B78" t="str">
            <v>Municipal Sewage Treatment-Retro</v>
          </cell>
          <cell r="C78" t="str">
            <v>_PRE2013</v>
          </cell>
          <cell r="D78" t="str">
            <v>_PRE2013</v>
          </cell>
          <cell r="E78" t="str">
            <v>_PRE2013</v>
          </cell>
          <cell r="F78" t="str">
            <v>_PRE2013</v>
          </cell>
          <cell r="G78" t="str">
            <v>_PRE2013</v>
          </cell>
          <cell r="H78" t="str">
            <v>_PRE2013</v>
          </cell>
          <cell r="I78" t="str">
            <v>_PRE2013</v>
          </cell>
          <cell r="J78" t="str">
            <v>_PRE2013</v>
          </cell>
          <cell r="K78" t="str">
            <v>_PRE2013</v>
          </cell>
          <cell r="L78" t="str">
            <v>_PRE2013</v>
          </cell>
          <cell r="M78" t="str">
            <v>_PRE2013</v>
          </cell>
          <cell r="N78" t="str">
            <v>_PRE2013</v>
          </cell>
          <cell r="O78" t="str">
            <v>_PRE2013</v>
          </cell>
          <cell r="P78" t="str">
            <v>_PRE2013</v>
          </cell>
          <cell r="Q78" t="str">
            <v>_PRE2013</v>
          </cell>
          <cell r="R78" t="str">
            <v>_PRE2013</v>
          </cell>
          <cell r="S78" t="str">
            <v>_PRE2013</v>
          </cell>
          <cell r="T78" t="str">
            <v>_PRE2013</v>
          </cell>
          <cell r="W78" t="str">
            <v>_PRE2013</v>
          </cell>
          <cell r="X78" t="str">
            <v>Retro</v>
          </cell>
          <cell r="Y78" t="str">
            <v>_PRE2013</v>
          </cell>
        </row>
        <row r="79">
          <cell r="B79" t="str">
            <v>Municipal Water Supply-Retro</v>
          </cell>
          <cell r="C79" t="str">
            <v>_PRE2013</v>
          </cell>
          <cell r="D79" t="str">
            <v>_PRE2013</v>
          </cell>
          <cell r="E79" t="str">
            <v>_PRE2013</v>
          </cell>
          <cell r="F79" t="str">
            <v>_PRE2013</v>
          </cell>
          <cell r="G79" t="str">
            <v>_PRE2013</v>
          </cell>
          <cell r="H79" t="str">
            <v>_PRE2013</v>
          </cell>
          <cell r="I79" t="str">
            <v>_PRE2013</v>
          </cell>
          <cell r="J79" t="str">
            <v>_PRE2013</v>
          </cell>
          <cell r="K79" t="str">
            <v>_PRE2013</v>
          </cell>
          <cell r="L79" t="str">
            <v>_PRE2013</v>
          </cell>
          <cell r="M79" t="str">
            <v>_PRE2013</v>
          </cell>
          <cell r="N79" t="str">
            <v>_PRE2013</v>
          </cell>
          <cell r="O79" t="str">
            <v>_PRE2013</v>
          </cell>
          <cell r="P79" t="str">
            <v>_PRE2013</v>
          </cell>
          <cell r="Q79" t="str">
            <v>_PRE2013</v>
          </cell>
          <cell r="R79" t="str">
            <v>_PRE2013</v>
          </cell>
          <cell r="S79" t="str">
            <v>_PRE2013</v>
          </cell>
          <cell r="T79" t="str">
            <v>_PRE2013</v>
          </cell>
          <cell r="W79" t="str">
            <v>_PRE2013</v>
          </cell>
          <cell r="X79" t="str">
            <v>Retro</v>
          </cell>
          <cell r="Y79" t="str">
            <v>_PRE2013</v>
          </cell>
        </row>
        <row r="80">
          <cell r="B80" t="str">
            <v>Engine Generator Block Heaters-Retro</v>
          </cell>
          <cell r="C80" t="str">
            <v>_PRE2013</v>
          </cell>
          <cell r="D80" t="str">
            <v>_PRE2013</v>
          </cell>
          <cell r="E80" t="str">
            <v>_PRE2013</v>
          </cell>
          <cell r="F80" t="str">
            <v>_PRE2013</v>
          </cell>
          <cell r="G80" t="str">
            <v>_PRE2013</v>
          </cell>
          <cell r="H80" t="str">
            <v>_PRE2013</v>
          </cell>
          <cell r="I80" t="str">
            <v>_PRE2013</v>
          </cell>
          <cell r="J80" t="str">
            <v>_PRE2013</v>
          </cell>
          <cell r="K80" t="str">
            <v>_PRE2013</v>
          </cell>
          <cell r="L80" t="str">
            <v>_PRE2013</v>
          </cell>
          <cell r="M80" t="str">
            <v>_PRE2013</v>
          </cell>
          <cell r="N80" t="str">
            <v>_PRE2013</v>
          </cell>
          <cell r="O80" t="str">
            <v>_PRE2013</v>
          </cell>
          <cell r="P80" t="str">
            <v>_PRE2013</v>
          </cell>
          <cell r="Q80" t="str">
            <v>_PRE2013</v>
          </cell>
          <cell r="R80" t="str">
            <v>_PRE2013</v>
          </cell>
          <cell r="S80" t="str">
            <v>_PRE2013</v>
          </cell>
          <cell r="T80" t="str">
            <v>_PRE2013</v>
          </cell>
          <cell r="W80" t="str">
            <v>_PRE2013</v>
          </cell>
          <cell r="X80" t="str">
            <v>Retro</v>
          </cell>
          <cell r="Y80" t="str">
            <v>_PRE2013</v>
          </cell>
        </row>
        <row r="81">
          <cell r="B81" t="str">
            <v>Grocery Refrigeration Bundle-Retro</v>
          </cell>
          <cell r="C81" t="str">
            <v>_PRE2013</v>
          </cell>
          <cell r="D81" t="str">
            <v>_PRE2013</v>
          </cell>
          <cell r="E81" t="str">
            <v>_PRE2013</v>
          </cell>
          <cell r="F81" t="str">
            <v>_PRE2013</v>
          </cell>
          <cell r="G81" t="str">
            <v>_PRE2013</v>
          </cell>
          <cell r="H81" t="str">
            <v>_PRE2013</v>
          </cell>
          <cell r="I81" t="str">
            <v>_PRE2013</v>
          </cell>
          <cell r="J81" t="str">
            <v>_PRE2013</v>
          </cell>
          <cell r="K81" t="str">
            <v>_PRE2013</v>
          </cell>
          <cell r="L81" t="str">
            <v>_PRE2013</v>
          </cell>
          <cell r="M81" t="str">
            <v>_PRE2013</v>
          </cell>
          <cell r="N81" t="str">
            <v>_PRE2013</v>
          </cell>
          <cell r="O81" t="str">
            <v>_PRE2013</v>
          </cell>
          <cell r="P81" t="str">
            <v>_PRE2013</v>
          </cell>
          <cell r="Q81" t="str">
            <v>_PRE2013</v>
          </cell>
          <cell r="R81" t="str">
            <v>_PRE2013</v>
          </cell>
          <cell r="S81" t="str">
            <v>_PRE2013</v>
          </cell>
          <cell r="T81" t="str">
            <v>_PRE2013</v>
          </cell>
          <cell r="W81" t="str">
            <v>_PRE2013</v>
          </cell>
          <cell r="X81" t="str">
            <v>Retro</v>
          </cell>
          <cell r="Y81" t="str">
            <v>_PRE2013</v>
          </cell>
        </row>
        <row r="82">
          <cell r="B82" t="str">
            <v>Packaged Refrigeration Equipment-New</v>
          </cell>
          <cell r="C82" t="str">
            <v>POST2013</v>
          </cell>
          <cell r="D82" t="str">
            <v>POST2013</v>
          </cell>
          <cell r="E82" t="str">
            <v>POST2013</v>
          </cell>
          <cell r="F82" t="str">
            <v>POST2013</v>
          </cell>
          <cell r="G82" t="str">
            <v>POST2013</v>
          </cell>
          <cell r="H82" t="str">
            <v>POST2013</v>
          </cell>
          <cell r="I82" t="str">
            <v>POST2013</v>
          </cell>
          <cell r="J82" t="str">
            <v>POST2013</v>
          </cell>
          <cell r="K82" t="str">
            <v>POST2013</v>
          </cell>
          <cell r="L82" t="str">
            <v>POST2013</v>
          </cell>
          <cell r="M82" t="str">
            <v>POST2013</v>
          </cell>
          <cell r="N82" t="str">
            <v>POST2013</v>
          </cell>
          <cell r="O82" t="str">
            <v>POST2013</v>
          </cell>
          <cell r="P82" t="str">
            <v>POST2013</v>
          </cell>
          <cell r="Q82" t="str">
            <v>POST2013</v>
          </cell>
          <cell r="R82" t="str">
            <v>POST2013</v>
          </cell>
          <cell r="S82" t="str">
            <v>POST2013</v>
          </cell>
          <cell r="T82" t="str">
            <v>POST2013</v>
          </cell>
          <cell r="W82" t="str">
            <v>POST2013</v>
          </cell>
          <cell r="X82" t="str">
            <v>New</v>
          </cell>
          <cell r="Y82" t="str">
            <v>POST2013</v>
          </cell>
        </row>
        <row r="83">
          <cell r="B83" t="str">
            <v>Appliances - Freezers-NR</v>
          </cell>
          <cell r="C83" t="str">
            <v>POST2013</v>
          </cell>
          <cell r="D83" t="str">
            <v>POST2013</v>
          </cell>
          <cell r="E83" t="str">
            <v>POST2013</v>
          </cell>
          <cell r="F83" t="str">
            <v>POST2013</v>
          </cell>
          <cell r="G83" t="str">
            <v>POST2013</v>
          </cell>
          <cell r="H83" t="str">
            <v>POST2013</v>
          </cell>
          <cell r="I83" t="str">
            <v>POST2013</v>
          </cell>
          <cell r="J83" t="str">
            <v>POST2013</v>
          </cell>
          <cell r="K83" t="str">
            <v>POST2013</v>
          </cell>
          <cell r="L83" t="str">
            <v>POST2013</v>
          </cell>
          <cell r="M83" t="str">
            <v>POST2013</v>
          </cell>
          <cell r="N83" t="str">
            <v>POST2013</v>
          </cell>
          <cell r="O83" t="str">
            <v>POST2013</v>
          </cell>
          <cell r="P83" t="str">
            <v>POST2013</v>
          </cell>
          <cell r="Q83" t="str">
            <v>POST2013</v>
          </cell>
          <cell r="R83" t="str">
            <v>POST2013</v>
          </cell>
          <cell r="S83" t="str">
            <v>POST2013</v>
          </cell>
          <cell r="T83" t="str">
            <v>POST2013</v>
          </cell>
          <cell r="W83" t="str">
            <v>POST2013</v>
          </cell>
          <cell r="X83" t="str">
            <v>NR</v>
          </cell>
          <cell r="Y83" t="str">
            <v>POST2013</v>
          </cell>
        </row>
        <row r="84">
          <cell r="B84" t="str">
            <v>Appliances - Refrigerators-NR</v>
          </cell>
          <cell r="C84" t="str">
            <v>POST2013</v>
          </cell>
          <cell r="D84" t="str">
            <v>POST2013</v>
          </cell>
          <cell r="E84" t="str">
            <v>POST2013</v>
          </cell>
          <cell r="F84" t="str">
            <v>POST2013</v>
          </cell>
          <cell r="G84" t="str">
            <v>POST2013</v>
          </cell>
          <cell r="H84" t="str">
            <v>POST2013</v>
          </cell>
          <cell r="I84" t="str">
            <v>POST2013</v>
          </cell>
          <cell r="J84" t="str">
            <v>POST2013</v>
          </cell>
          <cell r="K84" t="str">
            <v>POST2013</v>
          </cell>
          <cell r="L84" t="str">
            <v>POST2013</v>
          </cell>
          <cell r="M84" t="str">
            <v>POST2013</v>
          </cell>
          <cell r="N84" t="str">
            <v>POST2013</v>
          </cell>
          <cell r="O84" t="str">
            <v>POST2013</v>
          </cell>
          <cell r="P84" t="str">
            <v>POST2013</v>
          </cell>
          <cell r="Q84" t="str">
            <v>POST2013</v>
          </cell>
          <cell r="R84" t="str">
            <v>POST2013</v>
          </cell>
          <cell r="S84" t="str">
            <v>POST2013</v>
          </cell>
          <cell r="T84" t="str">
            <v>POST2013</v>
          </cell>
          <cell r="W84" t="str">
            <v>POST2013</v>
          </cell>
          <cell r="X84" t="str">
            <v>NR</v>
          </cell>
          <cell r="Y84" t="str">
            <v>POST2013</v>
          </cell>
        </row>
        <row r="85">
          <cell r="B85" t="str">
            <v>Water Cooler Controls-Retro</v>
          </cell>
          <cell r="C85" t="str">
            <v>_PRE2013</v>
          </cell>
          <cell r="D85" t="str">
            <v>_PRE2013</v>
          </cell>
          <cell r="E85" t="str">
            <v>_PRE2013</v>
          </cell>
          <cell r="F85" t="str">
            <v>_PRE2013</v>
          </cell>
          <cell r="G85" t="str">
            <v>_PRE2013</v>
          </cell>
          <cell r="H85" t="str">
            <v>_PRE2013</v>
          </cell>
          <cell r="I85" t="str">
            <v>_PRE2013</v>
          </cell>
          <cell r="J85" t="str">
            <v>_PRE2013</v>
          </cell>
          <cell r="K85" t="str">
            <v>_PRE2013</v>
          </cell>
          <cell r="L85" t="str">
            <v>_PRE2013</v>
          </cell>
          <cell r="M85" t="str">
            <v>_PRE2013</v>
          </cell>
          <cell r="N85" t="str">
            <v>_PRE2013</v>
          </cell>
          <cell r="O85" t="str">
            <v>_PRE2013</v>
          </cell>
          <cell r="P85" t="str">
            <v>_PRE2013</v>
          </cell>
          <cell r="Q85" t="str">
            <v>_PRE2013</v>
          </cell>
          <cell r="R85" t="str">
            <v>_PRE2013</v>
          </cell>
          <cell r="S85" t="str">
            <v>_PRE2013</v>
          </cell>
          <cell r="T85" t="str">
            <v>_PRE2013</v>
          </cell>
          <cell r="W85" t="str">
            <v>_PRE2013</v>
          </cell>
          <cell r="X85" t="str">
            <v>Retro</v>
          </cell>
          <cell r="Y85" t="str">
            <v>_PRE2013</v>
          </cell>
        </row>
        <row r="86">
          <cell r="B86" t="str">
            <v>Commercial Clothes Washers-New</v>
          </cell>
          <cell r="C86" t="str">
            <v>POST2013</v>
          </cell>
          <cell r="D86" t="str">
            <v>POST2013</v>
          </cell>
          <cell r="E86" t="str">
            <v>POST2013</v>
          </cell>
          <cell r="F86" t="str">
            <v>POST2013</v>
          </cell>
          <cell r="G86" t="str">
            <v>POST2013</v>
          </cell>
          <cell r="H86" t="str">
            <v>POST2013</v>
          </cell>
          <cell r="I86" t="str">
            <v>POST2013</v>
          </cell>
          <cell r="J86" t="str">
            <v>POST2013</v>
          </cell>
          <cell r="K86" t="str">
            <v>POST2013</v>
          </cell>
          <cell r="L86" t="str">
            <v>POST2013</v>
          </cell>
          <cell r="M86" t="str">
            <v>POST2013</v>
          </cell>
          <cell r="N86" t="str">
            <v>POST2013</v>
          </cell>
          <cell r="O86" t="str">
            <v>POST2013</v>
          </cell>
          <cell r="P86" t="str">
            <v>POST2013</v>
          </cell>
          <cell r="Q86" t="str">
            <v>POST2013</v>
          </cell>
          <cell r="R86" t="str">
            <v>POST2013</v>
          </cell>
          <cell r="S86" t="str">
            <v>POST2013</v>
          </cell>
          <cell r="T86" t="str">
            <v>POST2013</v>
          </cell>
          <cell r="W86" t="str">
            <v>POST2013</v>
          </cell>
          <cell r="X86" t="str">
            <v>New</v>
          </cell>
          <cell r="Y86" t="str">
            <v>POST2013</v>
          </cell>
        </row>
        <row r="87">
          <cell r="B87" t="str">
            <v>DHW - Efficient Tanks-Retro</v>
          </cell>
          <cell r="C87" t="str">
            <v>_PRE2013</v>
          </cell>
          <cell r="D87" t="str">
            <v>_PRE2013</v>
          </cell>
          <cell r="E87" t="str">
            <v>_PRE2013</v>
          </cell>
          <cell r="F87" t="str">
            <v>_PRE2013</v>
          </cell>
          <cell r="G87" t="str">
            <v>_PRE2013</v>
          </cell>
          <cell r="H87" t="str">
            <v>_PRE2013</v>
          </cell>
          <cell r="I87" t="str">
            <v>_PRE2013</v>
          </cell>
          <cell r="J87" t="str">
            <v>_PRE2013</v>
          </cell>
          <cell r="K87" t="str">
            <v>_PRE2013</v>
          </cell>
          <cell r="L87" t="str">
            <v>_PRE2013</v>
          </cell>
          <cell r="M87" t="str">
            <v>_PRE2013</v>
          </cell>
          <cell r="N87" t="str">
            <v>_PRE2013</v>
          </cell>
          <cell r="O87" t="str">
            <v>_PRE2013</v>
          </cell>
          <cell r="P87" t="str">
            <v>_PRE2013</v>
          </cell>
          <cell r="Q87" t="str">
            <v>_PRE2013</v>
          </cell>
          <cell r="R87" t="str">
            <v>_PRE2013</v>
          </cell>
          <cell r="S87" t="str">
            <v>_PRE2013</v>
          </cell>
          <cell r="T87" t="str">
            <v>_PRE2013</v>
          </cell>
          <cell r="W87" t="str">
            <v>_PRE2013</v>
          </cell>
          <cell r="X87" t="str">
            <v>Retro</v>
          </cell>
          <cell r="Y87" t="str">
            <v>_PRE2013</v>
          </cell>
        </row>
        <row r="88">
          <cell r="B88" t="str">
            <v>Appliances - Clothes Washers-NR</v>
          </cell>
          <cell r="C88" t="str">
            <v>POST2013</v>
          </cell>
          <cell r="D88" t="str">
            <v>POST2013</v>
          </cell>
          <cell r="E88" t="str">
            <v>POST2013</v>
          </cell>
          <cell r="F88" t="str">
            <v>POST2013</v>
          </cell>
          <cell r="G88" t="str">
            <v>POST2013</v>
          </cell>
          <cell r="H88" t="str">
            <v>POST2013</v>
          </cell>
          <cell r="I88" t="str">
            <v>POST2013</v>
          </cell>
          <cell r="J88" t="str">
            <v>POST2013</v>
          </cell>
          <cell r="K88" t="str">
            <v>POST2013</v>
          </cell>
          <cell r="L88" t="str">
            <v>POST2013</v>
          </cell>
          <cell r="M88" t="str">
            <v>POST2013</v>
          </cell>
          <cell r="N88" t="str">
            <v>POST2013</v>
          </cell>
          <cell r="O88" t="str">
            <v>POST2013</v>
          </cell>
          <cell r="P88" t="str">
            <v>POST2013</v>
          </cell>
          <cell r="Q88" t="str">
            <v>POST2013</v>
          </cell>
          <cell r="R88" t="str">
            <v>POST2013</v>
          </cell>
          <cell r="S88" t="str">
            <v>POST2013</v>
          </cell>
          <cell r="T88" t="str">
            <v>POST2013</v>
          </cell>
          <cell r="W88" t="str">
            <v>POST2013</v>
          </cell>
          <cell r="X88" t="str">
            <v>NR</v>
          </cell>
          <cell r="Y88" t="str">
            <v>POST2013</v>
          </cell>
        </row>
        <row r="89">
          <cell r="B89" t="str">
            <v>DHW - Showerheads-Retro</v>
          </cell>
          <cell r="C89" t="str">
            <v>_PRE2013</v>
          </cell>
          <cell r="D89" t="str">
            <v>_PRE2013</v>
          </cell>
          <cell r="E89" t="str">
            <v>_PRE2013</v>
          </cell>
          <cell r="F89" t="str">
            <v>_PRE2013</v>
          </cell>
          <cell r="G89" t="str">
            <v>_PRE2013</v>
          </cell>
          <cell r="H89" t="str">
            <v>_PRE2013</v>
          </cell>
          <cell r="I89" t="str">
            <v>_PRE2013</v>
          </cell>
          <cell r="J89" t="str">
            <v>_PRE2013</v>
          </cell>
          <cell r="K89" t="str">
            <v>_PRE2013</v>
          </cell>
          <cell r="L89" t="str">
            <v>_PRE2013</v>
          </cell>
          <cell r="M89" t="str">
            <v>_PRE2013</v>
          </cell>
          <cell r="N89" t="str">
            <v>_PRE2013</v>
          </cell>
          <cell r="O89" t="str">
            <v>_PRE2013</v>
          </cell>
          <cell r="P89" t="str">
            <v>_PRE2013</v>
          </cell>
          <cell r="Q89" t="str">
            <v>_PRE2013</v>
          </cell>
          <cell r="R89" t="str">
            <v>_PRE2013</v>
          </cell>
          <cell r="S89" t="str">
            <v>_PRE2013</v>
          </cell>
          <cell r="T89" t="str">
            <v>_PRE2013</v>
          </cell>
          <cell r="W89" t="str">
            <v>_PRE2013</v>
          </cell>
          <cell r="X89" t="str">
            <v>Retro</v>
          </cell>
          <cell r="Y89" t="str">
            <v>_PRE2013</v>
          </cell>
        </row>
        <row r="90">
          <cell r="B90" t="str">
            <v>Water Heating - GFHX-New</v>
          </cell>
          <cell r="C90" t="str">
            <v>POST2013</v>
          </cell>
          <cell r="D90" t="str">
            <v>POST2013</v>
          </cell>
          <cell r="E90" t="str">
            <v>POST2013</v>
          </cell>
          <cell r="F90" t="str">
            <v>POST2013</v>
          </cell>
          <cell r="G90" t="str">
            <v>POST2013</v>
          </cell>
          <cell r="H90" t="str">
            <v>POST2013</v>
          </cell>
          <cell r="I90" t="str">
            <v>POST2013</v>
          </cell>
          <cell r="J90" t="str">
            <v>POST2013</v>
          </cell>
          <cell r="K90" t="str">
            <v>POST2013</v>
          </cell>
          <cell r="L90" t="str">
            <v>POST2013</v>
          </cell>
          <cell r="M90" t="str">
            <v>POST2013</v>
          </cell>
          <cell r="N90" t="str">
            <v>POST2013</v>
          </cell>
          <cell r="O90" t="str">
            <v>POST2013</v>
          </cell>
          <cell r="P90" t="str">
            <v>POST2013</v>
          </cell>
          <cell r="Q90" t="str">
            <v>POST2013</v>
          </cell>
          <cell r="R90" t="str">
            <v>POST2013</v>
          </cell>
          <cell r="S90" t="str">
            <v>POST2013</v>
          </cell>
          <cell r="T90" t="str">
            <v>POST2013</v>
          </cell>
          <cell r="W90" t="str">
            <v>POST2013</v>
          </cell>
          <cell r="X90" t="str">
            <v>New</v>
          </cell>
          <cell r="Y90" t="str">
            <v>POST2013</v>
          </cell>
        </row>
        <row r="91">
          <cell r="B91" t="str">
            <v>Demand Control Circulating system DHW-Retro</v>
          </cell>
          <cell r="C91" t="str">
            <v>_PRE2013</v>
          </cell>
          <cell r="D91" t="str">
            <v>_PRE2013</v>
          </cell>
          <cell r="E91" t="str">
            <v>_PRE2013</v>
          </cell>
          <cell r="F91" t="str">
            <v>_PRE2013</v>
          </cell>
          <cell r="G91" t="str">
            <v>_PRE2013</v>
          </cell>
          <cell r="H91" t="str">
            <v>_PRE2013</v>
          </cell>
          <cell r="I91" t="str">
            <v>_PRE2013</v>
          </cell>
          <cell r="J91" t="str">
            <v>_PRE2013</v>
          </cell>
          <cell r="K91" t="str">
            <v>_PRE2013</v>
          </cell>
          <cell r="L91" t="str">
            <v>_PRE2013</v>
          </cell>
          <cell r="M91" t="str">
            <v>_PRE2013</v>
          </cell>
          <cell r="N91" t="str">
            <v>_PRE2013</v>
          </cell>
          <cell r="O91" t="str">
            <v>_PRE2013</v>
          </cell>
          <cell r="P91" t="str">
            <v>_PRE2013</v>
          </cell>
          <cell r="Q91" t="str">
            <v>_PRE2013</v>
          </cell>
          <cell r="R91" t="str">
            <v>_PRE2013</v>
          </cell>
          <cell r="S91" t="str">
            <v>_PRE2013</v>
          </cell>
          <cell r="T91" t="str">
            <v>_PRE2013</v>
          </cell>
          <cell r="W91" t="str">
            <v>_PRE2013</v>
          </cell>
          <cell r="X91" t="str">
            <v>Retro</v>
          </cell>
          <cell r="Y91" t="str">
            <v>_PRE2013</v>
          </cell>
        </row>
        <row r="92">
          <cell r="B92" t="str">
            <v>Central HPWH MF-Retro</v>
          </cell>
          <cell r="C92" t="str">
            <v>_PRE2013</v>
          </cell>
          <cell r="D92" t="str">
            <v>_PRE2013</v>
          </cell>
          <cell r="E92" t="str">
            <v>_PRE2013</v>
          </cell>
          <cell r="F92" t="str">
            <v>_PRE2013</v>
          </cell>
          <cell r="G92" t="str">
            <v>_PRE2013</v>
          </cell>
          <cell r="H92" t="str">
            <v>_PRE2013</v>
          </cell>
          <cell r="I92" t="str">
            <v>_PRE2013</v>
          </cell>
          <cell r="J92" t="str">
            <v>_PRE2013</v>
          </cell>
          <cell r="K92" t="str">
            <v>_PRE2013</v>
          </cell>
          <cell r="L92" t="str">
            <v>_PRE2013</v>
          </cell>
          <cell r="M92" t="str">
            <v>_PRE2013</v>
          </cell>
          <cell r="N92" t="str">
            <v>_PRE2013</v>
          </cell>
          <cell r="O92" t="str">
            <v>_PRE2013</v>
          </cell>
          <cell r="P92" t="str">
            <v>_PRE2013</v>
          </cell>
          <cell r="Q92" t="str">
            <v>_PRE2013</v>
          </cell>
          <cell r="R92" t="str">
            <v>_PRE2013</v>
          </cell>
          <cell r="S92" t="str">
            <v>_PRE2013</v>
          </cell>
          <cell r="T92" t="str">
            <v>_PRE2013</v>
          </cell>
          <cell r="W92" t="str">
            <v>_PRE2013</v>
          </cell>
          <cell r="X92" t="str">
            <v>Retro</v>
          </cell>
          <cell r="Y92" t="str">
            <v>_PRE2013</v>
          </cell>
        </row>
        <row r="93">
          <cell r="B93" t="str">
            <v>Integrated Building Design-New</v>
          </cell>
          <cell r="C93" t="str">
            <v>POST2013</v>
          </cell>
          <cell r="D93" t="str">
            <v>POST2013</v>
          </cell>
          <cell r="E93" t="str">
            <v>POST2013</v>
          </cell>
          <cell r="F93" t="str">
            <v>POST2013</v>
          </cell>
          <cell r="G93" t="str">
            <v>POST2013</v>
          </cell>
          <cell r="H93" t="str">
            <v>POST2013</v>
          </cell>
          <cell r="I93" t="str">
            <v>POST2013</v>
          </cell>
          <cell r="J93" t="str">
            <v>POST2013</v>
          </cell>
          <cell r="K93" t="str">
            <v>POST2013</v>
          </cell>
          <cell r="L93" t="str">
            <v>POST2013</v>
          </cell>
          <cell r="M93" t="str">
            <v>POST2013</v>
          </cell>
          <cell r="N93" t="str">
            <v>POST2013</v>
          </cell>
          <cell r="O93" t="str">
            <v>POST2013</v>
          </cell>
          <cell r="P93" t="str">
            <v>POST2013</v>
          </cell>
          <cell r="Q93" t="str">
            <v>POST2013</v>
          </cell>
          <cell r="R93" t="str">
            <v>POST2013</v>
          </cell>
          <cell r="S93" t="str">
            <v>POST2013</v>
          </cell>
          <cell r="T93" t="str">
            <v>POST2013</v>
          </cell>
          <cell r="W93" t="str">
            <v>POST2013</v>
          </cell>
          <cell r="X93" t="str">
            <v>New</v>
          </cell>
          <cell r="Y93" t="str">
            <v>POST2013</v>
          </cell>
        </row>
      </sheetData>
      <sheetData sheetId="7">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 Controls-Retro</v>
          </cell>
        </row>
        <row r="13">
          <cell r="B13" t="str">
            <v>Compressed Air Improvements-Retro</v>
          </cell>
        </row>
        <row r="14">
          <cell r="B14" t="str">
            <v>Network PC Power Management-Retro</v>
          </cell>
        </row>
        <row r="15">
          <cell r="B15" t="str">
            <v>Computer Servers and IT-Retro</v>
          </cell>
        </row>
        <row r="16">
          <cell r="B16" t="str">
            <v>Smart Plug Power Strips-Retro</v>
          </cell>
          <cell r="U16">
            <v>0.2</v>
          </cell>
        </row>
        <row r="17">
          <cell r="B17" t="str">
            <v>Data Centers-Retro</v>
          </cell>
        </row>
        <row r="18">
          <cell r="B18" t="str">
            <v>Commercial Computer Monitor-NR</v>
          </cell>
        </row>
        <row r="19">
          <cell r="B19" t="str">
            <v>Commercial Computer Desktop-NR</v>
          </cell>
        </row>
        <row r="20">
          <cell r="B20" t="str">
            <v>Pre-Rinse Spray Valve-Retro</v>
          </cell>
          <cell r="U20">
            <v>0.2</v>
          </cell>
        </row>
        <row r="21">
          <cell r="B21" t="str">
            <v>Cooking Equipment-NR</v>
          </cell>
          <cell r="U21">
            <v>0.08</v>
          </cell>
        </row>
        <row r="22">
          <cell r="B22" t="str">
            <v>Premium HVAC Equipment-New</v>
          </cell>
          <cell r="C22">
            <v>3.3333333333333333E-2</v>
          </cell>
          <cell r="D22">
            <v>0.04</v>
          </cell>
          <cell r="E22">
            <v>0.05</v>
          </cell>
          <cell r="F22">
            <v>0.05</v>
          </cell>
          <cell r="G22">
            <v>0.05</v>
          </cell>
          <cell r="H22">
            <v>0.05</v>
          </cell>
          <cell r="I22">
            <v>3.3333333333333333E-2</v>
          </cell>
          <cell r="J22">
            <v>3.3333333333333333E-2</v>
          </cell>
          <cell r="K22">
            <v>3.3333333333333333E-2</v>
          </cell>
          <cell r="L22">
            <v>0.05</v>
          </cell>
          <cell r="M22">
            <v>0.05</v>
          </cell>
          <cell r="N22">
            <v>0.05</v>
          </cell>
          <cell r="O22">
            <v>0.05</v>
          </cell>
          <cell r="P22">
            <v>0.05</v>
          </cell>
          <cell r="Q22">
            <v>0.04</v>
          </cell>
          <cell r="R22">
            <v>0.04</v>
          </cell>
          <cell r="S22">
            <v>0.04</v>
          </cell>
          <cell r="T22">
            <v>0.04</v>
          </cell>
          <cell r="V22" t="str">
            <v>20, 25 or 30 year equipment life</v>
          </cell>
        </row>
        <row r="23">
          <cell r="B23" t="str">
            <v>Premium HVAC Equipment-NR</v>
          </cell>
          <cell r="C23">
            <v>3.3333333333333333E-2</v>
          </cell>
          <cell r="D23">
            <v>0.04</v>
          </cell>
          <cell r="E23">
            <v>0.05</v>
          </cell>
          <cell r="F23">
            <v>0.05</v>
          </cell>
          <cell r="G23">
            <v>0.05</v>
          </cell>
          <cell r="H23">
            <v>0.05</v>
          </cell>
          <cell r="I23">
            <v>3.3333333333333333E-2</v>
          </cell>
          <cell r="J23">
            <v>3.3333333333333333E-2</v>
          </cell>
          <cell r="K23">
            <v>3.3333333333333333E-2</v>
          </cell>
          <cell r="L23">
            <v>0.05</v>
          </cell>
          <cell r="M23">
            <v>0.05</v>
          </cell>
          <cell r="N23">
            <v>0.05</v>
          </cell>
          <cell r="O23">
            <v>0.05</v>
          </cell>
          <cell r="P23">
            <v>0.05</v>
          </cell>
          <cell r="Q23">
            <v>0.04</v>
          </cell>
          <cell r="R23">
            <v>0.04</v>
          </cell>
          <cell r="S23">
            <v>0.04</v>
          </cell>
          <cell r="T23">
            <v>0.04</v>
          </cell>
          <cell r="V23" t="str">
            <v>20, 25 or 30 year equipment life</v>
          </cell>
        </row>
        <row r="24">
          <cell r="B24" t="str">
            <v>Glass-New</v>
          </cell>
        </row>
        <row r="25">
          <cell r="B25" t="str">
            <v>Glass-NR</v>
          </cell>
        </row>
        <row r="26">
          <cell r="B26" t="str">
            <v>Glass-Retro</v>
          </cell>
        </row>
        <row r="27">
          <cell r="B27" t="str">
            <v>Advanced Rooftop Controller-New</v>
          </cell>
          <cell r="C27">
            <v>6.6666666666666666E-2</v>
          </cell>
          <cell r="D27">
            <v>6.6666666666666666E-2</v>
          </cell>
          <cell r="E27">
            <v>6.6666666666666666E-2</v>
          </cell>
          <cell r="F27">
            <v>6.6666666666666666E-2</v>
          </cell>
          <cell r="G27">
            <v>6.6666666666666666E-2</v>
          </cell>
          <cell r="H27">
            <v>6.6666666666666666E-2</v>
          </cell>
          <cell r="I27">
            <v>6.6666666666666666E-2</v>
          </cell>
          <cell r="J27">
            <v>6.6666666666666666E-2</v>
          </cell>
          <cell r="K27">
            <v>6.6666666666666666E-2</v>
          </cell>
          <cell r="L27">
            <v>6.6666666666666666E-2</v>
          </cell>
          <cell r="M27">
            <v>6.6666666666666666E-2</v>
          </cell>
          <cell r="N27">
            <v>6.6666666666666666E-2</v>
          </cell>
          <cell r="O27">
            <v>6.6666666666666666E-2</v>
          </cell>
          <cell r="P27">
            <v>6.6666666666666666E-2</v>
          </cell>
          <cell r="Q27">
            <v>6.6666666666666666E-2</v>
          </cell>
          <cell r="R27">
            <v>6.6666666666666666E-2</v>
          </cell>
          <cell r="S27">
            <v>6.6666666666666666E-2</v>
          </cell>
          <cell r="T27">
            <v>6.6666666666666666E-2</v>
          </cell>
        </row>
        <row r="28">
          <cell r="B28" t="str">
            <v>Advanced Rooftop Controller-NR</v>
          </cell>
          <cell r="C28">
            <v>6.6666666666666666E-2</v>
          </cell>
          <cell r="D28">
            <v>6.6666666666666666E-2</v>
          </cell>
          <cell r="E28">
            <v>6.6666666666666666E-2</v>
          </cell>
          <cell r="F28">
            <v>6.6666666666666666E-2</v>
          </cell>
          <cell r="G28">
            <v>6.6666666666666666E-2</v>
          </cell>
          <cell r="H28">
            <v>6.6666666666666666E-2</v>
          </cell>
          <cell r="I28">
            <v>6.6666666666666666E-2</v>
          </cell>
          <cell r="J28">
            <v>6.6666666666666666E-2</v>
          </cell>
          <cell r="K28">
            <v>6.6666666666666666E-2</v>
          </cell>
          <cell r="L28">
            <v>6.6666666666666666E-2</v>
          </cell>
          <cell r="M28">
            <v>6.6666666666666666E-2</v>
          </cell>
          <cell r="N28">
            <v>6.6666666666666666E-2</v>
          </cell>
          <cell r="O28">
            <v>6.6666666666666666E-2</v>
          </cell>
          <cell r="P28">
            <v>6.6666666666666666E-2</v>
          </cell>
          <cell r="Q28">
            <v>6.6666666666666666E-2</v>
          </cell>
          <cell r="R28">
            <v>6.6666666666666666E-2</v>
          </cell>
          <cell r="S28">
            <v>6.6666666666666666E-2</v>
          </cell>
          <cell r="T28">
            <v>6.6666666666666666E-2</v>
          </cell>
        </row>
        <row r="29">
          <cell r="B29" t="str">
            <v>Advanced Rooftop Controller-Retro</v>
          </cell>
          <cell r="C29">
            <v>6.6666666666666666E-2</v>
          </cell>
          <cell r="D29">
            <v>6.6666666666666666E-2</v>
          </cell>
          <cell r="E29">
            <v>6.6666666666666666E-2</v>
          </cell>
          <cell r="F29">
            <v>6.6666666666666666E-2</v>
          </cell>
          <cell r="G29">
            <v>6.6666666666666666E-2</v>
          </cell>
          <cell r="H29">
            <v>6.6666666666666666E-2</v>
          </cell>
          <cell r="I29">
            <v>6.6666666666666666E-2</v>
          </cell>
          <cell r="J29">
            <v>6.6666666666666666E-2</v>
          </cell>
          <cell r="K29">
            <v>6.6666666666666666E-2</v>
          </cell>
          <cell r="L29">
            <v>6.6666666666666666E-2</v>
          </cell>
          <cell r="M29">
            <v>6.6666666666666666E-2</v>
          </cell>
          <cell r="N29">
            <v>6.6666666666666666E-2</v>
          </cell>
          <cell r="O29">
            <v>6.6666666666666666E-2</v>
          </cell>
          <cell r="P29">
            <v>6.6666666666666666E-2</v>
          </cell>
          <cell r="Q29">
            <v>6.6666666666666666E-2</v>
          </cell>
          <cell r="R29">
            <v>6.6666666666666666E-2</v>
          </cell>
          <cell r="S29">
            <v>6.6666666666666666E-2</v>
          </cell>
          <cell r="T29">
            <v>6.6666666666666666E-2</v>
          </cell>
        </row>
        <row r="30">
          <cell r="B30" t="str">
            <v>Variable Speed Chiller-New</v>
          </cell>
        </row>
        <row r="31">
          <cell r="B31" t="str">
            <v>Variable Speed Chiller-NR</v>
          </cell>
        </row>
        <row r="32">
          <cell r="B32" t="str">
            <v>Commercial EM-New</v>
          </cell>
          <cell r="C32">
            <v>0.15</v>
          </cell>
          <cell r="D32">
            <v>0.15</v>
          </cell>
          <cell r="E32">
            <v>0.15</v>
          </cell>
          <cell r="F32">
            <v>0.15</v>
          </cell>
          <cell r="G32">
            <v>0.15</v>
          </cell>
          <cell r="H32">
            <v>0.15</v>
          </cell>
          <cell r="I32">
            <v>0.15</v>
          </cell>
          <cell r="J32">
            <v>0.15</v>
          </cell>
          <cell r="K32">
            <v>0.15</v>
          </cell>
          <cell r="L32">
            <v>0.15</v>
          </cell>
          <cell r="M32">
            <v>0.15</v>
          </cell>
          <cell r="N32">
            <v>0.15</v>
          </cell>
          <cell r="O32">
            <v>0.15</v>
          </cell>
          <cell r="P32">
            <v>0.15</v>
          </cell>
          <cell r="Q32">
            <v>0.15</v>
          </cell>
          <cell r="R32">
            <v>0.15</v>
          </cell>
          <cell r="S32">
            <v>0.15</v>
          </cell>
          <cell r="T32">
            <v>0.15</v>
          </cell>
        </row>
        <row r="33">
          <cell r="B33" t="str">
            <v>Commercial EM-NR</v>
          </cell>
          <cell r="C33">
            <v>0.15</v>
          </cell>
          <cell r="D33">
            <v>0.15</v>
          </cell>
          <cell r="E33">
            <v>0.15</v>
          </cell>
          <cell r="F33">
            <v>0.15</v>
          </cell>
          <cell r="G33">
            <v>0.15</v>
          </cell>
          <cell r="H33">
            <v>0.15</v>
          </cell>
          <cell r="I33">
            <v>0.15</v>
          </cell>
          <cell r="J33">
            <v>0.15</v>
          </cell>
          <cell r="K33">
            <v>0.15</v>
          </cell>
          <cell r="L33">
            <v>0.15</v>
          </cell>
          <cell r="M33">
            <v>0.15</v>
          </cell>
          <cell r="N33">
            <v>0.15</v>
          </cell>
          <cell r="O33">
            <v>0.15</v>
          </cell>
          <cell r="P33">
            <v>0.15</v>
          </cell>
          <cell r="Q33">
            <v>0.15</v>
          </cell>
          <cell r="R33">
            <v>0.15</v>
          </cell>
          <cell r="S33">
            <v>0.15</v>
          </cell>
          <cell r="T33">
            <v>0.15</v>
          </cell>
        </row>
        <row r="34">
          <cell r="B34" t="str">
            <v>Commercial EM-Retro</v>
          </cell>
          <cell r="C34">
            <v>0.15</v>
          </cell>
          <cell r="D34">
            <v>0.15</v>
          </cell>
          <cell r="E34">
            <v>0.15</v>
          </cell>
          <cell r="F34">
            <v>0.15</v>
          </cell>
          <cell r="G34">
            <v>0.15</v>
          </cell>
          <cell r="H34">
            <v>0.15</v>
          </cell>
          <cell r="I34">
            <v>0.15</v>
          </cell>
          <cell r="J34">
            <v>0.15</v>
          </cell>
          <cell r="K34">
            <v>0.15</v>
          </cell>
          <cell r="L34">
            <v>0.15</v>
          </cell>
          <cell r="M34">
            <v>0.15</v>
          </cell>
          <cell r="N34">
            <v>0.15</v>
          </cell>
          <cell r="O34">
            <v>0.15</v>
          </cell>
          <cell r="P34">
            <v>0.15</v>
          </cell>
          <cell r="Q34">
            <v>0.15</v>
          </cell>
          <cell r="R34">
            <v>0.15</v>
          </cell>
          <cell r="S34">
            <v>0.15</v>
          </cell>
          <cell r="T34">
            <v>0.15</v>
          </cell>
        </row>
        <row r="35">
          <cell r="B35" t="str">
            <v>Evaporative Assist Cooling-New</v>
          </cell>
        </row>
        <row r="36">
          <cell r="B36" t="str">
            <v>Evaporative Assist Cooling-NR</v>
          </cell>
        </row>
        <row r="37">
          <cell r="B37" t="str">
            <v>Low Pressure Distribution Complex HVAC-New</v>
          </cell>
        </row>
        <row r="38">
          <cell r="B38" t="str">
            <v>Demand Control Ventilation-New</v>
          </cell>
        </row>
        <row r="39">
          <cell r="B39" t="str">
            <v>Demand Control Ventilation-NR</v>
          </cell>
        </row>
        <row r="40">
          <cell r="B40" t="str">
            <v>Demand Control Ventilation-Retro</v>
          </cell>
        </row>
        <row r="41">
          <cell r="B41" t="str">
            <v>Premium Fume Hood-New</v>
          </cell>
          <cell r="C41">
            <v>0.06</v>
          </cell>
          <cell r="D41">
            <v>0.06</v>
          </cell>
          <cell r="E41">
            <v>0.06</v>
          </cell>
          <cell r="F41">
            <v>0.06</v>
          </cell>
          <cell r="G41">
            <v>0.06</v>
          </cell>
          <cell r="H41">
            <v>0.06</v>
          </cell>
          <cell r="I41">
            <v>0.06</v>
          </cell>
          <cell r="J41">
            <v>0.06</v>
          </cell>
          <cell r="K41">
            <v>0.06</v>
          </cell>
          <cell r="L41">
            <v>0.06</v>
          </cell>
          <cell r="M41">
            <v>0.06</v>
          </cell>
          <cell r="N41">
            <v>0.06</v>
          </cell>
          <cell r="O41">
            <v>0.06</v>
          </cell>
          <cell r="P41">
            <v>0.06</v>
          </cell>
          <cell r="Q41">
            <v>0.06</v>
          </cell>
          <cell r="R41">
            <v>0.06</v>
          </cell>
          <cell r="S41">
            <v>0.06</v>
          </cell>
          <cell r="T41">
            <v>0.06</v>
          </cell>
          <cell r="U41">
            <v>0.06</v>
          </cell>
        </row>
        <row r="42">
          <cell r="B42" t="str">
            <v>DCV Restaurant Hood-Retro</v>
          </cell>
        </row>
        <row r="43">
          <cell r="B43" t="str">
            <v>DCV Parking Garage-Retro</v>
          </cell>
        </row>
        <row r="44">
          <cell r="B44" t="str">
            <v>Weatherization - School-Retro</v>
          </cell>
        </row>
        <row r="45">
          <cell r="B45" t="str">
            <v>Energy Recovery Ventilator-NR</v>
          </cell>
        </row>
        <row r="46">
          <cell r="B46" t="str">
            <v>AC Heat Recovery for Water Heating-NR</v>
          </cell>
        </row>
        <row r="47">
          <cell r="B47" t="str">
            <v>Room Occupancy Sensors in Lodging-Retro</v>
          </cell>
        </row>
        <row r="48">
          <cell r="B48" t="str">
            <v>Chiller - chilled water retrofit-Retro</v>
          </cell>
        </row>
        <row r="49">
          <cell r="B49" t="str">
            <v>Chiller - equip retrofits-Retro</v>
          </cell>
        </row>
        <row r="50">
          <cell r="B50" t="str">
            <v>Pool Blankets-Retro</v>
          </cell>
        </row>
        <row r="51">
          <cell r="B51" t="str">
            <v>Web-Enabled Thermostats-Retro</v>
          </cell>
        </row>
        <row r="52">
          <cell r="B52" t="str">
            <v>Garage CO2 ventilation-Retro</v>
          </cell>
        </row>
        <row r="53">
          <cell r="B53" t="str">
            <v>Circ Pump ECM and drive-Retro</v>
          </cell>
        </row>
        <row r="54">
          <cell r="B54" t="str">
            <v>VRF-New</v>
          </cell>
        </row>
        <row r="55">
          <cell r="B55" t="str">
            <v>Cool Roofs-Retro</v>
          </cell>
        </row>
        <row r="56">
          <cell r="B56" t="str">
            <v>Evaporator Roof Top HVAC-Retro</v>
          </cell>
        </row>
        <row r="57">
          <cell r="B57" t="str">
            <v>Secondary Glazing Systems-Retro</v>
          </cell>
        </row>
        <row r="58">
          <cell r="B58" t="str">
            <v>LPD Package-New</v>
          </cell>
        </row>
        <row r="59">
          <cell r="B59" t="str">
            <v>LPD Package-NR</v>
          </cell>
        </row>
        <row r="60">
          <cell r="B60" t="str">
            <v>LPD Package-Retro</v>
          </cell>
        </row>
        <row r="61">
          <cell r="B61" t="str">
            <v>Top Daylighting-New</v>
          </cell>
        </row>
        <row r="62">
          <cell r="B62" t="str">
            <v>Perimeter Daylighting Controls Advanced-New</v>
          </cell>
        </row>
        <row r="63">
          <cell r="B63" t="str">
            <v>Perimeter Daylighting Controls Advanced-NR</v>
          </cell>
        </row>
        <row r="64">
          <cell r="B64" t="str">
            <v>Lighting Controls Interior-New</v>
          </cell>
        </row>
        <row r="65">
          <cell r="B65" t="str">
            <v>Lighting Controls Interior-NR</v>
          </cell>
        </row>
        <row r="66">
          <cell r="B66" t="str">
            <v>Exterior Building Lighting-New</v>
          </cell>
          <cell r="U66">
            <v>0.2</v>
          </cell>
          <cell r="V66" t="str">
            <v xml:space="preserve">5-year cycle (lamp cycle) for luminiares requiring bucket truck.  </v>
          </cell>
        </row>
        <row r="67">
          <cell r="B67" t="str">
            <v>Exterior Building Lighting-NR</v>
          </cell>
          <cell r="U67">
            <v>0.2</v>
          </cell>
          <cell r="V67" t="str">
            <v>20-Year Fixture Life from CBSA REN RATE</v>
          </cell>
        </row>
        <row r="68">
          <cell r="B68" t="str">
            <v>Street and Roadway Lighting-New</v>
          </cell>
          <cell r="U68">
            <v>0.2</v>
          </cell>
          <cell r="V68" t="str">
            <v>Five year cycle for streetlight relamp (DOE &amp; Tarioffs)</v>
          </cell>
        </row>
        <row r="69">
          <cell r="B69" t="str">
            <v>Street and Roadway Lighting-NR</v>
          </cell>
          <cell r="U69">
            <v>0.2</v>
          </cell>
          <cell r="V69" t="str">
            <v>Five year cycle for streetlight relamp (DOE &amp; Tarioffs)</v>
          </cell>
        </row>
        <row r="70">
          <cell r="B70" t="str">
            <v>Parking Lighting-New</v>
          </cell>
        </row>
        <row r="71">
          <cell r="B71" t="str">
            <v>Parking Lighting-NR</v>
          </cell>
        </row>
        <row r="72">
          <cell r="B72" t="str">
            <v>Luminaire Level Lighting Controls-Retro</v>
          </cell>
        </row>
        <row r="73">
          <cell r="B73" t="str">
            <v>ECM on VAV Boxes-New</v>
          </cell>
        </row>
        <row r="74">
          <cell r="B74" t="str">
            <v>ECM on VAV Boxes-NR</v>
          </cell>
        </row>
        <row r="75">
          <cell r="B75" t="str">
            <v>Pool pumps-Retro</v>
          </cell>
        </row>
        <row r="76">
          <cell r="B76" t="str">
            <v>Switched Reluctance/Permanent Magnet Motors-Retro</v>
          </cell>
        </row>
        <row r="77">
          <cell r="B77" t="str">
            <v>Motors - Rewind-NR</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B80" t="str">
            <v>Engine Generator Block Heaters-Retro</v>
          </cell>
        </row>
        <row r="81">
          <cell r="B81" t="str">
            <v>Grocery Refrigeration Bundle-Retro</v>
          </cell>
        </row>
        <row r="82">
          <cell r="B82" t="str">
            <v>Packaged Refrigeration Equipment-New</v>
          </cell>
        </row>
        <row r="83">
          <cell r="B83" t="str">
            <v>Appliances - Freezers-NR</v>
          </cell>
        </row>
        <row r="84">
          <cell r="B84" t="str">
            <v>Appliances - Refrigerators-NR</v>
          </cell>
        </row>
        <row r="85">
          <cell r="B85" t="str">
            <v>Water Cooler Controls-Retro</v>
          </cell>
        </row>
        <row r="86">
          <cell r="B86" t="str">
            <v>Commercial Clothes Washers-New</v>
          </cell>
        </row>
        <row r="87">
          <cell r="B87" t="str">
            <v>DHW - Efficient Tanks-Retro</v>
          </cell>
        </row>
        <row r="88">
          <cell r="B88" t="str">
            <v>Appliances - Clothes Washers-NR</v>
          </cell>
        </row>
        <row r="89">
          <cell r="B89" t="str">
            <v>DHW - Showerheads-Retro</v>
          </cell>
        </row>
        <row r="90">
          <cell r="B90" t="str">
            <v>Water Heating - GFHX-New</v>
          </cell>
        </row>
        <row r="91">
          <cell r="B91" t="str">
            <v>Demand Control Circulating system DHW-Retro</v>
          </cell>
        </row>
        <row r="92">
          <cell r="B92" t="str">
            <v>Central HPWH MF-Retro</v>
          </cell>
        </row>
        <row r="93">
          <cell r="B93" t="str">
            <v>Integrated Building Design-New</v>
          </cell>
        </row>
      </sheetData>
      <sheetData sheetId="8">
        <row r="11">
          <cell r="C11" t="str">
            <v>LO20Fast</v>
          </cell>
          <cell r="D11">
            <v>0.22119921692859512</v>
          </cell>
          <cell r="E11">
            <v>0.39346934028736658</v>
          </cell>
          <cell r="F11">
            <v>0.52763344725898531</v>
          </cell>
          <cell r="G11">
            <v>0.63212055882855767</v>
          </cell>
          <cell r="H11">
            <v>0.71349520313980985</v>
          </cell>
          <cell r="I11">
            <v>0.77686983985157021</v>
          </cell>
          <cell r="J11">
            <v>0.82622605654955483</v>
          </cell>
          <cell r="K11">
            <v>0.8646647167633873</v>
          </cell>
          <cell r="L11">
            <v>0.89460077543813565</v>
          </cell>
          <cell r="M11">
            <v>0.91791500137610116</v>
          </cell>
          <cell r="N11">
            <v>0.93607213879329243</v>
          </cell>
          <cell r="O11">
            <v>0.95021293163213605</v>
          </cell>
          <cell r="P11">
            <v>0.96122579216827797</v>
          </cell>
          <cell r="Q11">
            <v>0.96980261657768152</v>
          </cell>
          <cell r="R11">
            <v>0.97648225414399092</v>
          </cell>
          <cell r="S11">
            <v>0.98168436111126578</v>
          </cell>
          <cell r="T11">
            <v>0.98573576609100078</v>
          </cell>
          <cell r="U11">
            <v>0.98889100346175773</v>
          </cell>
        </row>
        <row r="12">
          <cell r="C12" t="str">
            <v>LO2Slow</v>
          </cell>
          <cell r="D12">
            <v>2.1485685902110623E-2</v>
          </cell>
          <cell r="E12">
            <v>2.4050082978948489E-2</v>
          </cell>
          <cell r="F12">
            <v>2.9176144531887088E-2</v>
          </cell>
          <cell r="G12">
            <v>3.8277698949530467E-2</v>
          </cell>
          <cell r="H12">
            <v>5.3082624679576126E-2</v>
          </cell>
          <cell r="I12">
            <v>7.5554434100062337E-2</v>
          </cell>
          <cell r="J12">
            <v>0.10773886691394473</v>
          </cell>
          <cell r="K12">
            <v>0.15151853408594881</v>
          </cell>
          <cell r="L12">
            <v>0.2082727948406938</v>
          </cell>
          <cell r="M12">
            <v>0.27846803390940134</v>
          </cell>
          <cell r="N12">
            <v>0.36124489575215812</v>
          </cell>
          <cell r="O12">
            <v>0.45411515525965296</v>
          </cell>
          <cell r="P12">
            <v>0.55291162593856868</v>
          </cell>
          <cell r="Q12">
            <v>0.65212055882855768</v>
          </cell>
          <cell r="R12">
            <v>0.74564170932280194</v>
          </cell>
          <cell r="S12">
            <v>0.82786771721966423</v>
          </cell>
          <cell r="T12">
            <v>0.8948012832470299</v>
          </cell>
          <cell r="U12">
            <v>0.94483084839047871</v>
          </cell>
        </row>
        <row r="13">
          <cell r="C13" t="str">
            <v>LOEven20</v>
          </cell>
          <cell r="D13">
            <v>0.03</v>
          </cell>
          <cell r="E13">
            <v>8.1052631578947362E-2</v>
          </cell>
          <cell r="F13">
            <v>0.13210526315789473</v>
          </cell>
          <cell r="G13">
            <v>0.1831578947368421</v>
          </cell>
          <cell r="H13">
            <v>0.23421052631578945</v>
          </cell>
          <cell r="I13">
            <v>0.28526315789473677</v>
          </cell>
          <cell r="J13">
            <v>0.33631578947368423</v>
          </cell>
          <cell r="K13">
            <v>0.38736842105263158</v>
          </cell>
          <cell r="L13">
            <v>0.43842105263157893</v>
          </cell>
          <cell r="M13">
            <v>0.48947368421052628</v>
          </cell>
          <cell r="N13">
            <v>0.54052631578947363</v>
          </cell>
          <cell r="O13">
            <v>0.59157894736842109</v>
          </cell>
          <cell r="P13">
            <v>0.64263157894736844</v>
          </cell>
          <cell r="Q13">
            <v>0.69368421052631579</v>
          </cell>
          <cell r="R13">
            <v>0.74473684210526314</v>
          </cell>
          <cell r="S13">
            <v>0.79578947368421049</v>
          </cell>
          <cell r="T13">
            <v>0.84684210526315784</v>
          </cell>
          <cell r="U13">
            <v>0.8978947368421053</v>
          </cell>
        </row>
        <row r="14">
          <cell r="C14" t="str">
            <v>LOMax60</v>
          </cell>
          <cell r="D14">
            <v>0.01</v>
          </cell>
          <cell r="E14">
            <v>2.98E-2</v>
          </cell>
          <cell r="F14">
            <v>5.8906E-2</v>
          </cell>
          <cell r="G14">
            <v>9.6549759999999998E-2</v>
          </cell>
          <cell r="H14">
            <v>0.14172227199999998</v>
          </cell>
          <cell r="I14">
            <v>0.19035800991999999</v>
          </cell>
          <cell r="J14">
            <v>0.2362377226912</v>
          </cell>
          <cell r="K14">
            <v>0.279517585072032</v>
          </cell>
          <cell r="L14">
            <v>0.32034492191795017</v>
          </cell>
          <cell r="M14">
            <v>0.35885870967593297</v>
          </cell>
          <cell r="N14">
            <v>0.39519004946096342</v>
          </cell>
          <cell r="O14">
            <v>0.42946261332484215</v>
          </cell>
          <cell r="P14">
            <v>0.46179306523643443</v>
          </cell>
          <cell r="Q14">
            <v>0.49229145820636983</v>
          </cell>
          <cell r="R14">
            <v>0.5210616089080089</v>
          </cell>
          <cell r="S14">
            <v>0.54820145106988838</v>
          </cell>
          <cell r="T14">
            <v>0.57380336884259475</v>
          </cell>
          <cell r="U14">
            <v>0.59795451127484767</v>
          </cell>
        </row>
        <row r="16">
          <cell r="B16" t="str">
            <v>Measure Index Name</v>
          </cell>
          <cell r="C16" t="str">
            <v>Ramp</v>
          </cell>
          <cell r="D16">
            <v>2016</v>
          </cell>
          <cell r="E16">
            <v>2017</v>
          </cell>
          <cell r="F16">
            <v>2018</v>
          </cell>
          <cell r="G16">
            <v>2019</v>
          </cell>
          <cell r="H16">
            <v>2020</v>
          </cell>
          <cell r="I16">
            <v>2021</v>
          </cell>
          <cell r="J16">
            <v>2022</v>
          </cell>
          <cell r="K16">
            <v>2023</v>
          </cell>
          <cell r="L16">
            <v>2024</v>
          </cell>
          <cell r="M16">
            <v>2025</v>
          </cell>
          <cell r="N16">
            <v>2026</v>
          </cell>
          <cell r="O16">
            <v>2027</v>
          </cell>
          <cell r="P16">
            <v>2028</v>
          </cell>
          <cell r="Q16">
            <v>2029</v>
          </cell>
          <cell r="R16">
            <v>2030</v>
          </cell>
          <cell r="S16">
            <v>2031</v>
          </cell>
          <cell r="T16">
            <v>2032</v>
          </cell>
          <cell r="U16">
            <v>2033</v>
          </cell>
        </row>
        <row r="17">
          <cell r="B17" t="str">
            <v>Compressed Air Controls-Retro</v>
          </cell>
          <cell r="C17" t="str">
            <v>Retro20Fast</v>
          </cell>
          <cell r="D17">
            <v>0.22119921692859512</v>
          </cell>
          <cell r="E17">
            <v>0.17227012335877145</v>
          </cell>
          <cell r="F17">
            <v>0.13416410697161874</v>
          </cell>
          <cell r="G17">
            <v>0.10448711156957236</v>
          </cell>
          <cell r="H17">
            <v>8.1374644311252187E-2</v>
          </cell>
          <cell r="I17">
            <v>6.3374636711760357E-2</v>
          </cell>
          <cell r="J17">
            <v>4.9356216697984623E-2</v>
          </cell>
          <cell r="K17">
            <v>3.8438660213832465E-2</v>
          </cell>
          <cell r="L17">
            <v>2.9936058674748356E-2</v>
          </cell>
          <cell r="M17">
            <v>2.3314225937965505E-2</v>
          </cell>
          <cell r="N17">
            <v>1.8157137417191271E-2</v>
          </cell>
          <cell r="O17">
            <v>1.4140792838843619E-2</v>
          </cell>
          <cell r="P17">
            <v>1.1012860536141922E-2</v>
          </cell>
          <cell r="Q17">
            <v>8.5768244094035495E-3</v>
          </cell>
          <cell r="R17">
            <v>6.6796375663094043E-3</v>
          </cell>
          <cell r="S17">
            <v>5.2021069672748554E-3</v>
          </cell>
          <cell r="T17">
            <v>4.051404979734996E-3</v>
          </cell>
          <cell r="U17">
            <v>3.1552373707569581E-3</v>
          </cell>
          <cell r="V17">
            <v>2.4573013351216755E-3</v>
          </cell>
          <cell r="W17">
            <v>1.913748204035115E-3</v>
          </cell>
        </row>
        <row r="18">
          <cell r="B18" t="str">
            <v>Compressed Air Improvements-Retro</v>
          </cell>
          <cell r="C18" t="str">
            <v>Retro20Fast</v>
          </cell>
          <cell r="D18">
            <v>0.22119921692859512</v>
          </cell>
          <cell r="E18">
            <v>0.17227012335877145</v>
          </cell>
          <cell r="F18">
            <v>0.13416410697161874</v>
          </cell>
          <cell r="G18">
            <v>0.10448711156957236</v>
          </cell>
          <cell r="H18">
            <v>8.1374644311252187E-2</v>
          </cell>
          <cell r="I18">
            <v>6.3374636711760357E-2</v>
          </cell>
          <cell r="J18">
            <v>4.9356216697984623E-2</v>
          </cell>
          <cell r="K18">
            <v>3.8438660213832465E-2</v>
          </cell>
          <cell r="L18">
            <v>2.9936058674748356E-2</v>
          </cell>
          <cell r="M18">
            <v>2.3314225937965505E-2</v>
          </cell>
          <cell r="N18">
            <v>1.8157137417191271E-2</v>
          </cell>
          <cell r="O18">
            <v>1.4140792838843619E-2</v>
          </cell>
          <cell r="P18">
            <v>1.1012860536141922E-2</v>
          </cell>
          <cell r="Q18">
            <v>8.5768244094035495E-3</v>
          </cell>
          <cell r="R18">
            <v>6.6796375663094043E-3</v>
          </cell>
          <cell r="S18">
            <v>5.2021069672748554E-3</v>
          </cell>
          <cell r="T18">
            <v>4.051404979734996E-3</v>
          </cell>
          <cell r="U18">
            <v>3.1552373707569581E-3</v>
          </cell>
          <cell r="V18">
            <v>2.4573013351216755E-3</v>
          </cell>
          <cell r="W18">
            <v>1.913748204035115E-3</v>
          </cell>
        </row>
        <row r="19">
          <cell r="B19" t="str">
            <v>Network PC Power Management-Retro</v>
          </cell>
          <cell r="C19" t="str">
            <v>Retro20Fast</v>
          </cell>
          <cell r="D19">
            <v>0.22119921692859512</v>
          </cell>
          <cell r="E19">
            <v>0.17227012335877145</v>
          </cell>
          <cell r="F19">
            <v>0.13416410697161874</v>
          </cell>
          <cell r="G19">
            <v>0.10448711156957236</v>
          </cell>
          <cell r="H19">
            <v>8.1374644311252187E-2</v>
          </cell>
          <cell r="I19">
            <v>6.3374636711760357E-2</v>
          </cell>
          <cell r="J19">
            <v>4.9356216697984623E-2</v>
          </cell>
          <cell r="K19">
            <v>3.8438660213832465E-2</v>
          </cell>
          <cell r="L19">
            <v>2.9936058674748356E-2</v>
          </cell>
          <cell r="M19">
            <v>2.3314225937965505E-2</v>
          </cell>
          <cell r="N19">
            <v>1.8157137417191271E-2</v>
          </cell>
          <cell r="O19">
            <v>1.4140792838843619E-2</v>
          </cell>
          <cell r="P19">
            <v>1.1012860536141922E-2</v>
          </cell>
          <cell r="Q19">
            <v>8.5768244094035495E-3</v>
          </cell>
          <cell r="R19">
            <v>6.6796375663094043E-3</v>
          </cell>
          <cell r="S19">
            <v>5.2021069672748554E-3</v>
          </cell>
          <cell r="T19">
            <v>4.051404979734996E-3</v>
          </cell>
          <cell r="U19">
            <v>3.1552373707569581E-3</v>
          </cell>
          <cell r="V19">
            <v>2.4573013351216755E-3</v>
          </cell>
          <cell r="W19">
            <v>1.913748204035115E-3</v>
          </cell>
        </row>
        <row r="20">
          <cell r="B20" t="str">
            <v>Computer Servers and IT-Retro</v>
          </cell>
          <cell r="C20" t="str">
            <v>LO6Slow</v>
          </cell>
          <cell r="D20">
            <v>6.4608251467478173E-2</v>
          </cell>
          <cell r="E20">
            <v>0.10290708810158078</v>
          </cell>
          <cell r="F20">
            <v>0.1557042303818591</v>
          </cell>
          <cell r="G20">
            <v>0.22475674884796315</v>
          </cell>
          <cell r="H20">
            <v>0.31030374631829671</v>
          </cell>
          <cell r="I20">
            <v>0.41031846935650318</v>
          </cell>
          <cell r="J20">
            <v>0.52003617370885391</v>
          </cell>
          <cell r="K20">
            <v>0.63212055882855767</v>
          </cell>
          <cell r="L20">
            <v>0.7377466404557862</v>
          </cell>
          <cell r="M20">
            <v>0.82854120445365853</v>
          </cell>
          <cell r="N20">
            <v>0.89880187144550783</v>
          </cell>
          <cell r="O20">
            <v>0.94702023185045237</v>
          </cell>
          <cell r="P20">
            <v>0.97587446646509246</v>
          </cell>
          <cell r="Q20">
            <v>0.99064843138989922</v>
          </cell>
          <cell r="R20">
            <v>0.99698696575801748</v>
          </cell>
          <cell r="S20">
            <v>0.99921382347764809</v>
          </cell>
          <cell r="T20">
            <v>0.99983853349728657</v>
          </cell>
          <cell r="U20">
            <v>0.99997469191618293</v>
          </cell>
          <cell r="V20">
            <v>0.99999707255280523</v>
          </cell>
          <cell r="W20">
            <v>0.9999997589911811</v>
          </cell>
        </row>
        <row r="21">
          <cell r="B21" t="str">
            <v>Smart Plug Power Strips-Retro</v>
          </cell>
          <cell r="C21" t="str">
            <v>Retro12Med</v>
          </cell>
          <cell r="D21">
            <v>0.14319153465074486</v>
          </cell>
          <cell r="E21">
            <v>8.8793598516714367E-2</v>
          </cell>
          <cell r="F21">
            <v>0.10852550929820654</v>
          </cell>
          <cell r="G21">
            <v>0.11937806022802716</v>
          </cell>
          <cell r="H21">
            <v>0.11937806022802716</v>
          </cell>
          <cell r="I21">
            <v>0.10942988854235813</v>
          </cell>
          <cell r="J21">
            <v>9.2594521074302993E-2</v>
          </cell>
          <cell r="K21">
            <v>7.2752837986952534E-2</v>
          </cell>
          <cell r="L21">
            <v>5.3352081190431666E-2</v>
          </cell>
          <cell r="M21">
            <v>3.6679555818421861E-2</v>
          </cell>
          <cell r="N21">
            <v>2.3733830235449394E-2</v>
          </cell>
          <cell r="O21">
            <v>1.4504007366107907E-2</v>
          </cell>
          <cell r="P21">
            <v>8.3970568961676539E-3</v>
          </cell>
          <cell r="Q21">
            <v>4.6183812928923818E-3</v>
          </cell>
          <cell r="R21">
            <v>2.4191521058007925E-3</v>
          </cell>
          <cell r="S21">
            <v>1.2095760529003963E-3</v>
          </cell>
          <cell r="T21">
            <v>5.7849289486544553E-4</v>
          </cell>
          <cell r="U21">
            <v>2.6514257681331532E-4</v>
          </cell>
          <cell r="V21">
            <v>1.1666273379762337E-4</v>
          </cell>
          <cell r="W21">
            <v>4.9357310452968761E-5</v>
          </cell>
        </row>
        <row r="22">
          <cell r="B22" t="str">
            <v>Data Centers-Retro</v>
          </cell>
          <cell r="C22" t="str">
            <v>Retro12Med</v>
          </cell>
          <cell r="D22">
            <v>0.14319153465074486</v>
          </cell>
          <cell r="E22">
            <v>8.8793598516714367E-2</v>
          </cell>
          <cell r="F22">
            <v>0.10852550929820654</v>
          </cell>
          <cell r="G22">
            <v>0.11937806022802716</v>
          </cell>
          <cell r="H22">
            <v>0.11937806022802716</v>
          </cell>
          <cell r="I22">
            <v>0.10942988854235813</v>
          </cell>
          <cell r="J22">
            <v>9.2594521074302993E-2</v>
          </cell>
          <cell r="K22">
            <v>7.2752837986952534E-2</v>
          </cell>
          <cell r="L22">
            <v>5.3352081190431666E-2</v>
          </cell>
          <cell r="M22">
            <v>3.6679555818421861E-2</v>
          </cell>
          <cell r="N22">
            <v>2.3733830235449394E-2</v>
          </cell>
          <cell r="O22">
            <v>1.4504007366107907E-2</v>
          </cell>
          <cell r="P22">
            <v>8.3970568961676539E-3</v>
          </cell>
          <cell r="Q22">
            <v>4.6183812928923818E-3</v>
          </cell>
          <cell r="R22">
            <v>2.4191521058007925E-3</v>
          </cell>
          <cell r="S22">
            <v>1.2095760529003963E-3</v>
          </cell>
          <cell r="T22">
            <v>5.7849289486544553E-4</v>
          </cell>
          <cell r="U22">
            <v>2.6514257681331532E-4</v>
          </cell>
          <cell r="V22">
            <v>1.1666273379762337E-4</v>
          </cell>
          <cell r="W22">
            <v>4.9357310452968761E-5</v>
          </cell>
        </row>
        <row r="23">
          <cell r="B23" t="str">
            <v>Commercial Computer Monitor-NR</v>
          </cell>
          <cell r="C23" t="str">
            <v>Retro12Med</v>
          </cell>
          <cell r="D23">
            <v>0.14319153465074486</v>
          </cell>
          <cell r="E23">
            <v>8.8793598516714367E-2</v>
          </cell>
          <cell r="F23">
            <v>0.10852550929820654</v>
          </cell>
          <cell r="G23">
            <v>0.11937806022802716</v>
          </cell>
          <cell r="H23">
            <v>0.11937806022802716</v>
          </cell>
          <cell r="I23">
            <v>0.10942988854235813</v>
          </cell>
          <cell r="J23">
            <v>9.2594521074302993E-2</v>
          </cell>
          <cell r="K23">
            <v>7.2752837986952534E-2</v>
          </cell>
          <cell r="L23">
            <v>5.3352081190431666E-2</v>
          </cell>
          <cell r="M23">
            <v>3.6679555818421861E-2</v>
          </cell>
          <cell r="N23">
            <v>2.3733830235449394E-2</v>
          </cell>
          <cell r="O23">
            <v>1.4504007366107907E-2</v>
          </cell>
          <cell r="P23">
            <v>8.3970568961676539E-3</v>
          </cell>
          <cell r="Q23">
            <v>4.6183812928923818E-3</v>
          </cell>
          <cell r="R23">
            <v>2.4191521058007925E-3</v>
          </cell>
          <cell r="S23">
            <v>1.2095760529003963E-3</v>
          </cell>
          <cell r="T23">
            <v>5.7849289486544553E-4</v>
          </cell>
          <cell r="U23">
            <v>2.6514257681331532E-4</v>
          </cell>
          <cell r="V23">
            <v>1.1666273379762337E-4</v>
          </cell>
          <cell r="W23">
            <v>4.9357310452968761E-5</v>
          </cell>
        </row>
        <row r="24">
          <cell r="B24" t="str">
            <v>Commercial Computer Desktop-NR</v>
          </cell>
          <cell r="C24" t="str">
            <v>Retro12Med</v>
          </cell>
          <cell r="D24">
            <v>0.14319153465074486</v>
          </cell>
          <cell r="E24">
            <v>8.8793598516714367E-2</v>
          </cell>
          <cell r="F24">
            <v>0.10852550929820654</v>
          </cell>
          <cell r="G24">
            <v>0.11937806022802716</v>
          </cell>
          <cell r="H24">
            <v>0.11937806022802716</v>
          </cell>
          <cell r="I24">
            <v>0.10942988854235813</v>
          </cell>
          <cell r="J24">
            <v>9.2594521074302993E-2</v>
          </cell>
          <cell r="K24">
            <v>7.2752837986952534E-2</v>
          </cell>
          <cell r="L24">
            <v>5.3352081190431666E-2</v>
          </cell>
          <cell r="M24">
            <v>3.6679555818421861E-2</v>
          </cell>
          <cell r="N24">
            <v>2.3733830235449394E-2</v>
          </cell>
          <cell r="O24">
            <v>1.4504007366107907E-2</v>
          </cell>
          <cell r="P24">
            <v>8.3970568961676539E-3</v>
          </cell>
          <cell r="Q24">
            <v>4.6183812928923818E-3</v>
          </cell>
          <cell r="R24">
            <v>2.4191521058007925E-3</v>
          </cell>
          <cell r="S24">
            <v>1.2095760529003963E-3</v>
          </cell>
          <cell r="T24">
            <v>5.7849289486544553E-4</v>
          </cell>
          <cell r="U24">
            <v>2.6514257681331532E-4</v>
          </cell>
          <cell r="V24">
            <v>1.1666273379762337E-4</v>
          </cell>
          <cell r="W24">
            <v>4.9357310452968761E-5</v>
          </cell>
        </row>
        <row r="25">
          <cell r="B25" t="str">
            <v>Pre-Rinse Spray Valve-Retro</v>
          </cell>
          <cell r="C25" t="str">
            <v>LO20Fast</v>
          </cell>
          <cell r="D25">
            <v>0.22119921692859512</v>
          </cell>
          <cell r="E25">
            <v>0.39346934028736658</v>
          </cell>
          <cell r="F25">
            <v>0.52763344725898531</v>
          </cell>
          <cell r="G25">
            <v>0.63212055882855767</v>
          </cell>
          <cell r="H25">
            <v>0.71349520313980985</v>
          </cell>
          <cell r="I25">
            <v>0.77686983985157021</v>
          </cell>
          <cell r="J25">
            <v>0.82622605654955483</v>
          </cell>
          <cell r="K25">
            <v>0.8646647167633873</v>
          </cell>
          <cell r="L25">
            <v>0.89460077543813565</v>
          </cell>
          <cell r="M25">
            <v>0.91791500137610116</v>
          </cell>
          <cell r="N25">
            <v>0.93607213879329243</v>
          </cell>
          <cell r="O25">
            <v>0.95021293163213605</v>
          </cell>
          <cell r="P25">
            <v>0.96122579216827797</v>
          </cell>
          <cell r="Q25">
            <v>0.96980261657768152</v>
          </cell>
          <cell r="R25">
            <v>0.97648225414399092</v>
          </cell>
          <cell r="S25">
            <v>0.98168436111126578</v>
          </cell>
          <cell r="T25">
            <v>0.98573576609100078</v>
          </cell>
          <cell r="U25">
            <v>0.98889100346175773</v>
          </cell>
          <cell r="V25">
            <v>0.99134830479687941</v>
          </cell>
          <cell r="W25">
            <v>0.99326205300091452</v>
          </cell>
        </row>
        <row r="26">
          <cell r="B26" t="str">
            <v>Cooking Equipment-NR</v>
          </cell>
          <cell r="C26" t="str">
            <v>LO12Med</v>
          </cell>
          <cell r="D26">
            <v>0.14319153465074486</v>
          </cell>
          <cell r="E26">
            <v>0.23198513316745922</v>
          </cell>
          <cell r="F26">
            <v>0.34051064246566576</v>
          </cell>
          <cell r="G26">
            <v>0.45988870269369292</v>
          </cell>
          <cell r="H26">
            <v>0.57926676292172008</v>
          </cell>
          <cell r="I26">
            <v>0.68869665146407821</v>
          </cell>
          <cell r="J26">
            <v>0.78129117253838121</v>
          </cell>
          <cell r="K26">
            <v>0.85404401052533374</v>
          </cell>
          <cell r="L26">
            <v>0.90739609171576541</v>
          </cell>
          <cell r="M26">
            <v>0.94407564753418727</v>
          </cell>
          <cell r="N26">
            <v>0.96780947776963666</v>
          </cell>
          <cell r="O26">
            <v>0.98231348513574457</v>
          </cell>
          <cell r="P26">
            <v>0.99071054203191222</v>
          </cell>
          <cell r="Q26">
            <v>0.9953289233248046</v>
          </cell>
          <cell r="R26">
            <v>0.9977480754306054</v>
          </cell>
          <cell r="S26">
            <v>0.99895765148350579</v>
          </cell>
          <cell r="T26">
            <v>0.99953614437837124</v>
          </cell>
          <cell r="U26">
            <v>0.99980128695518455</v>
          </cell>
          <cell r="V26">
            <v>0.99991794968898218</v>
          </cell>
          <cell r="W26">
            <v>0.99996730699943515</v>
          </cell>
        </row>
        <row r="27">
          <cell r="B27" t="str">
            <v>Premium HVAC Equipment-New</v>
          </cell>
          <cell r="C27" t="str">
            <v>LO20Fast</v>
          </cell>
          <cell r="D27">
            <v>0.22119921692859512</v>
          </cell>
          <cell r="E27">
            <v>0.39346934028736658</v>
          </cell>
          <cell r="F27">
            <v>0.52763344725898531</v>
          </cell>
          <cell r="G27">
            <v>0.63212055882855767</v>
          </cell>
          <cell r="H27">
            <v>0.71349520313980985</v>
          </cell>
          <cell r="I27">
            <v>0.77686983985157021</v>
          </cell>
          <cell r="J27">
            <v>0.82622605654955483</v>
          </cell>
          <cell r="K27">
            <v>0.8646647167633873</v>
          </cell>
          <cell r="L27">
            <v>0.89460077543813565</v>
          </cell>
          <cell r="M27">
            <v>0.91791500137610116</v>
          </cell>
          <cell r="N27">
            <v>0.93607213879329243</v>
          </cell>
          <cell r="O27">
            <v>0.95021293163213605</v>
          </cell>
          <cell r="P27">
            <v>0.96122579216827797</v>
          </cell>
          <cell r="Q27">
            <v>0.96980261657768152</v>
          </cell>
          <cell r="R27">
            <v>0.97648225414399092</v>
          </cell>
          <cell r="S27">
            <v>0.98168436111126578</v>
          </cell>
          <cell r="T27">
            <v>0.98573576609100078</v>
          </cell>
          <cell r="U27">
            <v>0.98889100346175773</v>
          </cell>
          <cell r="V27">
            <v>0.99134830479687941</v>
          </cell>
          <cell r="W27">
            <v>0.99326205300091452</v>
          </cell>
        </row>
        <row r="28">
          <cell r="B28" t="str">
            <v>Premium HVAC Equipment-NR</v>
          </cell>
          <cell r="C28" t="str">
            <v>LO20Fast</v>
          </cell>
          <cell r="D28">
            <v>0.22119921692859512</v>
          </cell>
          <cell r="E28">
            <v>0.39346934028736658</v>
          </cell>
          <cell r="F28">
            <v>0.52763344725898531</v>
          </cell>
          <cell r="G28">
            <v>0.63212055882855767</v>
          </cell>
          <cell r="H28">
            <v>0.71349520313980985</v>
          </cell>
          <cell r="I28">
            <v>0.77686983985157021</v>
          </cell>
          <cell r="J28">
            <v>0.82622605654955483</v>
          </cell>
          <cell r="K28">
            <v>0.8646647167633873</v>
          </cell>
          <cell r="L28">
            <v>0.89460077543813565</v>
          </cell>
          <cell r="M28">
            <v>0.91791500137610116</v>
          </cell>
          <cell r="N28">
            <v>0.93607213879329243</v>
          </cell>
          <cell r="O28">
            <v>0.95021293163213605</v>
          </cell>
          <cell r="P28">
            <v>0.96122579216827797</v>
          </cell>
          <cell r="Q28">
            <v>0.96980261657768152</v>
          </cell>
          <cell r="R28">
            <v>0.97648225414399092</v>
          </cell>
          <cell r="S28">
            <v>0.98168436111126578</v>
          </cell>
          <cell r="T28">
            <v>0.98573576609100078</v>
          </cell>
          <cell r="U28">
            <v>0.98889100346175773</v>
          </cell>
          <cell r="V28">
            <v>0.99134830479687941</v>
          </cell>
          <cell r="W28">
            <v>0.99326205300091452</v>
          </cell>
        </row>
        <row r="29">
          <cell r="B29" t="str">
            <v>Glass-New</v>
          </cell>
          <cell r="C29" t="str">
            <v>LO20Fast</v>
          </cell>
          <cell r="D29">
            <v>0.22119921692859512</v>
          </cell>
          <cell r="E29">
            <v>0.39346934028736658</v>
          </cell>
          <cell r="F29">
            <v>0.52763344725898531</v>
          </cell>
          <cell r="G29">
            <v>0.63212055882855767</v>
          </cell>
          <cell r="H29">
            <v>0.71349520313980985</v>
          </cell>
          <cell r="I29">
            <v>0.77686983985157021</v>
          </cell>
          <cell r="J29">
            <v>0.82622605654955483</v>
          </cell>
          <cell r="K29">
            <v>0.8646647167633873</v>
          </cell>
          <cell r="L29">
            <v>0.89460077543813565</v>
          </cell>
          <cell r="M29">
            <v>0.91791500137610116</v>
          </cell>
          <cell r="N29">
            <v>0.93607213879329243</v>
          </cell>
          <cell r="O29">
            <v>0.95021293163213605</v>
          </cell>
          <cell r="P29">
            <v>0.96122579216827797</v>
          </cell>
          <cell r="Q29">
            <v>0.96980261657768152</v>
          </cell>
          <cell r="R29">
            <v>0.97648225414399092</v>
          </cell>
          <cell r="S29">
            <v>0.98168436111126578</v>
          </cell>
          <cell r="T29">
            <v>0.98573576609100078</v>
          </cell>
          <cell r="U29">
            <v>0.98889100346175773</v>
          </cell>
          <cell r="V29">
            <v>0.99134830479687941</v>
          </cell>
          <cell r="W29">
            <v>0.99326205300091452</v>
          </cell>
        </row>
        <row r="30">
          <cell r="B30" t="str">
            <v>Glass-NR</v>
          </cell>
          <cell r="C30" t="str">
            <v>LO20Fast</v>
          </cell>
          <cell r="D30">
            <v>0.22119921692859512</v>
          </cell>
          <cell r="E30">
            <v>0.39346934028736658</v>
          </cell>
          <cell r="F30">
            <v>0.52763344725898531</v>
          </cell>
          <cell r="G30">
            <v>0.63212055882855767</v>
          </cell>
          <cell r="H30">
            <v>0.71349520313980985</v>
          </cell>
          <cell r="I30">
            <v>0.77686983985157021</v>
          </cell>
          <cell r="J30">
            <v>0.82622605654955483</v>
          </cell>
          <cell r="K30">
            <v>0.8646647167633873</v>
          </cell>
          <cell r="L30">
            <v>0.89460077543813565</v>
          </cell>
          <cell r="M30">
            <v>0.91791500137610116</v>
          </cell>
          <cell r="N30">
            <v>0.93607213879329243</v>
          </cell>
          <cell r="O30">
            <v>0.95021293163213605</v>
          </cell>
          <cell r="P30">
            <v>0.96122579216827797</v>
          </cell>
          <cell r="Q30">
            <v>0.96980261657768152</v>
          </cell>
          <cell r="R30">
            <v>0.97648225414399092</v>
          </cell>
          <cell r="S30">
            <v>0.98168436111126578</v>
          </cell>
          <cell r="T30">
            <v>0.98573576609100078</v>
          </cell>
          <cell r="U30">
            <v>0.98889100346175773</v>
          </cell>
          <cell r="V30">
            <v>0.99134830479687941</v>
          </cell>
          <cell r="W30">
            <v>0.99326205300091452</v>
          </cell>
        </row>
        <row r="31">
          <cell r="B31" t="str">
            <v>Glass-Retro</v>
          </cell>
          <cell r="C31" t="str">
            <v>Retro20Fast</v>
          </cell>
          <cell r="D31">
            <v>0.22119921692859512</v>
          </cell>
          <cell r="E31">
            <v>0.17227012335877145</v>
          </cell>
          <cell r="F31">
            <v>0.13416410697161874</v>
          </cell>
          <cell r="G31">
            <v>0.10448711156957236</v>
          </cell>
          <cell r="H31">
            <v>8.1374644311252187E-2</v>
          </cell>
          <cell r="I31">
            <v>6.3374636711760357E-2</v>
          </cell>
          <cell r="J31">
            <v>4.9356216697984623E-2</v>
          </cell>
          <cell r="K31">
            <v>3.8438660213832465E-2</v>
          </cell>
          <cell r="L31">
            <v>2.9936058674748356E-2</v>
          </cell>
          <cell r="M31">
            <v>2.3314225937965505E-2</v>
          </cell>
          <cell r="N31">
            <v>1.8157137417191271E-2</v>
          </cell>
          <cell r="O31">
            <v>1.4140792838843619E-2</v>
          </cell>
          <cell r="P31">
            <v>1.1012860536141922E-2</v>
          </cell>
          <cell r="Q31">
            <v>8.5768244094035495E-3</v>
          </cell>
          <cell r="R31">
            <v>6.6796375663094043E-3</v>
          </cell>
          <cell r="S31">
            <v>5.2021069672748554E-3</v>
          </cell>
          <cell r="T31">
            <v>4.051404979734996E-3</v>
          </cell>
          <cell r="U31">
            <v>3.1552373707569581E-3</v>
          </cell>
          <cell r="V31">
            <v>2.4573013351216755E-3</v>
          </cell>
          <cell r="W31">
            <v>1.913748204035115E-3</v>
          </cell>
        </row>
        <row r="32">
          <cell r="B32" t="str">
            <v>Advanced Rooftop Controller-New</v>
          </cell>
          <cell r="C32" t="str">
            <v>LO6Slow</v>
          </cell>
          <cell r="D32">
            <v>6.4608251467478173E-2</v>
          </cell>
          <cell r="E32">
            <v>0.10290708810158078</v>
          </cell>
          <cell r="F32">
            <v>0.1557042303818591</v>
          </cell>
          <cell r="G32">
            <v>0.22475674884796315</v>
          </cell>
          <cell r="H32">
            <v>0.31030374631829671</v>
          </cell>
          <cell r="I32">
            <v>0.41031846935650318</v>
          </cell>
          <cell r="J32">
            <v>0.52003617370885391</v>
          </cell>
          <cell r="K32">
            <v>0.63212055882855767</v>
          </cell>
          <cell r="L32">
            <v>0.7377466404557862</v>
          </cell>
          <cell r="M32">
            <v>0.82854120445365853</v>
          </cell>
          <cell r="N32">
            <v>0.89880187144550783</v>
          </cell>
          <cell r="O32">
            <v>0.94702023185045237</v>
          </cell>
          <cell r="P32">
            <v>0.97587446646509246</v>
          </cell>
          <cell r="Q32">
            <v>0.99064843138989922</v>
          </cell>
          <cell r="R32">
            <v>0.99698696575801748</v>
          </cell>
          <cell r="S32">
            <v>0.99921382347764809</v>
          </cell>
          <cell r="T32">
            <v>0.99983853349728657</v>
          </cell>
          <cell r="U32">
            <v>0.99997469191618293</v>
          </cell>
          <cell r="V32">
            <v>0.99999707255280523</v>
          </cell>
          <cell r="W32">
            <v>0.9999997589911811</v>
          </cell>
        </row>
        <row r="33">
          <cell r="B33" t="str">
            <v>Advanced Rooftop Controller-NR</v>
          </cell>
          <cell r="C33" t="str">
            <v>LO6Slow</v>
          </cell>
          <cell r="D33">
            <v>6.4608251467478173E-2</v>
          </cell>
          <cell r="E33">
            <v>0.10290708810158078</v>
          </cell>
          <cell r="F33">
            <v>0.1557042303818591</v>
          </cell>
          <cell r="G33">
            <v>0.22475674884796315</v>
          </cell>
          <cell r="H33">
            <v>0.31030374631829671</v>
          </cell>
          <cell r="I33">
            <v>0.41031846935650318</v>
          </cell>
          <cell r="J33">
            <v>0.52003617370885391</v>
          </cell>
          <cell r="K33">
            <v>0.63212055882855767</v>
          </cell>
          <cell r="L33">
            <v>0.7377466404557862</v>
          </cell>
          <cell r="M33">
            <v>0.82854120445365853</v>
          </cell>
          <cell r="N33">
            <v>0.89880187144550783</v>
          </cell>
          <cell r="O33">
            <v>0.94702023185045237</v>
          </cell>
          <cell r="P33">
            <v>0.97587446646509246</v>
          </cell>
          <cell r="Q33">
            <v>0.99064843138989922</v>
          </cell>
          <cell r="R33">
            <v>0.99698696575801748</v>
          </cell>
          <cell r="S33">
            <v>0.99921382347764809</v>
          </cell>
          <cell r="T33">
            <v>0.99983853349728657</v>
          </cell>
          <cell r="U33">
            <v>0.99997469191618293</v>
          </cell>
          <cell r="V33">
            <v>0.99999707255280523</v>
          </cell>
          <cell r="W33">
            <v>0.9999997589911811</v>
          </cell>
        </row>
        <row r="34">
          <cell r="B34" t="str">
            <v>Advanced Rooftop Controller-Retro</v>
          </cell>
          <cell r="C34" t="str">
            <v>Retro6Slow</v>
          </cell>
          <cell r="D34">
            <v>6.4608251467478173E-2</v>
          </cell>
          <cell r="E34">
            <v>3.8298836634102607E-2</v>
          </cell>
          <cell r="F34">
            <v>5.279714228027832E-2</v>
          </cell>
          <cell r="G34">
            <v>6.9052518466104051E-2</v>
          </cell>
          <cell r="H34">
            <v>8.5546997470333563E-2</v>
          </cell>
          <cell r="I34">
            <v>0.10001472303820647</v>
          </cell>
          <cell r="J34">
            <v>0.10971770435235073</v>
          </cell>
          <cell r="K34">
            <v>0.11208438511970376</v>
          </cell>
          <cell r="L34">
            <v>0.10562608162722853</v>
          </cell>
          <cell r="M34">
            <v>9.0794563997872335E-2</v>
          </cell>
          <cell r="N34">
            <v>7.0260666991849297E-2</v>
          </cell>
          <cell r="O34">
            <v>4.8218360404944538E-2</v>
          </cell>
          <cell r="P34">
            <v>2.8854234614640095E-2</v>
          </cell>
          <cell r="Q34">
            <v>1.4773964924806759E-2</v>
          </cell>
          <cell r="R34">
            <v>6.3385343681182649E-3</v>
          </cell>
          <cell r="S34">
            <v>2.2268577196306039E-3</v>
          </cell>
          <cell r="T34">
            <v>6.2471001963848583E-4</v>
          </cell>
          <cell r="U34">
            <v>1.3615841889635938E-4</v>
          </cell>
          <cell r="V34">
            <v>2.2380636622298944E-5</v>
          </cell>
          <cell r="W34">
            <v>2.68643837586513E-6</v>
          </cell>
        </row>
        <row r="35">
          <cell r="B35" t="str">
            <v>Variable Speed Chiller-New</v>
          </cell>
          <cell r="C35" t="str">
            <v>LO50Fast</v>
          </cell>
          <cell r="D35">
            <v>0.5033986398662943</v>
          </cell>
          <cell r="E35">
            <v>0.66232442576820405</v>
          </cell>
          <cell r="F35">
            <v>0.79060023867474538</v>
          </cell>
          <cell r="G35">
            <v>0.88119503153999024</v>
          </cell>
          <cell r="H35">
            <v>0.9380684292831718</v>
          </cell>
          <cell r="I35">
            <v>0.97020189900806941</v>
          </cell>
          <cell r="J35">
            <v>0.98670681754858502</v>
          </cell>
          <cell r="K35">
            <v>0.99447788336141119</v>
          </cell>
          <cell r="L35">
            <v>0.99785530811852396</v>
          </cell>
          <cell r="M35">
            <v>0.99921834025264467</v>
          </cell>
          <cell r="N35">
            <v>0.99973174902316331</v>
          </cell>
          <cell r="O35">
            <v>0.99991304649525281</v>
          </cell>
          <cell r="P35">
            <v>0.9999733012433295</v>
          </cell>
          <cell r="Q35">
            <v>0.99999221453925369</v>
          </cell>
          <cell r="R35">
            <v>0.99999783875619952</v>
          </cell>
          <cell r="S35">
            <v>0.99999942759748672</v>
          </cell>
          <cell r="T35">
            <v>0.99999985507145206</v>
          </cell>
          <cell r="U35">
            <v>0.99999996485453868</v>
          </cell>
          <cell r="V35">
            <v>0.99999999182299248</v>
          </cell>
          <cell r="W35">
            <v>0.99999999817181606</v>
          </cell>
        </row>
        <row r="36">
          <cell r="B36" t="str">
            <v>Variable Speed Chiller-NR</v>
          </cell>
          <cell r="C36" t="str">
            <v>LO50Fast</v>
          </cell>
          <cell r="D36">
            <v>0.5033986398662943</v>
          </cell>
          <cell r="E36">
            <v>0.66232442576820405</v>
          </cell>
          <cell r="F36">
            <v>0.79060023867474538</v>
          </cell>
          <cell r="G36">
            <v>0.88119503153999024</v>
          </cell>
          <cell r="H36">
            <v>0.9380684292831718</v>
          </cell>
          <cell r="I36">
            <v>0.97020189900806941</v>
          </cell>
          <cell r="J36">
            <v>0.98670681754858502</v>
          </cell>
          <cell r="K36">
            <v>0.99447788336141119</v>
          </cell>
          <cell r="L36">
            <v>0.99785530811852396</v>
          </cell>
          <cell r="M36">
            <v>0.99921834025264467</v>
          </cell>
          <cell r="N36">
            <v>0.99973174902316331</v>
          </cell>
          <cell r="O36">
            <v>0.99991304649525281</v>
          </cell>
          <cell r="P36">
            <v>0.9999733012433295</v>
          </cell>
          <cell r="Q36">
            <v>0.99999221453925369</v>
          </cell>
          <cell r="R36">
            <v>0.99999783875619952</v>
          </cell>
          <cell r="S36">
            <v>0.99999942759748672</v>
          </cell>
          <cell r="T36">
            <v>0.99999985507145206</v>
          </cell>
          <cell r="U36">
            <v>0.99999996485453868</v>
          </cell>
          <cell r="V36">
            <v>0.99999999182299248</v>
          </cell>
          <cell r="W36">
            <v>0.99999999817181606</v>
          </cell>
        </row>
        <row r="37">
          <cell r="B37" t="str">
            <v>Commercial EM-New</v>
          </cell>
          <cell r="C37" t="str">
            <v>LO2Slow</v>
          </cell>
          <cell r="D37">
            <v>2.1485685902110623E-2</v>
          </cell>
          <cell r="E37">
            <v>2.4050082978948489E-2</v>
          </cell>
          <cell r="F37">
            <v>2.9176144531887088E-2</v>
          </cell>
          <cell r="G37">
            <v>3.8277698949530467E-2</v>
          </cell>
          <cell r="H37">
            <v>5.3082624679576126E-2</v>
          </cell>
          <cell r="I37">
            <v>7.5554434100062337E-2</v>
          </cell>
          <cell r="J37">
            <v>0.10773886691394473</v>
          </cell>
          <cell r="K37">
            <v>0.15151853408594881</v>
          </cell>
          <cell r="L37">
            <v>0.2082727948406938</v>
          </cell>
          <cell r="M37">
            <v>0.27846803390940134</v>
          </cell>
          <cell r="N37">
            <v>0.36124489575215812</v>
          </cell>
          <cell r="O37">
            <v>0.45411515525965296</v>
          </cell>
          <cell r="P37">
            <v>0.55291162593856868</v>
          </cell>
          <cell r="Q37">
            <v>0.65212055882855768</v>
          </cell>
          <cell r="R37">
            <v>0.74564170932280194</v>
          </cell>
          <cell r="S37">
            <v>0.82786771721966423</v>
          </cell>
          <cell r="T37">
            <v>0.8948012832470299</v>
          </cell>
          <cell r="U37">
            <v>0.94483084839047871</v>
          </cell>
          <cell r="V37">
            <v>0.97885571360941082</v>
          </cell>
          <cell r="W37">
            <v>0.99970177295018547</v>
          </cell>
        </row>
        <row r="38">
          <cell r="B38" t="str">
            <v>Commercial EM-NR</v>
          </cell>
          <cell r="C38" t="str">
            <v>LO2Slow</v>
          </cell>
          <cell r="D38">
            <v>2.1485685902110623E-2</v>
          </cell>
          <cell r="E38">
            <v>2.4050082978948489E-2</v>
          </cell>
          <cell r="F38">
            <v>2.9176144531887088E-2</v>
          </cell>
          <cell r="G38">
            <v>3.8277698949530467E-2</v>
          </cell>
          <cell r="H38">
            <v>5.3082624679576126E-2</v>
          </cell>
          <cell r="I38">
            <v>7.5554434100062337E-2</v>
          </cell>
          <cell r="J38">
            <v>0.10773886691394473</v>
          </cell>
          <cell r="K38">
            <v>0.15151853408594881</v>
          </cell>
          <cell r="L38">
            <v>0.2082727948406938</v>
          </cell>
          <cell r="M38">
            <v>0.27846803390940134</v>
          </cell>
          <cell r="N38">
            <v>0.36124489575215812</v>
          </cell>
          <cell r="O38">
            <v>0.45411515525965296</v>
          </cell>
          <cell r="P38">
            <v>0.55291162593856868</v>
          </cell>
          <cell r="Q38">
            <v>0.65212055882855768</v>
          </cell>
          <cell r="R38">
            <v>0.74564170932280194</v>
          </cell>
          <cell r="S38">
            <v>0.82786771721966423</v>
          </cell>
          <cell r="T38">
            <v>0.8948012832470299</v>
          </cell>
          <cell r="U38">
            <v>0.94483084839047871</v>
          </cell>
          <cell r="V38">
            <v>0.97885571360941082</v>
          </cell>
          <cell r="W38">
            <v>0.99970177295018547</v>
          </cell>
        </row>
        <row r="39">
          <cell r="B39" t="str">
            <v>Commercial EM-Retro</v>
          </cell>
          <cell r="C39" t="str">
            <v>Retro2Slow</v>
          </cell>
          <cell r="D39">
            <v>2.1485685902110623E-2</v>
          </cell>
          <cell r="E39">
            <v>2.5643970768378654E-3</v>
          </cell>
          <cell r="F39">
            <v>5.1260615529385989E-3</v>
          </cell>
          <cell r="G39">
            <v>9.1015544176433795E-3</v>
          </cell>
          <cell r="H39">
            <v>1.4804925730045659E-2</v>
          </cell>
          <cell r="I39">
            <v>2.2471809420486211E-2</v>
          </cell>
          <cell r="J39">
            <v>3.2184432813882391E-2</v>
          </cell>
          <cell r="K39">
            <v>4.3779667172004086E-2</v>
          </cell>
          <cell r="L39">
            <v>5.675426075474499E-2</v>
          </cell>
          <cell r="M39">
            <v>7.0195239068707532E-2</v>
          </cell>
          <cell r="N39">
            <v>8.2776861842756788E-2</v>
          </cell>
          <cell r="O39">
            <v>9.2870259507494834E-2</v>
          </cell>
          <cell r="P39">
            <v>9.8796470678915727E-2</v>
          </cell>
          <cell r="Q39">
            <v>9.9208932889988999E-2</v>
          </cell>
          <cell r="R39">
            <v>9.3521150494244254E-2</v>
          </cell>
          <cell r="S39">
            <v>8.2226007896862296E-2</v>
          </cell>
          <cell r="T39">
            <v>6.6933566027365665E-2</v>
          </cell>
          <cell r="U39">
            <v>5.0029565143448806E-2</v>
          </cell>
          <cell r="V39">
            <v>3.402486521893211E-2</v>
          </cell>
          <cell r="W39">
            <v>2.0846059340774659E-2</v>
          </cell>
        </row>
        <row r="40">
          <cell r="B40" t="str">
            <v>Evaporative Assist Cooling-New</v>
          </cell>
          <cell r="C40" t="str">
            <v>LO12Med</v>
          </cell>
          <cell r="D40">
            <v>0.14319153465074486</v>
          </cell>
          <cell r="E40">
            <v>0.23198513316745922</v>
          </cell>
          <cell r="F40">
            <v>0.34051064246566576</v>
          </cell>
          <cell r="G40">
            <v>0.45988870269369292</v>
          </cell>
          <cell r="H40">
            <v>0.57926676292172008</v>
          </cell>
          <cell r="I40">
            <v>0.68869665146407821</v>
          </cell>
          <cell r="J40">
            <v>0.78129117253838121</v>
          </cell>
          <cell r="K40">
            <v>0.85404401052533374</v>
          </cell>
          <cell r="L40">
            <v>0.90739609171576541</v>
          </cell>
          <cell r="M40">
            <v>0.94407564753418727</v>
          </cell>
          <cell r="N40">
            <v>0.96780947776963666</v>
          </cell>
          <cell r="O40">
            <v>0.98231348513574457</v>
          </cell>
          <cell r="P40">
            <v>0.99071054203191222</v>
          </cell>
          <cell r="Q40">
            <v>0.9953289233248046</v>
          </cell>
          <cell r="R40">
            <v>0.9977480754306054</v>
          </cell>
          <cell r="S40">
            <v>0.99895765148350579</v>
          </cell>
          <cell r="T40">
            <v>0.99953614437837124</v>
          </cell>
          <cell r="U40">
            <v>0.99980128695518455</v>
          </cell>
          <cell r="V40">
            <v>0.99991794968898218</v>
          </cell>
          <cell r="W40">
            <v>0.99996730699943515</v>
          </cell>
        </row>
        <row r="41">
          <cell r="B41" t="str">
            <v>Evaporative Assist Cooling-NR</v>
          </cell>
          <cell r="C41" t="str">
            <v>LO12Med</v>
          </cell>
          <cell r="D41">
            <v>0.14319153465074486</v>
          </cell>
          <cell r="E41">
            <v>0.23198513316745922</v>
          </cell>
          <cell r="F41">
            <v>0.34051064246566576</v>
          </cell>
          <cell r="G41">
            <v>0.45988870269369292</v>
          </cell>
          <cell r="H41">
            <v>0.57926676292172008</v>
          </cell>
          <cell r="I41">
            <v>0.68869665146407821</v>
          </cell>
          <cell r="J41">
            <v>0.78129117253838121</v>
          </cell>
          <cell r="K41">
            <v>0.85404401052533374</v>
          </cell>
          <cell r="L41">
            <v>0.90739609171576541</v>
          </cell>
          <cell r="M41">
            <v>0.94407564753418727</v>
          </cell>
          <cell r="N41">
            <v>0.96780947776963666</v>
          </cell>
          <cell r="O41">
            <v>0.98231348513574457</v>
          </cell>
          <cell r="P41">
            <v>0.99071054203191222</v>
          </cell>
          <cell r="Q41">
            <v>0.9953289233248046</v>
          </cell>
          <cell r="R41">
            <v>0.9977480754306054</v>
          </cell>
          <cell r="S41">
            <v>0.99895765148350579</v>
          </cell>
          <cell r="T41">
            <v>0.99953614437837124</v>
          </cell>
          <cell r="U41">
            <v>0.99980128695518455</v>
          </cell>
          <cell r="V41">
            <v>0.99991794968898218</v>
          </cell>
          <cell r="W41">
            <v>0.99996730699943515</v>
          </cell>
        </row>
        <row r="42">
          <cell r="B42" t="str">
            <v>Low Pressure Distribution Complex HVAC-New</v>
          </cell>
          <cell r="C42" t="str">
            <v>LO12Med</v>
          </cell>
          <cell r="D42">
            <v>0.14319153465074486</v>
          </cell>
          <cell r="E42">
            <v>0.23198513316745922</v>
          </cell>
          <cell r="F42">
            <v>0.34051064246566576</v>
          </cell>
          <cell r="G42">
            <v>0.45988870269369292</v>
          </cell>
          <cell r="H42">
            <v>0.57926676292172008</v>
          </cell>
          <cell r="I42">
            <v>0.68869665146407821</v>
          </cell>
          <cell r="J42">
            <v>0.78129117253838121</v>
          </cell>
          <cell r="K42">
            <v>0.85404401052533374</v>
          </cell>
          <cell r="L42">
            <v>0.90739609171576541</v>
          </cell>
          <cell r="M42">
            <v>0.94407564753418727</v>
          </cell>
          <cell r="N42">
            <v>0.96780947776963666</v>
          </cell>
          <cell r="O42">
            <v>0.98231348513574457</v>
          </cell>
          <cell r="P42">
            <v>0.99071054203191222</v>
          </cell>
          <cell r="Q42">
            <v>0.9953289233248046</v>
          </cell>
          <cell r="R42">
            <v>0.9977480754306054</v>
          </cell>
          <cell r="S42">
            <v>0.99895765148350579</v>
          </cell>
          <cell r="T42">
            <v>0.99953614437837124</v>
          </cell>
          <cell r="U42">
            <v>0.99980128695518455</v>
          </cell>
          <cell r="V42">
            <v>0.99991794968898218</v>
          </cell>
          <cell r="W42">
            <v>0.99996730699943515</v>
          </cell>
        </row>
        <row r="43">
          <cell r="B43" t="str">
            <v>Demand Control Ventilation-New</v>
          </cell>
          <cell r="C43" t="str">
            <v>LO20Fast</v>
          </cell>
          <cell r="D43">
            <v>0.22119921692859512</v>
          </cell>
          <cell r="E43">
            <v>0.39346934028736658</v>
          </cell>
          <cell r="F43">
            <v>0.52763344725898531</v>
          </cell>
          <cell r="G43">
            <v>0.63212055882855767</v>
          </cell>
          <cell r="H43">
            <v>0.71349520313980985</v>
          </cell>
          <cell r="I43">
            <v>0.77686983985157021</v>
          </cell>
          <cell r="J43">
            <v>0.82622605654955483</v>
          </cell>
          <cell r="K43">
            <v>0.8646647167633873</v>
          </cell>
          <cell r="L43">
            <v>0.89460077543813565</v>
          </cell>
          <cell r="M43">
            <v>0.91791500137610116</v>
          </cell>
          <cell r="N43">
            <v>0.93607213879329243</v>
          </cell>
          <cell r="O43">
            <v>0.95021293163213605</v>
          </cell>
          <cell r="P43">
            <v>0.96122579216827797</v>
          </cell>
          <cell r="Q43">
            <v>0.96980261657768152</v>
          </cell>
          <cell r="R43">
            <v>0.97648225414399092</v>
          </cell>
          <cell r="S43">
            <v>0.98168436111126578</v>
          </cell>
          <cell r="T43">
            <v>0.98573576609100078</v>
          </cell>
          <cell r="U43">
            <v>0.98889100346175773</v>
          </cell>
          <cell r="V43">
            <v>0.99134830479687941</v>
          </cell>
          <cell r="W43">
            <v>0.99326205300091452</v>
          </cell>
        </row>
        <row r="44">
          <cell r="B44" t="str">
            <v>Demand Control Ventilation-NR</v>
          </cell>
          <cell r="C44" t="str">
            <v>LO6Slow</v>
          </cell>
          <cell r="D44">
            <v>6.4608251467478173E-2</v>
          </cell>
          <cell r="E44">
            <v>0.10290708810158078</v>
          </cell>
          <cell r="F44">
            <v>0.1557042303818591</v>
          </cell>
          <cell r="G44">
            <v>0.22475674884796315</v>
          </cell>
          <cell r="H44">
            <v>0.31030374631829671</v>
          </cell>
          <cell r="I44">
            <v>0.41031846935650318</v>
          </cell>
          <cell r="J44">
            <v>0.52003617370885391</v>
          </cell>
          <cell r="K44">
            <v>0.63212055882855767</v>
          </cell>
          <cell r="L44">
            <v>0.7377466404557862</v>
          </cell>
          <cell r="M44">
            <v>0.82854120445365853</v>
          </cell>
          <cell r="N44">
            <v>0.89880187144550783</v>
          </cell>
          <cell r="O44">
            <v>0.94702023185045237</v>
          </cell>
          <cell r="P44">
            <v>0.97587446646509246</v>
          </cell>
          <cell r="Q44">
            <v>0.99064843138989922</v>
          </cell>
          <cell r="R44">
            <v>0.99698696575801748</v>
          </cell>
          <cell r="S44">
            <v>0.99921382347764809</v>
          </cell>
          <cell r="T44">
            <v>0.99983853349728657</v>
          </cell>
          <cell r="U44">
            <v>0.99997469191618293</v>
          </cell>
          <cell r="V44">
            <v>0.99999707255280523</v>
          </cell>
          <cell r="W44">
            <v>0.9999997589911811</v>
          </cell>
        </row>
        <row r="45">
          <cell r="B45" t="str">
            <v>Demand Control Ventilation-Retro</v>
          </cell>
          <cell r="C45" t="str">
            <v>Retro20Fast</v>
          </cell>
          <cell r="D45">
            <v>0.22119921692859512</v>
          </cell>
          <cell r="E45">
            <v>0.17227012335877145</v>
          </cell>
          <cell r="F45">
            <v>0.13416410697161874</v>
          </cell>
          <cell r="G45">
            <v>0.10448711156957236</v>
          </cell>
          <cell r="H45">
            <v>8.1374644311252187E-2</v>
          </cell>
          <cell r="I45">
            <v>6.3374636711760357E-2</v>
          </cell>
          <cell r="J45">
            <v>4.9356216697984623E-2</v>
          </cell>
          <cell r="K45">
            <v>3.8438660213832465E-2</v>
          </cell>
          <cell r="L45">
            <v>2.9936058674748356E-2</v>
          </cell>
          <cell r="M45">
            <v>2.3314225937965505E-2</v>
          </cell>
          <cell r="N45">
            <v>1.8157137417191271E-2</v>
          </cell>
          <cell r="O45">
            <v>1.4140792838843619E-2</v>
          </cell>
          <cell r="P45">
            <v>1.1012860536141922E-2</v>
          </cell>
          <cell r="Q45">
            <v>8.5768244094035495E-3</v>
          </cell>
          <cell r="R45">
            <v>6.6796375663094043E-3</v>
          </cell>
          <cell r="S45">
            <v>5.2021069672748554E-3</v>
          </cell>
          <cell r="T45">
            <v>4.051404979734996E-3</v>
          </cell>
          <cell r="U45">
            <v>3.1552373707569581E-3</v>
          </cell>
          <cell r="V45">
            <v>2.4573013351216755E-3</v>
          </cell>
          <cell r="W45">
            <v>1.913748204035115E-3</v>
          </cell>
        </row>
        <row r="46">
          <cell r="B46" t="str">
            <v>Premium Fume Hood-New</v>
          </cell>
          <cell r="C46" t="str">
            <v>LO20Fast</v>
          </cell>
          <cell r="D46">
            <v>0.22119921692859512</v>
          </cell>
          <cell r="E46">
            <v>0.39346934028736658</v>
          </cell>
          <cell r="F46">
            <v>0.52763344725898531</v>
          </cell>
          <cell r="G46">
            <v>0.63212055882855767</v>
          </cell>
          <cell r="H46">
            <v>0.71349520313980985</v>
          </cell>
          <cell r="I46">
            <v>0.77686983985157021</v>
          </cell>
          <cell r="J46">
            <v>0.82622605654955483</v>
          </cell>
          <cell r="K46">
            <v>0.8646647167633873</v>
          </cell>
          <cell r="L46">
            <v>0.89460077543813565</v>
          </cell>
          <cell r="M46">
            <v>0.91791500137610116</v>
          </cell>
          <cell r="N46">
            <v>0.93607213879329243</v>
          </cell>
          <cell r="O46">
            <v>0.95021293163213605</v>
          </cell>
          <cell r="P46">
            <v>0.96122579216827797</v>
          </cell>
          <cell r="Q46">
            <v>0.96980261657768152</v>
          </cell>
          <cell r="R46">
            <v>0.97648225414399092</v>
          </cell>
          <cell r="S46">
            <v>0.98168436111126578</v>
          </cell>
          <cell r="T46">
            <v>0.98573576609100078</v>
          </cell>
          <cell r="U46">
            <v>0.98889100346175773</v>
          </cell>
          <cell r="V46">
            <v>0.99134830479687941</v>
          </cell>
          <cell r="W46">
            <v>0.99326205300091452</v>
          </cell>
        </row>
        <row r="47">
          <cell r="B47" t="str">
            <v>DCV Restaurant Hood-Retro</v>
          </cell>
          <cell r="C47" t="str">
            <v>Retro20Fast</v>
          </cell>
          <cell r="D47">
            <v>0.22119921692859512</v>
          </cell>
          <cell r="E47">
            <v>0.17227012335877145</v>
          </cell>
          <cell r="F47">
            <v>0.13416410697161874</v>
          </cell>
          <cell r="G47">
            <v>0.10448711156957236</v>
          </cell>
          <cell r="H47">
            <v>8.1374644311252187E-2</v>
          </cell>
          <cell r="I47">
            <v>6.3374636711760357E-2</v>
          </cell>
          <cell r="J47">
            <v>4.9356216697984623E-2</v>
          </cell>
          <cell r="K47">
            <v>3.8438660213832465E-2</v>
          </cell>
          <cell r="L47">
            <v>2.9936058674748356E-2</v>
          </cell>
          <cell r="M47">
            <v>2.3314225937965505E-2</v>
          </cell>
          <cell r="N47">
            <v>1.8157137417191271E-2</v>
          </cell>
          <cell r="O47">
            <v>1.4140792838843619E-2</v>
          </cell>
          <cell r="P47">
            <v>1.1012860536141922E-2</v>
          </cell>
          <cell r="Q47">
            <v>8.5768244094035495E-3</v>
          </cell>
          <cell r="R47">
            <v>6.6796375663094043E-3</v>
          </cell>
          <cell r="S47">
            <v>5.2021069672748554E-3</v>
          </cell>
          <cell r="T47">
            <v>4.051404979734996E-3</v>
          </cell>
          <cell r="U47">
            <v>3.1552373707569581E-3</v>
          </cell>
          <cell r="V47">
            <v>2.4573013351216755E-3</v>
          </cell>
          <cell r="W47">
            <v>1.913748204035115E-3</v>
          </cell>
        </row>
        <row r="48">
          <cell r="B48" t="str">
            <v>DCV Parking Garage-Retro</v>
          </cell>
          <cell r="C48" t="str">
            <v>Retro20Fast</v>
          </cell>
          <cell r="D48">
            <v>0.22119921692859512</v>
          </cell>
          <cell r="E48">
            <v>0.17227012335877145</v>
          </cell>
          <cell r="F48">
            <v>0.13416410697161874</v>
          </cell>
          <cell r="G48">
            <v>0.10448711156957236</v>
          </cell>
          <cell r="H48">
            <v>8.1374644311252187E-2</v>
          </cell>
          <cell r="I48">
            <v>6.3374636711760357E-2</v>
          </cell>
          <cell r="J48">
            <v>4.9356216697984623E-2</v>
          </cell>
          <cell r="K48">
            <v>3.8438660213832465E-2</v>
          </cell>
          <cell r="L48">
            <v>2.9936058674748356E-2</v>
          </cell>
          <cell r="M48">
            <v>2.3314225937965505E-2</v>
          </cell>
          <cell r="N48">
            <v>1.8157137417191271E-2</v>
          </cell>
          <cell r="O48">
            <v>1.4140792838843619E-2</v>
          </cell>
          <cell r="P48">
            <v>1.1012860536141922E-2</v>
          </cell>
          <cell r="Q48">
            <v>8.5768244094035495E-3</v>
          </cell>
          <cell r="R48">
            <v>6.6796375663094043E-3</v>
          </cell>
          <cell r="S48">
            <v>5.2021069672748554E-3</v>
          </cell>
          <cell r="T48">
            <v>4.051404979734996E-3</v>
          </cell>
          <cell r="U48">
            <v>3.1552373707569581E-3</v>
          </cell>
          <cell r="V48">
            <v>2.4573013351216755E-3</v>
          </cell>
          <cell r="W48">
            <v>1.913748204035115E-3</v>
          </cell>
        </row>
        <row r="49">
          <cell r="B49" t="str">
            <v>Weatherization - School-Retro</v>
          </cell>
          <cell r="C49" t="str">
            <v>Retro20Fast</v>
          </cell>
          <cell r="D49">
            <v>0.22119921692859512</v>
          </cell>
          <cell r="E49">
            <v>0.17227012335877145</v>
          </cell>
          <cell r="F49">
            <v>0.13416410697161874</v>
          </cell>
          <cell r="G49">
            <v>0.10448711156957236</v>
          </cell>
          <cell r="H49">
            <v>8.1374644311252187E-2</v>
          </cell>
          <cell r="I49">
            <v>6.3374636711760357E-2</v>
          </cell>
          <cell r="J49">
            <v>4.9356216697984623E-2</v>
          </cell>
          <cell r="K49">
            <v>3.8438660213832465E-2</v>
          </cell>
          <cell r="L49">
            <v>2.9936058674748356E-2</v>
          </cell>
          <cell r="M49">
            <v>2.3314225937965505E-2</v>
          </cell>
          <cell r="N49">
            <v>1.8157137417191271E-2</v>
          </cell>
          <cell r="O49">
            <v>1.4140792838843619E-2</v>
          </cell>
          <cell r="P49">
            <v>1.1012860536141922E-2</v>
          </cell>
          <cell r="Q49">
            <v>8.5768244094035495E-3</v>
          </cell>
          <cell r="R49">
            <v>6.6796375663094043E-3</v>
          </cell>
          <cell r="S49">
            <v>5.2021069672748554E-3</v>
          </cell>
          <cell r="T49">
            <v>4.051404979734996E-3</v>
          </cell>
          <cell r="U49">
            <v>3.1552373707569581E-3</v>
          </cell>
          <cell r="V49">
            <v>2.4573013351216755E-3</v>
          </cell>
          <cell r="W49">
            <v>1.913748204035115E-3</v>
          </cell>
        </row>
        <row r="50">
          <cell r="B50" t="str">
            <v>Energy Recovery Ventilator-NR</v>
          </cell>
          <cell r="C50" t="str">
            <v>LO12Med</v>
          </cell>
          <cell r="D50">
            <v>0.14319153465074486</v>
          </cell>
          <cell r="E50">
            <v>0.23198513316745922</v>
          </cell>
          <cell r="F50">
            <v>0.34051064246566576</v>
          </cell>
          <cell r="G50">
            <v>0.45988870269369292</v>
          </cell>
          <cell r="H50">
            <v>0.57926676292172008</v>
          </cell>
          <cell r="I50">
            <v>0.68869665146407821</v>
          </cell>
          <cell r="J50">
            <v>0.78129117253838121</v>
          </cell>
          <cell r="K50">
            <v>0.85404401052533374</v>
          </cell>
          <cell r="L50">
            <v>0.90739609171576541</v>
          </cell>
          <cell r="M50">
            <v>0.94407564753418727</v>
          </cell>
          <cell r="N50">
            <v>0.96780947776963666</v>
          </cell>
          <cell r="O50">
            <v>0.98231348513574457</v>
          </cell>
          <cell r="P50">
            <v>0.99071054203191222</v>
          </cell>
          <cell r="Q50">
            <v>0.9953289233248046</v>
          </cell>
          <cell r="R50">
            <v>0.9977480754306054</v>
          </cell>
          <cell r="S50">
            <v>0.99895765148350579</v>
          </cell>
          <cell r="T50">
            <v>0.99953614437837124</v>
          </cell>
          <cell r="U50">
            <v>0.99980128695518455</v>
          </cell>
          <cell r="V50">
            <v>0.99991794968898218</v>
          </cell>
          <cell r="W50">
            <v>0.99996730699943515</v>
          </cell>
        </row>
        <row r="51">
          <cell r="B51" t="str">
            <v>AC Heat Recovery for Water Heating-NR</v>
          </cell>
          <cell r="C51" t="str">
            <v>LO6Slow</v>
          </cell>
          <cell r="D51">
            <v>6.4608251467478173E-2</v>
          </cell>
          <cell r="E51">
            <v>0.10290708810158078</v>
          </cell>
          <cell r="F51">
            <v>0.1557042303818591</v>
          </cell>
          <cell r="G51">
            <v>0.22475674884796315</v>
          </cell>
          <cell r="H51">
            <v>0.31030374631829671</v>
          </cell>
          <cell r="I51">
            <v>0.41031846935650318</v>
          </cell>
          <cell r="J51">
            <v>0.52003617370885391</v>
          </cell>
          <cell r="K51">
            <v>0.63212055882855767</v>
          </cell>
          <cell r="L51">
            <v>0.7377466404557862</v>
          </cell>
          <cell r="M51">
            <v>0.82854120445365853</v>
          </cell>
          <cell r="N51">
            <v>0.89880187144550783</v>
          </cell>
          <cell r="O51">
            <v>0.94702023185045237</v>
          </cell>
          <cell r="P51">
            <v>0.97587446646509246</v>
          </cell>
          <cell r="Q51">
            <v>0.99064843138989922</v>
          </cell>
          <cell r="R51">
            <v>0.99698696575801748</v>
          </cell>
          <cell r="S51">
            <v>0.99921382347764809</v>
          </cell>
          <cell r="T51">
            <v>0.99983853349728657</v>
          </cell>
          <cell r="U51">
            <v>0.99997469191618293</v>
          </cell>
          <cell r="V51">
            <v>0.99999707255280523</v>
          </cell>
          <cell r="W51">
            <v>0.9999997589911811</v>
          </cell>
        </row>
        <row r="52">
          <cell r="B52" t="str">
            <v>Room Occupancy Sensors in Lodging-Retro</v>
          </cell>
          <cell r="C52" t="str">
            <v>LO6Slow</v>
          </cell>
          <cell r="D52">
            <v>6.4608251467478173E-2</v>
          </cell>
          <cell r="E52">
            <v>0.10290708810158078</v>
          </cell>
          <cell r="F52">
            <v>0.1557042303818591</v>
          </cell>
          <cell r="G52">
            <v>0.22475674884796315</v>
          </cell>
          <cell r="H52">
            <v>0.31030374631829671</v>
          </cell>
          <cell r="I52">
            <v>0.41031846935650318</v>
          </cell>
          <cell r="J52">
            <v>0.52003617370885391</v>
          </cell>
          <cell r="K52">
            <v>0.63212055882855767</v>
          </cell>
          <cell r="L52">
            <v>0.7377466404557862</v>
          </cell>
          <cell r="M52">
            <v>0.82854120445365853</v>
          </cell>
          <cell r="N52">
            <v>0.89880187144550783</v>
          </cell>
          <cell r="O52">
            <v>0.94702023185045237</v>
          </cell>
          <cell r="P52">
            <v>0.97587446646509246</v>
          </cell>
          <cell r="Q52">
            <v>0.99064843138989922</v>
          </cell>
          <cell r="R52">
            <v>0.99698696575801748</v>
          </cell>
          <cell r="S52">
            <v>0.99921382347764809</v>
          </cell>
          <cell r="T52">
            <v>0.99983853349728657</v>
          </cell>
          <cell r="U52">
            <v>0.99997469191618293</v>
          </cell>
          <cell r="V52">
            <v>0.99999707255280523</v>
          </cell>
          <cell r="W52">
            <v>0.9999997589911811</v>
          </cell>
        </row>
        <row r="53">
          <cell r="B53" t="str">
            <v>Chiller - chilled water retrofit-Retro</v>
          </cell>
          <cell r="C53" t="str">
            <v>Retro20Fast</v>
          </cell>
          <cell r="D53">
            <v>0.22119921692859512</v>
          </cell>
          <cell r="E53">
            <v>0.17227012335877145</v>
          </cell>
          <cell r="F53">
            <v>0.13416410697161874</v>
          </cell>
          <cell r="G53">
            <v>0.10448711156957236</v>
          </cell>
          <cell r="H53">
            <v>8.1374644311252187E-2</v>
          </cell>
          <cell r="I53">
            <v>6.3374636711760357E-2</v>
          </cell>
          <cell r="J53">
            <v>4.9356216697984623E-2</v>
          </cell>
          <cell r="K53">
            <v>3.8438660213832465E-2</v>
          </cell>
          <cell r="L53">
            <v>2.9936058674748356E-2</v>
          </cell>
          <cell r="M53">
            <v>2.3314225937965505E-2</v>
          </cell>
          <cell r="N53">
            <v>1.8157137417191271E-2</v>
          </cell>
          <cell r="O53">
            <v>1.4140792838843619E-2</v>
          </cell>
          <cell r="P53">
            <v>1.1012860536141922E-2</v>
          </cell>
          <cell r="Q53">
            <v>8.5768244094035495E-3</v>
          </cell>
          <cell r="R53">
            <v>6.6796375663094043E-3</v>
          </cell>
          <cell r="S53">
            <v>5.2021069672748554E-3</v>
          </cell>
          <cell r="T53">
            <v>4.051404979734996E-3</v>
          </cell>
          <cell r="U53">
            <v>3.1552373707569581E-3</v>
          </cell>
          <cell r="V53">
            <v>2.4573013351216755E-3</v>
          </cell>
          <cell r="W53">
            <v>1.913748204035115E-3</v>
          </cell>
        </row>
        <row r="54">
          <cell r="B54" t="str">
            <v>Chiller - equip retrofits-Retro</v>
          </cell>
          <cell r="C54" t="str">
            <v>Retro20Fast</v>
          </cell>
          <cell r="D54">
            <v>0.22119921692859512</v>
          </cell>
          <cell r="E54">
            <v>0.17227012335877145</v>
          </cell>
          <cell r="F54">
            <v>0.13416410697161874</v>
          </cell>
          <cell r="G54">
            <v>0.10448711156957236</v>
          </cell>
          <cell r="H54">
            <v>8.1374644311252187E-2</v>
          </cell>
          <cell r="I54">
            <v>6.3374636711760357E-2</v>
          </cell>
          <cell r="J54">
            <v>4.9356216697984623E-2</v>
          </cell>
          <cell r="K54">
            <v>3.8438660213832465E-2</v>
          </cell>
          <cell r="L54">
            <v>2.9936058674748356E-2</v>
          </cell>
          <cell r="M54">
            <v>2.3314225937965505E-2</v>
          </cell>
          <cell r="N54">
            <v>1.8157137417191271E-2</v>
          </cell>
          <cell r="O54">
            <v>1.4140792838843619E-2</v>
          </cell>
          <cell r="P54">
            <v>1.1012860536141922E-2</v>
          </cell>
          <cell r="Q54">
            <v>8.5768244094035495E-3</v>
          </cell>
          <cell r="R54">
            <v>6.6796375663094043E-3</v>
          </cell>
          <cell r="S54">
            <v>5.2021069672748554E-3</v>
          </cell>
          <cell r="T54">
            <v>4.051404979734996E-3</v>
          </cell>
          <cell r="U54">
            <v>3.1552373707569581E-3</v>
          </cell>
          <cell r="V54">
            <v>2.4573013351216755E-3</v>
          </cell>
          <cell r="W54">
            <v>1.913748204035115E-3</v>
          </cell>
        </row>
        <row r="55">
          <cell r="B55" t="str">
            <v>Pool Blankets-Retro</v>
          </cell>
          <cell r="C55" t="str">
            <v>Retro20Fast</v>
          </cell>
          <cell r="D55">
            <v>0.22119921692859512</v>
          </cell>
          <cell r="E55">
            <v>0.17227012335877145</v>
          </cell>
          <cell r="F55">
            <v>0.13416410697161874</v>
          </cell>
          <cell r="G55">
            <v>0.10448711156957236</v>
          </cell>
          <cell r="H55">
            <v>8.1374644311252187E-2</v>
          </cell>
          <cell r="I55">
            <v>6.3374636711760357E-2</v>
          </cell>
          <cell r="J55">
            <v>4.9356216697984623E-2</v>
          </cell>
          <cell r="K55">
            <v>3.8438660213832465E-2</v>
          </cell>
          <cell r="L55">
            <v>2.9936058674748356E-2</v>
          </cell>
          <cell r="M55">
            <v>2.3314225937965505E-2</v>
          </cell>
          <cell r="N55">
            <v>1.8157137417191271E-2</v>
          </cell>
          <cell r="O55">
            <v>1.4140792838843619E-2</v>
          </cell>
          <cell r="P55">
            <v>1.1012860536141922E-2</v>
          </cell>
          <cell r="Q55">
            <v>8.5768244094035495E-3</v>
          </cell>
          <cell r="R55">
            <v>6.6796375663094043E-3</v>
          </cell>
          <cell r="S55">
            <v>5.2021069672748554E-3</v>
          </cell>
          <cell r="T55">
            <v>4.051404979734996E-3</v>
          </cell>
          <cell r="U55">
            <v>3.1552373707569581E-3</v>
          </cell>
          <cell r="V55">
            <v>2.4573013351216755E-3</v>
          </cell>
          <cell r="W55">
            <v>1.913748204035115E-3</v>
          </cell>
        </row>
        <row r="56">
          <cell r="B56" t="str">
            <v>Web-Enabled Thermostats-Retro</v>
          </cell>
          <cell r="C56" t="str">
            <v>Retro20Fast</v>
          </cell>
          <cell r="D56">
            <v>0.22119921692859512</v>
          </cell>
          <cell r="E56">
            <v>0.17227012335877145</v>
          </cell>
          <cell r="F56">
            <v>0.13416410697161874</v>
          </cell>
          <cell r="G56">
            <v>0.10448711156957236</v>
          </cell>
          <cell r="H56">
            <v>8.1374644311252187E-2</v>
          </cell>
          <cell r="I56">
            <v>6.3374636711760357E-2</v>
          </cell>
          <cell r="J56">
            <v>4.9356216697984623E-2</v>
          </cell>
          <cell r="K56">
            <v>3.8438660213832465E-2</v>
          </cell>
          <cell r="L56">
            <v>2.9936058674748356E-2</v>
          </cell>
          <cell r="M56">
            <v>2.3314225937965505E-2</v>
          </cell>
          <cell r="N56">
            <v>1.8157137417191271E-2</v>
          </cell>
          <cell r="O56">
            <v>1.4140792838843619E-2</v>
          </cell>
          <cell r="P56">
            <v>1.1012860536141922E-2</v>
          </cell>
          <cell r="Q56">
            <v>8.5768244094035495E-3</v>
          </cell>
          <cell r="R56">
            <v>6.6796375663094043E-3</v>
          </cell>
          <cell r="S56">
            <v>5.2021069672748554E-3</v>
          </cell>
          <cell r="T56">
            <v>4.051404979734996E-3</v>
          </cell>
          <cell r="U56">
            <v>3.1552373707569581E-3</v>
          </cell>
          <cell r="V56">
            <v>2.4573013351216755E-3</v>
          </cell>
          <cell r="W56">
            <v>1.913748204035115E-3</v>
          </cell>
        </row>
        <row r="57">
          <cell r="B57" t="str">
            <v>Garage CO2 ventilation-Retro</v>
          </cell>
          <cell r="C57" t="str">
            <v>Retro20Fast</v>
          </cell>
          <cell r="D57">
            <v>0.22119921692859512</v>
          </cell>
          <cell r="E57">
            <v>0.17227012335877145</v>
          </cell>
          <cell r="F57">
            <v>0.13416410697161874</v>
          </cell>
          <cell r="G57">
            <v>0.10448711156957236</v>
          </cell>
          <cell r="H57">
            <v>8.1374644311252187E-2</v>
          </cell>
          <cell r="I57">
            <v>6.3374636711760357E-2</v>
          </cell>
          <cell r="J57">
            <v>4.9356216697984623E-2</v>
          </cell>
          <cell r="K57">
            <v>3.8438660213832465E-2</v>
          </cell>
          <cell r="L57">
            <v>2.9936058674748356E-2</v>
          </cell>
          <cell r="M57">
            <v>2.3314225937965505E-2</v>
          </cell>
          <cell r="N57">
            <v>1.8157137417191271E-2</v>
          </cell>
          <cell r="O57">
            <v>1.4140792838843619E-2</v>
          </cell>
          <cell r="P57">
            <v>1.1012860536141922E-2</v>
          </cell>
          <cell r="Q57">
            <v>8.5768244094035495E-3</v>
          </cell>
          <cell r="R57">
            <v>6.6796375663094043E-3</v>
          </cell>
          <cell r="S57">
            <v>5.2021069672748554E-3</v>
          </cell>
          <cell r="T57">
            <v>4.051404979734996E-3</v>
          </cell>
          <cell r="U57">
            <v>3.1552373707569581E-3</v>
          </cell>
          <cell r="V57">
            <v>2.4573013351216755E-3</v>
          </cell>
          <cell r="W57">
            <v>1.913748204035115E-3</v>
          </cell>
        </row>
        <row r="58">
          <cell r="B58" t="str">
            <v>Circ Pump ECM and drive-Retro</v>
          </cell>
          <cell r="C58" t="str">
            <v>Retro20Fast</v>
          </cell>
          <cell r="D58">
            <v>0.22119921692859512</v>
          </cell>
          <cell r="E58">
            <v>0.17227012335877145</v>
          </cell>
          <cell r="F58">
            <v>0.13416410697161874</v>
          </cell>
          <cell r="G58">
            <v>0.10448711156957236</v>
          </cell>
          <cell r="H58">
            <v>8.1374644311252187E-2</v>
          </cell>
          <cell r="I58">
            <v>6.3374636711760357E-2</v>
          </cell>
          <cell r="J58">
            <v>4.9356216697984623E-2</v>
          </cell>
          <cell r="K58">
            <v>3.8438660213832465E-2</v>
          </cell>
          <cell r="L58">
            <v>2.9936058674748356E-2</v>
          </cell>
          <cell r="M58">
            <v>2.3314225937965505E-2</v>
          </cell>
          <cell r="N58">
            <v>1.8157137417191271E-2</v>
          </cell>
          <cell r="O58">
            <v>1.4140792838843619E-2</v>
          </cell>
          <cell r="P58">
            <v>1.1012860536141922E-2</v>
          </cell>
          <cell r="Q58">
            <v>8.5768244094035495E-3</v>
          </cell>
          <cell r="R58">
            <v>6.6796375663094043E-3</v>
          </cell>
          <cell r="S58">
            <v>5.2021069672748554E-3</v>
          </cell>
          <cell r="T58">
            <v>4.051404979734996E-3</v>
          </cell>
          <cell r="U58">
            <v>3.1552373707569581E-3</v>
          </cell>
          <cell r="V58">
            <v>2.4573013351216755E-3</v>
          </cell>
          <cell r="W58">
            <v>1.913748204035115E-3</v>
          </cell>
        </row>
        <row r="59">
          <cell r="B59" t="str">
            <v>VRF-New</v>
          </cell>
          <cell r="C59" t="str">
            <v>LO6Slow</v>
          </cell>
          <cell r="D59">
            <v>6.4608251467478173E-2</v>
          </cell>
          <cell r="E59">
            <v>0.10290708810158078</v>
          </cell>
          <cell r="F59">
            <v>0.1557042303818591</v>
          </cell>
          <cell r="G59">
            <v>0.22475674884796315</v>
          </cell>
          <cell r="H59">
            <v>0.31030374631829671</v>
          </cell>
          <cell r="I59">
            <v>0.41031846935650318</v>
          </cell>
          <cell r="J59">
            <v>0.52003617370885391</v>
          </cell>
          <cell r="K59">
            <v>0.63212055882855767</v>
          </cell>
          <cell r="L59">
            <v>0.7377466404557862</v>
          </cell>
          <cell r="M59">
            <v>0.82854120445365853</v>
          </cell>
          <cell r="N59">
            <v>0.89880187144550783</v>
          </cell>
          <cell r="O59">
            <v>0.94702023185045237</v>
          </cell>
          <cell r="P59">
            <v>0.97587446646509246</v>
          </cell>
          <cell r="Q59">
            <v>0.99064843138989922</v>
          </cell>
          <cell r="R59">
            <v>0.99698696575801748</v>
          </cell>
          <cell r="S59">
            <v>0.99921382347764809</v>
          </cell>
          <cell r="T59">
            <v>0.99983853349728657</v>
          </cell>
          <cell r="U59">
            <v>0.99997469191618293</v>
          </cell>
          <cell r="V59">
            <v>0.99999707255280523</v>
          </cell>
          <cell r="W59">
            <v>0.9999997589911811</v>
          </cell>
        </row>
        <row r="60">
          <cell r="B60" t="str">
            <v>Cool Roofs-Retro</v>
          </cell>
          <cell r="C60" t="str">
            <v>Retro20Fast</v>
          </cell>
          <cell r="D60">
            <v>0.22119921692859512</v>
          </cell>
          <cell r="E60">
            <v>0.17227012335877145</v>
          </cell>
          <cell r="F60">
            <v>0.13416410697161874</v>
          </cell>
          <cell r="G60">
            <v>0.10448711156957236</v>
          </cell>
          <cell r="H60">
            <v>8.1374644311252187E-2</v>
          </cell>
          <cell r="I60">
            <v>6.3374636711760357E-2</v>
          </cell>
          <cell r="J60">
            <v>4.9356216697984623E-2</v>
          </cell>
          <cell r="K60">
            <v>3.8438660213832465E-2</v>
          </cell>
          <cell r="L60">
            <v>2.9936058674748356E-2</v>
          </cell>
          <cell r="M60">
            <v>2.3314225937965505E-2</v>
          </cell>
          <cell r="N60">
            <v>1.8157137417191271E-2</v>
          </cell>
          <cell r="O60">
            <v>1.4140792838843619E-2</v>
          </cell>
          <cell r="P60">
            <v>1.1012860536141922E-2</v>
          </cell>
          <cell r="Q60">
            <v>8.5768244094035495E-3</v>
          </cell>
          <cell r="R60">
            <v>6.6796375663094043E-3</v>
          </cell>
          <cell r="S60">
            <v>5.2021069672748554E-3</v>
          </cell>
          <cell r="T60">
            <v>4.051404979734996E-3</v>
          </cell>
          <cell r="U60">
            <v>3.1552373707569581E-3</v>
          </cell>
          <cell r="V60">
            <v>2.4573013351216755E-3</v>
          </cell>
          <cell r="W60">
            <v>1.913748204035115E-3</v>
          </cell>
        </row>
        <row r="61">
          <cell r="B61" t="str">
            <v>Evaporator Roof Top HVAC-Retro</v>
          </cell>
          <cell r="C61" t="str">
            <v>Retro20Fast</v>
          </cell>
          <cell r="D61">
            <v>0.22119921692859512</v>
          </cell>
          <cell r="E61">
            <v>0.17227012335877145</v>
          </cell>
          <cell r="F61">
            <v>0.13416410697161874</v>
          </cell>
          <cell r="G61">
            <v>0.10448711156957236</v>
          </cell>
          <cell r="H61">
            <v>8.1374644311252187E-2</v>
          </cell>
          <cell r="I61">
            <v>6.3374636711760357E-2</v>
          </cell>
          <cell r="J61">
            <v>4.9356216697984623E-2</v>
          </cell>
          <cell r="K61">
            <v>3.8438660213832465E-2</v>
          </cell>
          <cell r="L61">
            <v>2.9936058674748356E-2</v>
          </cell>
          <cell r="M61">
            <v>2.3314225937965505E-2</v>
          </cell>
          <cell r="N61">
            <v>1.8157137417191271E-2</v>
          </cell>
          <cell r="O61">
            <v>1.4140792838843619E-2</v>
          </cell>
          <cell r="P61">
            <v>1.1012860536141922E-2</v>
          </cell>
          <cell r="Q61">
            <v>8.5768244094035495E-3</v>
          </cell>
          <cell r="R61">
            <v>6.6796375663094043E-3</v>
          </cell>
          <cell r="S61">
            <v>5.2021069672748554E-3</v>
          </cell>
          <cell r="T61">
            <v>4.051404979734996E-3</v>
          </cell>
          <cell r="U61">
            <v>3.1552373707569581E-3</v>
          </cell>
          <cell r="V61">
            <v>2.4573013351216755E-3</v>
          </cell>
          <cell r="W61">
            <v>1.913748204035115E-3</v>
          </cell>
        </row>
        <row r="62">
          <cell r="B62" t="str">
            <v>Secondary Glazing Systems-Retro</v>
          </cell>
          <cell r="C62" t="str">
            <v>Retro20Fast</v>
          </cell>
          <cell r="D62">
            <v>0.22119921692859512</v>
          </cell>
          <cell r="E62">
            <v>0.17227012335877145</v>
          </cell>
          <cell r="F62">
            <v>0.13416410697161874</v>
          </cell>
          <cell r="G62">
            <v>0.10448711156957236</v>
          </cell>
          <cell r="H62">
            <v>8.1374644311252187E-2</v>
          </cell>
          <cell r="I62">
            <v>6.3374636711760357E-2</v>
          </cell>
          <cell r="J62">
            <v>4.9356216697984623E-2</v>
          </cell>
          <cell r="K62">
            <v>3.8438660213832465E-2</v>
          </cell>
          <cell r="L62">
            <v>2.9936058674748356E-2</v>
          </cell>
          <cell r="M62">
            <v>2.3314225937965505E-2</v>
          </cell>
          <cell r="N62">
            <v>1.8157137417191271E-2</v>
          </cell>
          <cell r="O62">
            <v>1.4140792838843619E-2</v>
          </cell>
          <cell r="P62">
            <v>1.1012860536141922E-2</v>
          </cell>
          <cell r="Q62">
            <v>8.5768244094035495E-3</v>
          </cell>
          <cell r="R62">
            <v>6.6796375663094043E-3</v>
          </cell>
          <cell r="S62">
            <v>5.2021069672748554E-3</v>
          </cell>
          <cell r="T62">
            <v>4.051404979734996E-3</v>
          </cell>
          <cell r="U62">
            <v>3.1552373707569581E-3</v>
          </cell>
          <cell r="V62">
            <v>2.4573013351216755E-3</v>
          </cell>
          <cell r="W62">
            <v>1.913748204035115E-3</v>
          </cell>
        </row>
        <row r="63">
          <cell r="B63" t="str">
            <v>LPD Package-New</v>
          </cell>
          <cell r="C63" t="str">
            <v>LO20Fast</v>
          </cell>
          <cell r="D63">
            <v>0.22119921692859512</v>
          </cell>
          <cell r="E63">
            <v>0.39346934028736658</v>
          </cell>
          <cell r="F63">
            <v>0.52763344725898531</v>
          </cell>
          <cell r="G63">
            <v>0.63212055882855767</v>
          </cell>
          <cell r="H63">
            <v>0.71349520313980985</v>
          </cell>
          <cell r="I63">
            <v>0.77686983985157021</v>
          </cell>
          <cell r="J63">
            <v>0.82622605654955483</v>
          </cell>
          <cell r="K63">
            <v>0.8646647167633873</v>
          </cell>
          <cell r="L63">
            <v>0.89460077543813565</v>
          </cell>
          <cell r="M63">
            <v>0.91791500137610116</v>
          </cell>
          <cell r="N63">
            <v>0.93607213879329243</v>
          </cell>
          <cell r="O63">
            <v>0.95021293163213605</v>
          </cell>
          <cell r="P63">
            <v>0.96122579216827797</v>
          </cell>
          <cell r="Q63">
            <v>0.96980261657768152</v>
          </cell>
          <cell r="R63">
            <v>0.97648225414399092</v>
          </cell>
          <cell r="S63">
            <v>0.98168436111126578</v>
          </cell>
          <cell r="T63">
            <v>0.98573576609100078</v>
          </cell>
          <cell r="U63">
            <v>0.98889100346175773</v>
          </cell>
          <cell r="V63">
            <v>0.99134830479687941</v>
          </cell>
          <cell r="W63">
            <v>0.99326205300091452</v>
          </cell>
        </row>
        <row r="64">
          <cell r="B64" t="str">
            <v>LPD Package-NR</v>
          </cell>
          <cell r="C64" t="str">
            <v>LO20Fast</v>
          </cell>
          <cell r="D64">
            <v>0.22119921692859512</v>
          </cell>
          <cell r="E64">
            <v>0.39346934028736658</v>
          </cell>
          <cell r="F64">
            <v>0.52763344725898531</v>
          </cell>
          <cell r="G64">
            <v>0.63212055882855767</v>
          </cell>
          <cell r="H64">
            <v>0.71349520313980985</v>
          </cell>
          <cell r="I64">
            <v>0.77686983985157021</v>
          </cell>
          <cell r="J64">
            <v>0.82622605654955483</v>
          </cell>
          <cell r="K64">
            <v>0.8646647167633873</v>
          </cell>
          <cell r="L64">
            <v>0.89460077543813565</v>
          </cell>
          <cell r="M64">
            <v>0.91791500137610116</v>
          </cell>
          <cell r="N64">
            <v>0.93607213879329243</v>
          </cell>
          <cell r="O64">
            <v>0.95021293163213605</v>
          </cell>
          <cell r="P64">
            <v>0.96122579216827797</v>
          </cell>
          <cell r="Q64">
            <v>0.96980261657768152</v>
          </cell>
          <cell r="R64">
            <v>0.97648225414399092</v>
          </cell>
          <cell r="S64">
            <v>0.98168436111126578</v>
          </cell>
          <cell r="T64">
            <v>0.98573576609100078</v>
          </cell>
          <cell r="U64">
            <v>0.98889100346175773</v>
          </cell>
          <cell r="V64">
            <v>0.99134830479687941</v>
          </cell>
          <cell r="W64">
            <v>0.99326205300091452</v>
          </cell>
        </row>
        <row r="65">
          <cell r="B65" t="str">
            <v>LPD Package-Retro</v>
          </cell>
          <cell r="C65" t="str">
            <v>Retro20Fast</v>
          </cell>
          <cell r="D65">
            <v>0.22119921692859512</v>
          </cell>
          <cell r="E65">
            <v>0.17227012335877145</v>
          </cell>
          <cell r="F65">
            <v>0.13416410697161874</v>
          </cell>
          <cell r="G65">
            <v>0.10448711156957236</v>
          </cell>
          <cell r="H65">
            <v>8.1374644311252187E-2</v>
          </cell>
          <cell r="I65">
            <v>6.3374636711760357E-2</v>
          </cell>
          <cell r="J65">
            <v>4.9356216697984623E-2</v>
          </cell>
          <cell r="K65">
            <v>3.8438660213832465E-2</v>
          </cell>
          <cell r="L65">
            <v>2.9936058674748356E-2</v>
          </cell>
          <cell r="M65">
            <v>2.3314225937965505E-2</v>
          </cell>
          <cell r="N65">
            <v>1.8157137417191271E-2</v>
          </cell>
          <cell r="O65">
            <v>1.4140792838843619E-2</v>
          </cell>
          <cell r="P65">
            <v>1.1012860536141922E-2</v>
          </cell>
          <cell r="Q65">
            <v>8.5768244094035495E-3</v>
          </cell>
          <cell r="R65">
            <v>6.6796375663094043E-3</v>
          </cell>
          <cell r="S65">
            <v>5.2021069672748554E-3</v>
          </cell>
          <cell r="T65">
            <v>4.051404979734996E-3</v>
          </cell>
          <cell r="U65">
            <v>3.1552373707569581E-3</v>
          </cell>
          <cell r="V65">
            <v>2.4573013351216755E-3</v>
          </cell>
          <cell r="W65">
            <v>1.913748204035115E-3</v>
          </cell>
        </row>
        <row r="66">
          <cell r="B66" t="str">
            <v>Top Daylighting-New</v>
          </cell>
          <cell r="C66" t="str">
            <v>LO12Med</v>
          </cell>
          <cell r="D66">
            <v>0.14319153465074486</v>
          </cell>
          <cell r="E66">
            <v>0.23198513316745922</v>
          </cell>
          <cell r="F66">
            <v>0.34051064246566576</v>
          </cell>
          <cell r="G66">
            <v>0.45988870269369292</v>
          </cell>
          <cell r="H66">
            <v>0.57926676292172008</v>
          </cell>
          <cell r="I66">
            <v>0.68869665146407821</v>
          </cell>
          <cell r="J66">
            <v>0.78129117253838121</v>
          </cell>
          <cell r="K66">
            <v>0.85404401052533374</v>
          </cell>
          <cell r="L66">
            <v>0.90739609171576541</v>
          </cell>
          <cell r="M66">
            <v>0.94407564753418727</v>
          </cell>
          <cell r="N66">
            <v>0.96780947776963666</v>
          </cell>
          <cell r="O66">
            <v>0.98231348513574457</v>
          </cell>
          <cell r="P66">
            <v>0.99071054203191222</v>
          </cell>
          <cell r="Q66">
            <v>0.9953289233248046</v>
          </cell>
          <cell r="R66">
            <v>0.9977480754306054</v>
          </cell>
          <cell r="S66">
            <v>0.99895765148350579</v>
          </cell>
          <cell r="T66">
            <v>0.99953614437837124</v>
          </cell>
          <cell r="U66">
            <v>0.99980128695518455</v>
          </cell>
          <cell r="V66">
            <v>0.99991794968898218</v>
          </cell>
          <cell r="W66">
            <v>0.99996730699943515</v>
          </cell>
        </row>
        <row r="67">
          <cell r="B67" t="str">
            <v>Perimeter Daylighting Controls Advanced-New</v>
          </cell>
          <cell r="C67" t="str">
            <v>LO20Fast</v>
          </cell>
          <cell r="D67">
            <v>0.22119921692859512</v>
          </cell>
          <cell r="E67">
            <v>0.39346934028736658</v>
          </cell>
          <cell r="F67">
            <v>0.52763344725898531</v>
          </cell>
          <cell r="G67">
            <v>0.63212055882855767</v>
          </cell>
          <cell r="H67">
            <v>0.71349520313980985</v>
          </cell>
          <cell r="I67">
            <v>0.77686983985157021</v>
          </cell>
          <cell r="J67">
            <v>0.82622605654955483</v>
          </cell>
          <cell r="K67">
            <v>0.8646647167633873</v>
          </cell>
          <cell r="L67">
            <v>0.89460077543813565</v>
          </cell>
          <cell r="M67">
            <v>0.91791500137610116</v>
          </cell>
          <cell r="N67">
            <v>0.93607213879329243</v>
          </cell>
          <cell r="O67">
            <v>0.95021293163213605</v>
          </cell>
          <cell r="P67">
            <v>0.96122579216827797</v>
          </cell>
          <cell r="Q67">
            <v>0.96980261657768152</v>
          </cell>
          <cell r="R67">
            <v>0.97648225414399092</v>
          </cell>
          <cell r="S67">
            <v>0.98168436111126578</v>
          </cell>
          <cell r="T67">
            <v>0.98573576609100078</v>
          </cell>
          <cell r="U67">
            <v>0.98889100346175773</v>
          </cell>
          <cell r="V67">
            <v>0.99134830479687941</v>
          </cell>
          <cell r="W67">
            <v>0.99326205300091452</v>
          </cell>
        </row>
        <row r="68">
          <cell r="B68" t="str">
            <v>Perimeter Daylighting Controls Advanced-NR</v>
          </cell>
          <cell r="C68" t="str">
            <v>LO20Fast</v>
          </cell>
          <cell r="D68">
            <v>0.22119921692859512</v>
          </cell>
          <cell r="E68">
            <v>0.39346934028736658</v>
          </cell>
          <cell r="F68">
            <v>0.52763344725898531</v>
          </cell>
          <cell r="G68">
            <v>0.63212055882855767</v>
          </cell>
          <cell r="H68">
            <v>0.71349520313980985</v>
          </cell>
          <cell r="I68">
            <v>0.77686983985157021</v>
          </cell>
          <cell r="J68">
            <v>0.82622605654955483</v>
          </cell>
          <cell r="K68">
            <v>0.8646647167633873</v>
          </cell>
          <cell r="L68">
            <v>0.89460077543813565</v>
          </cell>
          <cell r="M68">
            <v>0.91791500137610116</v>
          </cell>
          <cell r="N68">
            <v>0.93607213879329243</v>
          </cell>
          <cell r="O68">
            <v>0.95021293163213605</v>
          </cell>
          <cell r="P68">
            <v>0.96122579216827797</v>
          </cell>
          <cell r="Q68">
            <v>0.96980261657768152</v>
          </cell>
          <cell r="R68">
            <v>0.97648225414399092</v>
          </cell>
          <cell r="S68">
            <v>0.98168436111126578</v>
          </cell>
          <cell r="T68">
            <v>0.98573576609100078</v>
          </cell>
          <cell r="U68">
            <v>0.98889100346175773</v>
          </cell>
          <cell r="V68">
            <v>0.99134830479687941</v>
          </cell>
          <cell r="W68">
            <v>0.99326205300091452</v>
          </cell>
        </row>
        <row r="69">
          <cell r="B69" t="str">
            <v>Lighting Controls Interior-New</v>
          </cell>
          <cell r="C69" t="str">
            <v>LO12Med</v>
          </cell>
          <cell r="D69">
            <v>0.14319153465074486</v>
          </cell>
          <cell r="E69">
            <v>0.23198513316745922</v>
          </cell>
          <cell r="F69">
            <v>0.34051064246566576</v>
          </cell>
          <cell r="G69">
            <v>0.45988870269369292</v>
          </cell>
          <cell r="H69">
            <v>0.57926676292172008</v>
          </cell>
          <cell r="I69">
            <v>0.68869665146407821</v>
          </cell>
          <cell r="J69">
            <v>0.78129117253838121</v>
          </cell>
          <cell r="K69">
            <v>0.85404401052533374</v>
          </cell>
          <cell r="L69">
            <v>0.90739609171576541</v>
          </cell>
          <cell r="M69">
            <v>0.94407564753418727</v>
          </cell>
          <cell r="N69">
            <v>0.96780947776963666</v>
          </cell>
          <cell r="O69">
            <v>0.98231348513574457</v>
          </cell>
          <cell r="P69">
            <v>0.99071054203191222</v>
          </cell>
          <cell r="Q69">
            <v>0.9953289233248046</v>
          </cell>
          <cell r="R69">
            <v>0.9977480754306054</v>
          </cell>
          <cell r="S69">
            <v>0.99895765148350579</v>
          </cell>
          <cell r="T69">
            <v>0.99953614437837124</v>
          </cell>
          <cell r="U69">
            <v>0.99980128695518455</v>
          </cell>
          <cell r="V69">
            <v>0.99991794968898218</v>
          </cell>
          <cell r="W69">
            <v>0.99996730699943515</v>
          </cell>
        </row>
        <row r="70">
          <cell r="B70" t="str">
            <v>Lighting Controls Interior-NR</v>
          </cell>
          <cell r="C70" t="str">
            <v>LO12Med</v>
          </cell>
          <cell r="D70">
            <v>0.14319153465074486</v>
          </cell>
          <cell r="E70">
            <v>0.23198513316745922</v>
          </cell>
          <cell r="F70">
            <v>0.34051064246566576</v>
          </cell>
          <cell r="G70">
            <v>0.45988870269369292</v>
          </cell>
          <cell r="H70">
            <v>0.57926676292172008</v>
          </cell>
          <cell r="I70">
            <v>0.68869665146407821</v>
          </cell>
          <cell r="J70">
            <v>0.78129117253838121</v>
          </cell>
          <cell r="K70">
            <v>0.85404401052533374</v>
          </cell>
          <cell r="L70">
            <v>0.90739609171576541</v>
          </cell>
          <cell r="M70">
            <v>0.94407564753418727</v>
          </cell>
          <cell r="N70">
            <v>0.96780947776963666</v>
          </cell>
          <cell r="O70">
            <v>0.98231348513574457</v>
          </cell>
          <cell r="P70">
            <v>0.99071054203191222</v>
          </cell>
          <cell r="Q70">
            <v>0.9953289233248046</v>
          </cell>
          <cell r="R70">
            <v>0.9977480754306054</v>
          </cell>
          <cell r="S70">
            <v>0.99895765148350579</v>
          </cell>
          <cell r="T70">
            <v>0.99953614437837124</v>
          </cell>
          <cell r="U70">
            <v>0.99980128695518455</v>
          </cell>
          <cell r="V70">
            <v>0.99991794968898218</v>
          </cell>
          <cell r="W70">
            <v>0.99996730699943515</v>
          </cell>
        </row>
        <row r="71">
          <cell r="B71" t="str">
            <v>Exterior Building Lighting-New</v>
          </cell>
          <cell r="C71" t="str">
            <v>LO20Fast</v>
          </cell>
          <cell r="D71">
            <v>0.22119921692859512</v>
          </cell>
          <cell r="E71">
            <v>0.39346934028736658</v>
          </cell>
          <cell r="F71">
            <v>0.52763344725898531</v>
          </cell>
          <cell r="G71">
            <v>0.63212055882855767</v>
          </cell>
          <cell r="H71">
            <v>0.71349520313980985</v>
          </cell>
          <cell r="I71">
            <v>0.77686983985157021</v>
          </cell>
          <cell r="J71">
            <v>0.82622605654955483</v>
          </cell>
          <cell r="K71">
            <v>0.8646647167633873</v>
          </cell>
          <cell r="L71">
            <v>0.89460077543813565</v>
          </cell>
          <cell r="M71">
            <v>0.91791500137610116</v>
          </cell>
          <cell r="N71">
            <v>0.93607213879329243</v>
          </cell>
          <cell r="O71">
            <v>0.95021293163213605</v>
          </cell>
          <cell r="P71">
            <v>0.96122579216827797</v>
          </cell>
          <cell r="Q71">
            <v>0.96980261657768152</v>
          </cell>
          <cell r="R71">
            <v>0.97648225414399092</v>
          </cell>
          <cell r="S71">
            <v>0.98168436111126578</v>
          </cell>
          <cell r="T71">
            <v>0.98573576609100078</v>
          </cell>
          <cell r="U71">
            <v>0.98889100346175773</v>
          </cell>
          <cell r="V71">
            <v>0.99134830479687941</v>
          </cell>
          <cell r="W71">
            <v>0.99326205300091452</v>
          </cell>
        </row>
        <row r="72">
          <cell r="B72" t="str">
            <v>Exterior Building Lighting-NR</v>
          </cell>
          <cell r="C72" t="str">
            <v>LO20Fast</v>
          </cell>
          <cell r="D72">
            <v>0.22119921692859512</v>
          </cell>
          <cell r="E72">
            <v>0.39346934028736658</v>
          </cell>
          <cell r="F72">
            <v>0.52763344725898531</v>
          </cell>
          <cell r="G72">
            <v>0.63212055882855767</v>
          </cell>
          <cell r="H72">
            <v>0.71349520313980985</v>
          </cell>
          <cell r="I72">
            <v>0.77686983985157021</v>
          </cell>
          <cell r="J72">
            <v>0.82622605654955483</v>
          </cell>
          <cell r="K72">
            <v>0.8646647167633873</v>
          </cell>
          <cell r="L72">
            <v>0.89460077543813565</v>
          </cell>
          <cell r="M72">
            <v>0.91791500137610116</v>
          </cell>
          <cell r="N72">
            <v>0.93607213879329243</v>
          </cell>
          <cell r="O72">
            <v>0.95021293163213605</v>
          </cell>
          <cell r="P72">
            <v>0.96122579216827797</v>
          </cell>
          <cell r="Q72">
            <v>0.96980261657768152</v>
          </cell>
          <cell r="R72">
            <v>0.97648225414399092</v>
          </cell>
          <cell r="S72">
            <v>0.98168436111126578</v>
          </cell>
          <cell r="T72">
            <v>0.98573576609100078</v>
          </cell>
          <cell r="U72">
            <v>0.98889100346175773</v>
          </cell>
          <cell r="V72">
            <v>0.99134830479687941</v>
          </cell>
          <cell r="W72">
            <v>0.99326205300091452</v>
          </cell>
        </row>
        <row r="73">
          <cell r="B73" t="str">
            <v>Street and Roadway Lighting-New</v>
          </cell>
          <cell r="C73" t="str">
            <v>LO50Fast</v>
          </cell>
          <cell r="D73">
            <v>0.5033986398662943</v>
          </cell>
          <cell r="E73">
            <v>0.66232442576820405</v>
          </cell>
          <cell r="F73">
            <v>0.79060023867474538</v>
          </cell>
          <cell r="G73">
            <v>0.88119503153999024</v>
          </cell>
          <cell r="H73">
            <v>0.9380684292831718</v>
          </cell>
          <cell r="I73">
            <v>0.97020189900806941</v>
          </cell>
          <cell r="J73">
            <v>0.98670681754858502</v>
          </cell>
          <cell r="K73">
            <v>0.99447788336141119</v>
          </cell>
          <cell r="L73">
            <v>0.99785530811852396</v>
          </cell>
          <cell r="M73">
            <v>0.99921834025264467</v>
          </cell>
          <cell r="N73">
            <v>0.99973174902316331</v>
          </cell>
          <cell r="O73">
            <v>0.99991304649525281</v>
          </cell>
          <cell r="P73">
            <v>0.9999733012433295</v>
          </cell>
          <cell r="Q73">
            <v>0.99999221453925369</v>
          </cell>
          <cell r="R73">
            <v>0.99999783875619952</v>
          </cell>
          <cell r="S73">
            <v>0.99999942759748672</v>
          </cell>
          <cell r="T73">
            <v>0.99999985507145206</v>
          </cell>
          <cell r="U73">
            <v>0.99999996485453868</v>
          </cell>
          <cell r="V73">
            <v>0.99999999182299248</v>
          </cell>
          <cell r="W73">
            <v>0.99999999817181606</v>
          </cell>
        </row>
        <row r="74">
          <cell r="B74" t="str">
            <v>Street and Roadway Lighting-NR</v>
          </cell>
          <cell r="C74" t="str">
            <v>LO50Fast</v>
          </cell>
          <cell r="D74">
            <v>0.5033986398662943</v>
          </cell>
          <cell r="E74">
            <v>0.66232442576820405</v>
          </cell>
          <cell r="F74">
            <v>0.79060023867474538</v>
          </cell>
          <cell r="G74">
            <v>0.88119503153999024</v>
          </cell>
          <cell r="H74">
            <v>0.9380684292831718</v>
          </cell>
          <cell r="I74">
            <v>0.97020189900806941</v>
          </cell>
          <cell r="J74">
            <v>0.98670681754858502</v>
          </cell>
          <cell r="K74">
            <v>0.99447788336141119</v>
          </cell>
          <cell r="L74">
            <v>0.99785530811852396</v>
          </cell>
          <cell r="M74">
            <v>0.99921834025264467</v>
          </cell>
          <cell r="N74">
            <v>0.99973174902316331</v>
          </cell>
          <cell r="O74">
            <v>0.99991304649525281</v>
          </cell>
          <cell r="P74">
            <v>0.9999733012433295</v>
          </cell>
          <cell r="Q74">
            <v>0.99999221453925369</v>
          </cell>
          <cell r="R74">
            <v>0.99999783875619952</v>
          </cell>
          <cell r="S74">
            <v>0.99999942759748672</v>
          </cell>
          <cell r="T74">
            <v>0.99999985507145206</v>
          </cell>
          <cell r="U74">
            <v>0.99999996485453868</v>
          </cell>
          <cell r="V74">
            <v>0.99999999182299248</v>
          </cell>
          <cell r="W74">
            <v>0.99999999817181606</v>
          </cell>
        </row>
        <row r="75">
          <cell r="B75" t="str">
            <v>Parking Lighting-New</v>
          </cell>
          <cell r="C75" t="str">
            <v>LO50Fast</v>
          </cell>
          <cell r="D75">
            <v>0.5033986398662943</v>
          </cell>
          <cell r="E75">
            <v>0.66232442576820405</v>
          </cell>
          <cell r="F75">
            <v>0.79060023867474538</v>
          </cell>
          <cell r="G75">
            <v>0.88119503153999024</v>
          </cell>
          <cell r="H75">
            <v>0.9380684292831718</v>
          </cell>
          <cell r="I75">
            <v>0.97020189900806941</v>
          </cell>
          <cell r="J75">
            <v>0.98670681754858502</v>
          </cell>
          <cell r="K75">
            <v>0.99447788336141119</v>
          </cell>
          <cell r="L75">
            <v>0.99785530811852396</v>
          </cell>
          <cell r="M75">
            <v>0.99921834025264467</v>
          </cell>
          <cell r="N75">
            <v>0.99973174902316331</v>
          </cell>
          <cell r="O75">
            <v>0.99991304649525281</v>
          </cell>
          <cell r="P75">
            <v>0.9999733012433295</v>
          </cell>
          <cell r="Q75">
            <v>0.99999221453925369</v>
          </cell>
          <cell r="R75">
            <v>0.99999783875619952</v>
          </cell>
          <cell r="S75">
            <v>0.99999942759748672</v>
          </cell>
          <cell r="T75">
            <v>0.99999985507145206</v>
          </cell>
          <cell r="U75">
            <v>0.99999996485453868</v>
          </cell>
          <cell r="V75">
            <v>0.99999999182299248</v>
          </cell>
          <cell r="W75">
            <v>0.99999999817181606</v>
          </cell>
        </row>
        <row r="76">
          <cell r="B76" t="str">
            <v>Parking Lighting-NR</v>
          </cell>
          <cell r="C76" t="str">
            <v>LO12Med</v>
          </cell>
          <cell r="D76">
            <v>0.14319153465074486</v>
          </cell>
          <cell r="E76">
            <v>0.23198513316745922</v>
          </cell>
          <cell r="F76">
            <v>0.34051064246566576</v>
          </cell>
          <cell r="G76">
            <v>0.45988870269369292</v>
          </cell>
          <cell r="H76">
            <v>0.57926676292172008</v>
          </cell>
          <cell r="I76">
            <v>0.68869665146407821</v>
          </cell>
          <cell r="J76">
            <v>0.78129117253838121</v>
          </cell>
          <cell r="K76">
            <v>0.85404401052533374</v>
          </cell>
          <cell r="L76">
            <v>0.90739609171576541</v>
          </cell>
          <cell r="M76">
            <v>0.94407564753418727</v>
          </cell>
          <cell r="N76">
            <v>0.96780947776963666</v>
          </cell>
          <cell r="O76">
            <v>0.98231348513574457</v>
          </cell>
          <cell r="P76">
            <v>0.99071054203191222</v>
          </cell>
          <cell r="Q76">
            <v>0.9953289233248046</v>
          </cell>
          <cell r="R76">
            <v>0.9977480754306054</v>
          </cell>
          <cell r="S76">
            <v>0.99895765148350579</v>
          </cell>
          <cell r="T76">
            <v>0.99953614437837124</v>
          </cell>
          <cell r="U76">
            <v>0.99980128695518455</v>
          </cell>
          <cell r="V76">
            <v>0.99991794968898218</v>
          </cell>
          <cell r="W76">
            <v>0.99996730699943515</v>
          </cell>
        </row>
        <row r="77">
          <cell r="B77" t="str">
            <v>Luminaire Level Lighting Controls-Retro</v>
          </cell>
          <cell r="C77" t="str">
            <v>Retro20Fast</v>
          </cell>
          <cell r="D77">
            <v>0.22119921692859512</v>
          </cell>
          <cell r="E77">
            <v>0.17227012335877145</v>
          </cell>
          <cell r="F77">
            <v>0.13416410697161874</v>
          </cell>
          <cell r="G77">
            <v>0.10448711156957236</v>
          </cell>
          <cell r="H77">
            <v>8.1374644311252187E-2</v>
          </cell>
          <cell r="I77">
            <v>6.3374636711760357E-2</v>
          </cell>
          <cell r="J77">
            <v>4.9356216697984623E-2</v>
          </cell>
          <cell r="K77">
            <v>3.8438660213832465E-2</v>
          </cell>
          <cell r="L77">
            <v>2.9936058674748356E-2</v>
          </cell>
          <cell r="M77">
            <v>2.3314225937965505E-2</v>
          </cell>
          <cell r="N77">
            <v>1.8157137417191271E-2</v>
          </cell>
          <cell r="O77">
            <v>1.4140792838843619E-2</v>
          </cell>
          <cell r="P77">
            <v>1.1012860536141922E-2</v>
          </cell>
          <cell r="Q77">
            <v>8.5768244094035495E-3</v>
          </cell>
          <cell r="R77">
            <v>6.6796375663094043E-3</v>
          </cell>
          <cell r="S77">
            <v>5.2021069672748554E-3</v>
          </cell>
          <cell r="T77">
            <v>4.051404979734996E-3</v>
          </cell>
          <cell r="U77">
            <v>3.1552373707569581E-3</v>
          </cell>
          <cell r="V77">
            <v>2.4573013351216755E-3</v>
          </cell>
          <cell r="W77">
            <v>1.913748204035115E-3</v>
          </cell>
        </row>
        <row r="78">
          <cell r="B78" t="str">
            <v>ECM on VAV Boxes-New</v>
          </cell>
          <cell r="C78" t="str">
            <v>LO20Fast</v>
          </cell>
          <cell r="D78">
            <v>0.22119921692859512</v>
          </cell>
          <cell r="E78">
            <v>0.39346934028736658</v>
          </cell>
          <cell r="F78">
            <v>0.52763344725898531</v>
          </cell>
          <cell r="G78">
            <v>0.63212055882855767</v>
          </cell>
          <cell r="H78">
            <v>0.71349520313980985</v>
          </cell>
          <cell r="I78">
            <v>0.77686983985157021</v>
          </cell>
          <cell r="J78">
            <v>0.82622605654955483</v>
          </cell>
          <cell r="K78">
            <v>0.8646647167633873</v>
          </cell>
          <cell r="L78">
            <v>0.89460077543813565</v>
          </cell>
          <cell r="M78">
            <v>0.91791500137610116</v>
          </cell>
          <cell r="N78">
            <v>0.93607213879329243</v>
          </cell>
          <cell r="O78">
            <v>0.95021293163213605</v>
          </cell>
          <cell r="P78">
            <v>0.96122579216827797</v>
          </cell>
          <cell r="Q78">
            <v>0.96980261657768152</v>
          </cell>
          <cell r="R78">
            <v>0.97648225414399092</v>
          </cell>
          <cell r="S78">
            <v>0.98168436111126578</v>
          </cell>
          <cell r="T78">
            <v>0.98573576609100078</v>
          </cell>
          <cell r="U78">
            <v>0.98889100346175773</v>
          </cell>
          <cell r="V78">
            <v>0.99134830479687941</v>
          </cell>
          <cell r="W78">
            <v>0.99326205300091452</v>
          </cell>
        </row>
        <row r="79">
          <cell r="B79" t="str">
            <v>ECM on VAV Boxes-NR</v>
          </cell>
          <cell r="C79" t="str">
            <v>LO20Fast</v>
          </cell>
          <cell r="D79">
            <v>0.22119921692859512</v>
          </cell>
          <cell r="E79">
            <v>0.39346934028736658</v>
          </cell>
          <cell r="F79">
            <v>0.52763344725898531</v>
          </cell>
          <cell r="G79">
            <v>0.63212055882855767</v>
          </cell>
          <cell r="H79">
            <v>0.71349520313980985</v>
          </cell>
          <cell r="I79">
            <v>0.77686983985157021</v>
          </cell>
          <cell r="J79">
            <v>0.82622605654955483</v>
          </cell>
          <cell r="K79">
            <v>0.8646647167633873</v>
          </cell>
          <cell r="L79">
            <v>0.89460077543813565</v>
          </cell>
          <cell r="M79">
            <v>0.91791500137610116</v>
          </cell>
          <cell r="N79">
            <v>0.93607213879329243</v>
          </cell>
          <cell r="O79">
            <v>0.95021293163213605</v>
          </cell>
          <cell r="P79">
            <v>0.96122579216827797</v>
          </cell>
          <cell r="Q79">
            <v>0.96980261657768152</v>
          </cell>
          <cell r="R79">
            <v>0.97648225414399092</v>
          </cell>
          <cell r="S79">
            <v>0.98168436111126578</v>
          </cell>
          <cell r="T79">
            <v>0.98573576609100078</v>
          </cell>
          <cell r="U79">
            <v>0.98889100346175773</v>
          </cell>
          <cell r="V79">
            <v>0.99134830479687941</v>
          </cell>
          <cell r="W79">
            <v>0.99326205300091452</v>
          </cell>
        </row>
        <row r="80">
          <cell r="B80" t="str">
            <v>Pool pumps-Retro</v>
          </cell>
          <cell r="C80" t="str">
            <v>Retro20Fast</v>
          </cell>
          <cell r="D80">
            <v>0.22119921692859512</v>
          </cell>
          <cell r="E80">
            <v>0.17227012335877145</v>
          </cell>
          <cell r="F80">
            <v>0.13416410697161874</v>
          </cell>
          <cell r="G80">
            <v>0.10448711156957236</v>
          </cell>
          <cell r="H80">
            <v>8.1374644311252187E-2</v>
          </cell>
          <cell r="I80">
            <v>6.3374636711760357E-2</v>
          </cell>
          <cell r="J80">
            <v>4.9356216697984623E-2</v>
          </cell>
          <cell r="K80">
            <v>3.8438660213832465E-2</v>
          </cell>
          <cell r="L80">
            <v>2.9936058674748356E-2</v>
          </cell>
          <cell r="M80">
            <v>2.3314225937965505E-2</v>
          </cell>
          <cell r="N80">
            <v>1.8157137417191271E-2</v>
          </cell>
          <cell r="O80">
            <v>1.4140792838843619E-2</v>
          </cell>
          <cell r="P80">
            <v>1.1012860536141922E-2</v>
          </cell>
          <cell r="Q80">
            <v>8.5768244094035495E-3</v>
          </cell>
          <cell r="R80">
            <v>6.6796375663094043E-3</v>
          </cell>
          <cell r="S80">
            <v>5.2021069672748554E-3</v>
          </cell>
          <cell r="T80">
            <v>4.051404979734996E-3</v>
          </cell>
          <cell r="U80">
            <v>3.1552373707569581E-3</v>
          </cell>
          <cell r="V80">
            <v>2.4573013351216755E-3</v>
          </cell>
          <cell r="W80">
            <v>1.913748204035115E-3</v>
          </cell>
        </row>
        <row r="81">
          <cell r="B81" t="str">
            <v>Switched Reluctance/Permanent Magnet Motors-Retro</v>
          </cell>
          <cell r="C81" t="str">
            <v>Retro20Fast</v>
          </cell>
          <cell r="D81">
            <v>0.22119921692859512</v>
          </cell>
          <cell r="E81">
            <v>0.17227012335877145</v>
          </cell>
          <cell r="F81">
            <v>0.13416410697161874</v>
          </cell>
          <cell r="G81">
            <v>0.10448711156957236</v>
          </cell>
          <cell r="H81">
            <v>8.1374644311252187E-2</v>
          </cell>
          <cell r="I81">
            <v>6.3374636711760357E-2</v>
          </cell>
          <cell r="J81">
            <v>4.9356216697984623E-2</v>
          </cell>
          <cell r="K81">
            <v>3.8438660213832465E-2</v>
          </cell>
          <cell r="L81">
            <v>2.9936058674748356E-2</v>
          </cell>
          <cell r="M81">
            <v>2.3314225937965505E-2</v>
          </cell>
          <cell r="N81">
            <v>1.8157137417191271E-2</v>
          </cell>
          <cell r="O81">
            <v>1.4140792838843619E-2</v>
          </cell>
          <cell r="P81">
            <v>1.1012860536141922E-2</v>
          </cell>
          <cell r="Q81">
            <v>8.5768244094035495E-3</v>
          </cell>
          <cell r="R81">
            <v>6.6796375663094043E-3</v>
          </cell>
          <cell r="S81">
            <v>5.2021069672748554E-3</v>
          </cell>
          <cell r="T81">
            <v>4.051404979734996E-3</v>
          </cell>
          <cell r="U81">
            <v>3.1552373707569581E-3</v>
          </cell>
          <cell r="V81">
            <v>2.4573013351216755E-3</v>
          </cell>
          <cell r="W81">
            <v>1.913748204035115E-3</v>
          </cell>
        </row>
        <row r="82">
          <cell r="B82" t="str">
            <v>Motors - Rewind-NR</v>
          </cell>
          <cell r="C82" t="str">
            <v>LO12Med</v>
          </cell>
          <cell r="D82">
            <v>0.14319153465074486</v>
          </cell>
          <cell r="E82">
            <v>0.23198513316745922</v>
          </cell>
          <cell r="F82">
            <v>0.34051064246566576</v>
          </cell>
          <cell r="G82">
            <v>0.45988870269369292</v>
          </cell>
          <cell r="H82">
            <v>0.57926676292172008</v>
          </cell>
          <cell r="I82">
            <v>0.68869665146407821</v>
          </cell>
          <cell r="J82">
            <v>0.78129117253838121</v>
          </cell>
          <cell r="K82">
            <v>0.85404401052533374</v>
          </cell>
          <cell r="L82">
            <v>0.90739609171576541</v>
          </cell>
          <cell r="M82">
            <v>0.94407564753418727</v>
          </cell>
          <cell r="N82">
            <v>0.96780947776963666</v>
          </cell>
          <cell r="O82">
            <v>0.98231348513574457</v>
          </cell>
          <cell r="P82">
            <v>0.99071054203191222</v>
          </cell>
          <cell r="Q82">
            <v>0.9953289233248046</v>
          </cell>
          <cell r="R82">
            <v>0.9977480754306054</v>
          </cell>
          <cell r="S82">
            <v>0.99895765148350579</v>
          </cell>
          <cell r="T82">
            <v>0.99953614437837124</v>
          </cell>
          <cell r="U82">
            <v>0.99980128695518455</v>
          </cell>
          <cell r="V82">
            <v>0.99991794968898218</v>
          </cell>
          <cell r="W82">
            <v>0.99996730699943515</v>
          </cell>
        </row>
        <row r="83">
          <cell r="B83" t="str">
            <v>Municipal Sewage Treatment-Retro</v>
          </cell>
          <cell r="C83" t="str">
            <v>Retro20Fast</v>
          </cell>
          <cell r="D83">
            <v>0.22119921692859512</v>
          </cell>
          <cell r="E83">
            <v>0.17227012335877145</v>
          </cell>
          <cell r="F83">
            <v>0.13416410697161874</v>
          </cell>
          <cell r="G83">
            <v>0.10448711156957236</v>
          </cell>
          <cell r="H83">
            <v>8.1374644311252187E-2</v>
          </cell>
          <cell r="I83">
            <v>6.3374636711760357E-2</v>
          </cell>
          <cell r="J83">
            <v>4.9356216697984623E-2</v>
          </cell>
          <cell r="K83">
            <v>3.8438660213832465E-2</v>
          </cell>
          <cell r="L83">
            <v>2.9936058674748356E-2</v>
          </cell>
          <cell r="M83">
            <v>2.3314225937965505E-2</v>
          </cell>
          <cell r="N83">
            <v>1.8157137417191271E-2</v>
          </cell>
          <cell r="O83">
            <v>1.4140792838843619E-2</v>
          </cell>
          <cell r="P83">
            <v>1.1012860536141922E-2</v>
          </cell>
          <cell r="Q83">
            <v>8.5768244094035495E-3</v>
          </cell>
          <cell r="R83">
            <v>6.6796375663094043E-3</v>
          </cell>
          <cell r="S83">
            <v>5.2021069672748554E-3</v>
          </cell>
          <cell r="T83">
            <v>4.051404979734996E-3</v>
          </cell>
          <cell r="U83">
            <v>3.1552373707569581E-3</v>
          </cell>
          <cell r="V83">
            <v>2.4573013351216755E-3</v>
          </cell>
          <cell r="W83">
            <v>1.913748204035115E-3</v>
          </cell>
        </row>
        <row r="84">
          <cell r="B84" t="str">
            <v>Municipal Water Supply-Retro</v>
          </cell>
          <cell r="C84" t="str">
            <v>Retro20Fast</v>
          </cell>
          <cell r="D84">
            <v>0.22119921692859512</v>
          </cell>
          <cell r="E84">
            <v>0.17227012335877145</v>
          </cell>
          <cell r="F84">
            <v>0.13416410697161874</v>
          </cell>
          <cell r="G84">
            <v>0.10448711156957236</v>
          </cell>
          <cell r="H84">
            <v>8.1374644311252187E-2</v>
          </cell>
          <cell r="I84">
            <v>6.3374636711760357E-2</v>
          </cell>
          <cell r="J84">
            <v>4.9356216697984623E-2</v>
          </cell>
          <cell r="K84">
            <v>3.8438660213832465E-2</v>
          </cell>
          <cell r="L84">
            <v>2.9936058674748356E-2</v>
          </cell>
          <cell r="M84">
            <v>2.3314225937965505E-2</v>
          </cell>
          <cell r="N84">
            <v>1.8157137417191271E-2</v>
          </cell>
          <cell r="O84">
            <v>1.4140792838843619E-2</v>
          </cell>
          <cell r="P84">
            <v>1.1012860536141922E-2</v>
          </cell>
          <cell r="Q84">
            <v>8.5768244094035495E-3</v>
          </cell>
          <cell r="R84">
            <v>6.6796375663094043E-3</v>
          </cell>
          <cell r="S84">
            <v>5.2021069672748554E-3</v>
          </cell>
          <cell r="T84">
            <v>4.051404979734996E-3</v>
          </cell>
          <cell r="U84">
            <v>3.1552373707569581E-3</v>
          </cell>
          <cell r="V84">
            <v>2.4573013351216755E-3</v>
          </cell>
          <cell r="W84">
            <v>1.913748204035115E-3</v>
          </cell>
        </row>
        <row r="85">
          <cell r="B85" t="str">
            <v>Engine Generator Block Heaters-Retro</v>
          </cell>
          <cell r="C85" t="str">
            <v>Retro20Fast</v>
          </cell>
          <cell r="D85">
            <v>0.22119921692859512</v>
          </cell>
          <cell r="E85">
            <v>0.17227012335877145</v>
          </cell>
          <cell r="F85">
            <v>0.13416410697161874</v>
          </cell>
          <cell r="G85">
            <v>0.10448711156957236</v>
          </cell>
          <cell r="H85">
            <v>8.1374644311252187E-2</v>
          </cell>
          <cell r="I85">
            <v>6.3374636711760357E-2</v>
          </cell>
          <cell r="J85">
            <v>4.9356216697984623E-2</v>
          </cell>
          <cell r="K85">
            <v>3.8438660213832465E-2</v>
          </cell>
          <cell r="L85">
            <v>2.9936058674748356E-2</v>
          </cell>
          <cell r="M85">
            <v>2.3314225937965505E-2</v>
          </cell>
          <cell r="N85">
            <v>1.8157137417191271E-2</v>
          </cell>
          <cell r="O85">
            <v>1.4140792838843619E-2</v>
          </cell>
          <cell r="P85">
            <v>1.1012860536141922E-2</v>
          </cell>
          <cell r="Q85">
            <v>8.5768244094035495E-3</v>
          </cell>
          <cell r="R85">
            <v>6.6796375663094043E-3</v>
          </cell>
          <cell r="S85">
            <v>5.2021069672748554E-3</v>
          </cell>
          <cell r="T85">
            <v>4.051404979734996E-3</v>
          </cell>
          <cell r="U85">
            <v>3.1552373707569581E-3</v>
          </cell>
          <cell r="V85">
            <v>2.4573013351216755E-3</v>
          </cell>
          <cell r="W85">
            <v>1.913748204035115E-3</v>
          </cell>
        </row>
        <row r="86">
          <cell r="B86" t="str">
            <v>Grocery Refrigeration Bundle-Retro</v>
          </cell>
          <cell r="C86" t="str">
            <v>Retro20Fast</v>
          </cell>
          <cell r="D86">
            <v>0.22119921692859512</v>
          </cell>
          <cell r="E86">
            <v>0.17227012335877145</v>
          </cell>
          <cell r="F86">
            <v>0.13416410697161874</v>
          </cell>
          <cell r="G86">
            <v>0.10448711156957236</v>
          </cell>
          <cell r="H86">
            <v>8.1374644311252187E-2</v>
          </cell>
          <cell r="I86">
            <v>6.3374636711760357E-2</v>
          </cell>
          <cell r="J86">
            <v>4.9356216697984623E-2</v>
          </cell>
          <cell r="K86">
            <v>3.8438660213832465E-2</v>
          </cell>
          <cell r="L86">
            <v>2.9936058674748356E-2</v>
          </cell>
          <cell r="M86">
            <v>2.3314225937965505E-2</v>
          </cell>
          <cell r="N86">
            <v>1.8157137417191271E-2</v>
          </cell>
          <cell r="O86">
            <v>1.4140792838843619E-2</v>
          </cell>
          <cell r="P86">
            <v>1.1012860536141922E-2</v>
          </cell>
          <cell r="Q86">
            <v>8.5768244094035495E-3</v>
          </cell>
          <cell r="R86">
            <v>6.6796375663094043E-3</v>
          </cell>
          <cell r="S86">
            <v>5.2021069672748554E-3</v>
          </cell>
          <cell r="T86">
            <v>4.051404979734996E-3</v>
          </cell>
          <cell r="U86">
            <v>3.1552373707569581E-3</v>
          </cell>
          <cell r="V86">
            <v>2.4573013351216755E-3</v>
          </cell>
          <cell r="W86">
            <v>1.913748204035115E-3</v>
          </cell>
        </row>
        <row r="87">
          <cell r="B87" t="str">
            <v>Packaged Refrigeration Equipment-New</v>
          </cell>
          <cell r="C87" t="str">
            <v>LO20Fast</v>
          </cell>
          <cell r="D87">
            <v>0.22119921692859512</v>
          </cell>
          <cell r="E87">
            <v>0.39346934028736658</v>
          </cell>
          <cell r="F87">
            <v>0.52763344725898531</v>
          </cell>
          <cell r="G87">
            <v>0.63212055882855767</v>
          </cell>
          <cell r="H87">
            <v>0.71349520313980985</v>
          </cell>
          <cell r="I87">
            <v>0.77686983985157021</v>
          </cell>
          <cell r="J87">
            <v>0.82622605654955483</v>
          </cell>
          <cell r="K87">
            <v>0.8646647167633873</v>
          </cell>
          <cell r="L87">
            <v>0.89460077543813565</v>
          </cell>
          <cell r="M87">
            <v>0.91791500137610116</v>
          </cell>
          <cell r="N87">
            <v>0.93607213879329243</v>
          </cell>
          <cell r="O87">
            <v>0.95021293163213605</v>
          </cell>
          <cell r="P87">
            <v>0.96122579216827797</v>
          </cell>
          <cell r="Q87">
            <v>0.96980261657768152</v>
          </cell>
          <cell r="R87">
            <v>0.97648225414399092</v>
          </cell>
          <cell r="S87">
            <v>0.98168436111126578</v>
          </cell>
          <cell r="T87">
            <v>0.98573576609100078</v>
          </cell>
          <cell r="U87">
            <v>0.98889100346175773</v>
          </cell>
          <cell r="V87">
            <v>0.99134830479687941</v>
          </cell>
          <cell r="W87">
            <v>0.99326205300091452</v>
          </cell>
        </row>
        <row r="88">
          <cell r="B88" t="str">
            <v>Appliances - Freezers-NR</v>
          </cell>
          <cell r="C88" t="str">
            <v>LO20Fast</v>
          </cell>
          <cell r="D88">
            <v>0.22119921692859512</v>
          </cell>
          <cell r="E88">
            <v>0.39346934028736658</v>
          </cell>
          <cell r="F88">
            <v>0.52763344725898531</v>
          </cell>
          <cell r="G88">
            <v>0.63212055882855767</v>
          </cell>
          <cell r="H88">
            <v>0.71349520313980985</v>
          </cell>
          <cell r="I88">
            <v>0.77686983985157021</v>
          </cell>
          <cell r="J88">
            <v>0.82622605654955483</v>
          </cell>
          <cell r="K88">
            <v>0.8646647167633873</v>
          </cell>
          <cell r="L88">
            <v>0.89460077543813565</v>
          </cell>
          <cell r="M88">
            <v>0.91791500137610116</v>
          </cell>
          <cell r="N88">
            <v>0.93607213879329243</v>
          </cell>
          <cell r="O88">
            <v>0.95021293163213605</v>
          </cell>
          <cell r="P88">
            <v>0.96122579216827797</v>
          </cell>
          <cell r="Q88">
            <v>0.96980261657768152</v>
          </cell>
          <cell r="R88">
            <v>0.97648225414399092</v>
          </cell>
          <cell r="S88">
            <v>0.98168436111126578</v>
          </cell>
          <cell r="T88">
            <v>0.98573576609100078</v>
          </cell>
          <cell r="U88">
            <v>0.98889100346175773</v>
          </cell>
          <cell r="V88">
            <v>0.99134830479687941</v>
          </cell>
          <cell r="W88">
            <v>0.99326205300091452</v>
          </cell>
        </row>
        <row r="89">
          <cell r="B89" t="str">
            <v>Appliances - Refrigerators-NR</v>
          </cell>
          <cell r="C89" t="str">
            <v>LO20Fast</v>
          </cell>
          <cell r="D89">
            <v>0.22119921692859512</v>
          </cell>
          <cell r="E89">
            <v>0.39346934028736658</v>
          </cell>
          <cell r="F89">
            <v>0.52763344725898531</v>
          </cell>
          <cell r="G89">
            <v>0.63212055882855767</v>
          </cell>
          <cell r="H89">
            <v>0.71349520313980985</v>
          </cell>
          <cell r="I89">
            <v>0.77686983985157021</v>
          </cell>
          <cell r="J89">
            <v>0.82622605654955483</v>
          </cell>
          <cell r="K89">
            <v>0.8646647167633873</v>
          </cell>
          <cell r="L89">
            <v>0.89460077543813565</v>
          </cell>
          <cell r="M89">
            <v>0.91791500137610116</v>
          </cell>
          <cell r="N89">
            <v>0.93607213879329243</v>
          </cell>
          <cell r="O89">
            <v>0.95021293163213605</v>
          </cell>
          <cell r="P89">
            <v>0.96122579216827797</v>
          </cell>
          <cell r="Q89">
            <v>0.96980261657768152</v>
          </cell>
          <cell r="R89">
            <v>0.97648225414399092</v>
          </cell>
          <cell r="S89">
            <v>0.98168436111126578</v>
          </cell>
          <cell r="T89">
            <v>0.98573576609100078</v>
          </cell>
          <cell r="U89">
            <v>0.98889100346175773</v>
          </cell>
          <cell r="V89">
            <v>0.99134830479687941</v>
          </cell>
          <cell r="W89">
            <v>0.99326205300091452</v>
          </cell>
        </row>
        <row r="90">
          <cell r="B90" t="str">
            <v>Water Cooler Controls-Retro</v>
          </cell>
          <cell r="C90" t="str">
            <v>Retro20Fast</v>
          </cell>
          <cell r="D90">
            <v>0.22119921692859512</v>
          </cell>
          <cell r="E90">
            <v>0.17227012335877145</v>
          </cell>
          <cell r="F90">
            <v>0.13416410697161874</v>
          </cell>
          <cell r="G90">
            <v>0.10448711156957236</v>
          </cell>
          <cell r="H90">
            <v>8.1374644311252187E-2</v>
          </cell>
          <cell r="I90">
            <v>6.3374636711760357E-2</v>
          </cell>
          <cell r="J90">
            <v>4.9356216697984623E-2</v>
          </cell>
          <cell r="K90">
            <v>3.8438660213832465E-2</v>
          </cell>
          <cell r="L90">
            <v>2.9936058674748356E-2</v>
          </cell>
          <cell r="M90">
            <v>2.3314225937965505E-2</v>
          </cell>
          <cell r="N90">
            <v>1.8157137417191271E-2</v>
          </cell>
          <cell r="O90">
            <v>1.4140792838843619E-2</v>
          </cell>
          <cell r="P90">
            <v>1.1012860536141922E-2</v>
          </cell>
          <cell r="Q90">
            <v>8.5768244094035495E-3</v>
          </cell>
          <cell r="R90">
            <v>6.6796375663094043E-3</v>
          </cell>
          <cell r="S90">
            <v>5.2021069672748554E-3</v>
          </cell>
          <cell r="T90">
            <v>4.051404979734996E-3</v>
          </cell>
          <cell r="U90">
            <v>3.1552373707569581E-3</v>
          </cell>
          <cell r="V90">
            <v>2.4573013351216755E-3</v>
          </cell>
          <cell r="W90">
            <v>1.913748204035115E-3</v>
          </cell>
        </row>
        <row r="91">
          <cell r="B91" t="str">
            <v>Commercial Clothes Washers-New</v>
          </cell>
          <cell r="C91" t="str">
            <v>LO20Fast</v>
          </cell>
          <cell r="D91">
            <v>0.22119921692859512</v>
          </cell>
          <cell r="E91">
            <v>0.39346934028736658</v>
          </cell>
          <cell r="F91">
            <v>0.52763344725898531</v>
          </cell>
          <cell r="G91">
            <v>0.63212055882855767</v>
          </cell>
          <cell r="H91">
            <v>0.71349520313980985</v>
          </cell>
          <cell r="I91">
            <v>0.77686983985157021</v>
          </cell>
          <cell r="J91">
            <v>0.82622605654955483</v>
          </cell>
          <cell r="K91">
            <v>0.8646647167633873</v>
          </cell>
          <cell r="L91">
            <v>0.89460077543813565</v>
          </cell>
          <cell r="M91">
            <v>0.91791500137610116</v>
          </cell>
          <cell r="N91">
            <v>0.93607213879329243</v>
          </cell>
          <cell r="O91">
            <v>0.95021293163213605</v>
          </cell>
          <cell r="P91">
            <v>0.96122579216827797</v>
          </cell>
          <cell r="Q91">
            <v>0.96980261657768152</v>
          </cell>
          <cell r="R91">
            <v>0.97648225414399092</v>
          </cell>
          <cell r="S91">
            <v>0.98168436111126578</v>
          </cell>
          <cell r="T91">
            <v>0.98573576609100078</v>
          </cell>
          <cell r="U91">
            <v>0.98889100346175773</v>
          </cell>
          <cell r="V91">
            <v>0.99134830479687941</v>
          </cell>
          <cell r="W91">
            <v>0.99326205300091452</v>
          </cell>
        </row>
        <row r="92">
          <cell r="B92" t="str">
            <v>DHW - Efficient Tanks-Retro</v>
          </cell>
          <cell r="C92" t="str">
            <v>Retro20Fast</v>
          </cell>
          <cell r="D92">
            <v>0.22119921692859512</v>
          </cell>
          <cell r="E92">
            <v>0.17227012335877145</v>
          </cell>
          <cell r="F92">
            <v>0.13416410697161874</v>
          </cell>
          <cell r="G92">
            <v>0.10448711156957236</v>
          </cell>
          <cell r="H92">
            <v>8.1374644311252187E-2</v>
          </cell>
          <cell r="I92">
            <v>6.3374636711760357E-2</v>
          </cell>
          <cell r="J92">
            <v>4.9356216697984623E-2</v>
          </cell>
          <cell r="K92">
            <v>3.8438660213832465E-2</v>
          </cell>
          <cell r="L92">
            <v>2.9936058674748356E-2</v>
          </cell>
          <cell r="M92">
            <v>2.3314225937965505E-2</v>
          </cell>
          <cell r="N92">
            <v>1.8157137417191271E-2</v>
          </cell>
          <cell r="O92">
            <v>1.4140792838843619E-2</v>
          </cell>
          <cell r="P92">
            <v>1.1012860536141922E-2</v>
          </cell>
          <cell r="Q92">
            <v>8.5768244094035495E-3</v>
          </cell>
          <cell r="R92">
            <v>6.6796375663094043E-3</v>
          </cell>
          <cell r="S92">
            <v>5.2021069672748554E-3</v>
          </cell>
          <cell r="T92">
            <v>4.051404979734996E-3</v>
          </cell>
          <cell r="U92">
            <v>3.1552373707569581E-3</v>
          </cell>
          <cell r="V92">
            <v>2.4573013351216755E-3</v>
          </cell>
          <cell r="W92">
            <v>1.913748204035115E-3</v>
          </cell>
        </row>
        <row r="93">
          <cell r="B93" t="str">
            <v>Appliances - Clothes Washers-NR</v>
          </cell>
          <cell r="C93" t="str">
            <v>Retro20Fast</v>
          </cell>
          <cell r="D93">
            <v>0.22119921692859512</v>
          </cell>
          <cell r="E93">
            <v>0.17227012335877145</v>
          </cell>
          <cell r="F93">
            <v>0.13416410697161874</v>
          </cell>
          <cell r="G93">
            <v>0.10448711156957236</v>
          </cell>
          <cell r="H93">
            <v>8.1374644311252187E-2</v>
          </cell>
          <cell r="I93">
            <v>6.3374636711760357E-2</v>
          </cell>
          <cell r="J93">
            <v>4.9356216697984623E-2</v>
          </cell>
          <cell r="K93">
            <v>3.8438660213832465E-2</v>
          </cell>
          <cell r="L93">
            <v>2.9936058674748356E-2</v>
          </cell>
          <cell r="M93">
            <v>2.3314225937965505E-2</v>
          </cell>
          <cell r="N93">
            <v>1.8157137417191271E-2</v>
          </cell>
          <cell r="O93">
            <v>1.4140792838843619E-2</v>
          </cell>
          <cell r="P93">
            <v>1.1012860536141922E-2</v>
          </cell>
          <cell r="Q93">
            <v>8.5768244094035495E-3</v>
          </cell>
          <cell r="R93">
            <v>6.6796375663094043E-3</v>
          </cell>
          <cell r="S93">
            <v>5.2021069672748554E-3</v>
          </cell>
          <cell r="T93">
            <v>4.051404979734996E-3</v>
          </cell>
          <cell r="U93">
            <v>3.1552373707569581E-3</v>
          </cell>
          <cell r="V93">
            <v>2.4573013351216755E-3</v>
          </cell>
          <cell r="W93">
            <v>1.913748204035115E-3</v>
          </cell>
        </row>
        <row r="94">
          <cell r="B94" t="str">
            <v>DHW - Showerheads-Retro</v>
          </cell>
          <cell r="C94" t="str">
            <v>Retro20Fast</v>
          </cell>
          <cell r="D94">
            <v>0.22119921692859512</v>
          </cell>
          <cell r="E94">
            <v>0.17227012335877145</v>
          </cell>
          <cell r="F94">
            <v>0.13416410697161874</v>
          </cell>
          <cell r="G94">
            <v>0.10448711156957236</v>
          </cell>
          <cell r="H94">
            <v>8.1374644311252187E-2</v>
          </cell>
          <cell r="I94">
            <v>6.3374636711760357E-2</v>
          </cell>
          <cell r="J94">
            <v>4.9356216697984623E-2</v>
          </cell>
          <cell r="K94">
            <v>3.8438660213832465E-2</v>
          </cell>
          <cell r="L94">
            <v>2.9936058674748356E-2</v>
          </cell>
          <cell r="M94">
            <v>2.3314225937965505E-2</v>
          </cell>
          <cell r="N94">
            <v>1.8157137417191271E-2</v>
          </cell>
          <cell r="O94">
            <v>1.4140792838843619E-2</v>
          </cell>
          <cell r="P94">
            <v>1.1012860536141922E-2</v>
          </cell>
          <cell r="Q94">
            <v>8.5768244094035495E-3</v>
          </cell>
          <cell r="R94">
            <v>6.6796375663094043E-3</v>
          </cell>
          <cell r="S94">
            <v>5.2021069672748554E-3</v>
          </cell>
          <cell r="T94">
            <v>4.051404979734996E-3</v>
          </cell>
          <cell r="U94">
            <v>3.1552373707569581E-3</v>
          </cell>
          <cell r="V94">
            <v>2.4573013351216755E-3</v>
          </cell>
          <cell r="W94">
            <v>1.913748204035115E-3</v>
          </cell>
        </row>
        <row r="95">
          <cell r="B95" t="str">
            <v>Water Heating - GFHX-New</v>
          </cell>
          <cell r="C95" t="str">
            <v>Retro20Fast</v>
          </cell>
          <cell r="D95">
            <v>0.22119921692859512</v>
          </cell>
          <cell r="E95">
            <v>0.17227012335877145</v>
          </cell>
          <cell r="F95">
            <v>0.13416410697161874</v>
          </cell>
          <cell r="G95">
            <v>0.10448711156957236</v>
          </cell>
          <cell r="H95">
            <v>8.1374644311252187E-2</v>
          </cell>
          <cell r="I95">
            <v>6.3374636711760357E-2</v>
          </cell>
          <cell r="J95">
            <v>4.9356216697984623E-2</v>
          </cell>
          <cell r="K95">
            <v>3.8438660213832465E-2</v>
          </cell>
          <cell r="L95">
            <v>2.9936058674748356E-2</v>
          </cell>
          <cell r="M95">
            <v>2.3314225937965505E-2</v>
          </cell>
          <cell r="N95">
            <v>1.8157137417191271E-2</v>
          </cell>
          <cell r="O95">
            <v>1.4140792838843619E-2</v>
          </cell>
          <cell r="P95">
            <v>1.1012860536141922E-2</v>
          </cell>
          <cell r="Q95">
            <v>8.5768244094035495E-3</v>
          </cell>
          <cell r="R95">
            <v>6.6796375663094043E-3</v>
          </cell>
          <cell r="S95">
            <v>5.2021069672748554E-3</v>
          </cell>
          <cell r="T95">
            <v>4.051404979734996E-3</v>
          </cell>
          <cell r="U95">
            <v>3.1552373707569581E-3</v>
          </cell>
          <cell r="V95">
            <v>2.4573013351216755E-3</v>
          </cell>
          <cell r="W95">
            <v>1.913748204035115E-3</v>
          </cell>
        </row>
        <row r="96">
          <cell r="B96" t="str">
            <v>Demand Control Circulating system DHW-Retro</v>
          </cell>
          <cell r="C96" t="str">
            <v>Retro20Fast</v>
          </cell>
          <cell r="D96">
            <v>0.22119921692859512</v>
          </cell>
          <cell r="E96">
            <v>0.17227012335877145</v>
          </cell>
          <cell r="F96">
            <v>0.13416410697161874</v>
          </cell>
          <cell r="G96">
            <v>0.10448711156957236</v>
          </cell>
          <cell r="H96">
            <v>8.1374644311252187E-2</v>
          </cell>
          <cell r="I96">
            <v>6.3374636711760357E-2</v>
          </cell>
          <cell r="J96">
            <v>4.9356216697984623E-2</v>
          </cell>
          <cell r="K96">
            <v>3.8438660213832465E-2</v>
          </cell>
          <cell r="L96">
            <v>2.9936058674748356E-2</v>
          </cell>
          <cell r="M96">
            <v>2.3314225937965505E-2</v>
          </cell>
          <cell r="N96">
            <v>1.8157137417191271E-2</v>
          </cell>
          <cell r="O96">
            <v>1.4140792838843619E-2</v>
          </cell>
          <cell r="P96">
            <v>1.1012860536141922E-2</v>
          </cell>
          <cell r="Q96">
            <v>8.5768244094035495E-3</v>
          </cell>
          <cell r="R96">
            <v>6.6796375663094043E-3</v>
          </cell>
          <cell r="S96">
            <v>5.2021069672748554E-3</v>
          </cell>
          <cell r="T96">
            <v>4.051404979734996E-3</v>
          </cell>
          <cell r="U96">
            <v>3.1552373707569581E-3</v>
          </cell>
          <cell r="V96">
            <v>2.4573013351216755E-3</v>
          </cell>
          <cell r="W96">
            <v>1.913748204035115E-3</v>
          </cell>
        </row>
        <row r="97">
          <cell r="B97" t="str">
            <v>Central HPWH MF-Retro</v>
          </cell>
          <cell r="C97" t="str">
            <v>Retro20Fast</v>
          </cell>
          <cell r="D97">
            <v>0.22119921692859512</v>
          </cell>
          <cell r="E97">
            <v>0.17227012335877145</v>
          </cell>
          <cell r="F97">
            <v>0.13416410697161874</v>
          </cell>
          <cell r="G97">
            <v>0.10448711156957236</v>
          </cell>
          <cell r="H97">
            <v>8.1374644311252187E-2</v>
          </cell>
          <cell r="I97">
            <v>6.3374636711760357E-2</v>
          </cell>
          <cell r="J97">
            <v>4.9356216697984623E-2</v>
          </cell>
          <cell r="K97">
            <v>3.8438660213832465E-2</v>
          </cell>
          <cell r="L97">
            <v>2.9936058674748356E-2</v>
          </cell>
          <cell r="M97">
            <v>2.3314225937965505E-2</v>
          </cell>
          <cell r="N97">
            <v>1.8157137417191271E-2</v>
          </cell>
          <cell r="O97">
            <v>1.4140792838843619E-2</v>
          </cell>
          <cell r="P97">
            <v>1.1012860536141922E-2</v>
          </cell>
          <cell r="Q97">
            <v>8.5768244094035495E-3</v>
          </cell>
          <cell r="R97">
            <v>6.6796375663094043E-3</v>
          </cell>
          <cell r="S97">
            <v>5.2021069672748554E-3</v>
          </cell>
          <cell r="T97">
            <v>4.051404979734996E-3</v>
          </cell>
          <cell r="U97">
            <v>3.1552373707569581E-3</v>
          </cell>
          <cell r="V97">
            <v>2.4573013351216755E-3</v>
          </cell>
          <cell r="W97">
            <v>1.913748204035115E-3</v>
          </cell>
        </row>
        <row r="98">
          <cell r="B98" t="str">
            <v>Integrated Building Design-New</v>
          </cell>
          <cell r="C98" t="str">
            <v>LO6Slow</v>
          </cell>
          <cell r="D98">
            <v>6.4608251467478173E-2</v>
          </cell>
          <cell r="E98">
            <v>0.10290708810158078</v>
          </cell>
          <cell r="F98">
            <v>0.1557042303818591</v>
          </cell>
          <cell r="G98">
            <v>0.22475674884796315</v>
          </cell>
          <cell r="H98">
            <v>0.31030374631829671</v>
          </cell>
          <cell r="I98">
            <v>0.41031846935650318</v>
          </cell>
          <cell r="J98">
            <v>0.52003617370885391</v>
          </cell>
          <cell r="K98">
            <v>0.63212055882855767</v>
          </cell>
          <cell r="L98">
            <v>0.7377466404557862</v>
          </cell>
          <cell r="M98">
            <v>0.82854120445365853</v>
          </cell>
          <cell r="N98">
            <v>0.89880187144550783</v>
          </cell>
          <cell r="O98">
            <v>0.94702023185045237</v>
          </cell>
          <cell r="P98">
            <v>0.97587446646509246</v>
          </cell>
          <cell r="Q98">
            <v>0.99064843138989922</v>
          </cell>
          <cell r="R98">
            <v>0.99698696575801748</v>
          </cell>
          <cell r="S98">
            <v>0.99921382347764809</v>
          </cell>
          <cell r="T98">
            <v>0.99983853349728657</v>
          </cell>
          <cell r="U98">
            <v>0.99997469191618293</v>
          </cell>
          <cell r="V98">
            <v>0.99999707255280523</v>
          </cell>
          <cell r="W98">
            <v>0.9999997589911811</v>
          </cell>
        </row>
        <row r="99">
          <cell r="D99" t="str">
            <v/>
          </cell>
          <cell r="E99" t="str">
            <v/>
          </cell>
          <cell r="F99" t="str">
            <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row>
        <row r="100">
          <cell r="D100" t="str">
            <v/>
          </cell>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row>
        <row r="101">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row>
        <row r="102">
          <cell r="D102" t="str">
            <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row>
        <row r="103">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row>
        <row r="104">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row>
        <row r="105">
          <cell r="D105" t="str">
            <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row>
        <row r="106">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row>
        <row r="107">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row>
        <row r="108">
          <cell r="D108" t="str">
            <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row>
        <row r="109">
          <cell r="D109" t="str">
            <v/>
          </cell>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row>
        <row r="110">
          <cell r="D110" t="str">
            <v/>
          </cell>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row>
        <row r="111">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row>
        <row r="112">
          <cell r="D112" t="str">
            <v/>
          </cell>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row>
        <row r="113">
          <cell r="D113" t="str">
            <v/>
          </cell>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row>
        <row r="114">
          <cell r="D114" t="str">
            <v/>
          </cell>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row>
      </sheetData>
      <sheetData sheetId="9">
        <row r="11">
          <cell r="B11" t="str">
            <v>LO 6Slow</v>
          </cell>
          <cell r="C11">
            <v>6.8006676335559124E-2</v>
          </cell>
          <cell r="D11">
            <v>3.9224510827677861E-2</v>
          </cell>
          <cell r="E11">
            <v>5.3522848156380864E-2</v>
          </cell>
          <cell r="F11">
            <v>6.9350303167639571E-2</v>
          </cell>
          <cell r="G11">
            <v>8.5204527235350658E-2</v>
          </cell>
          <cell r="H11">
            <v>9.8919334776786716E-2</v>
          </cell>
          <cell r="I11">
            <v>0.10794558171376889</v>
          </cell>
          <cell r="J11">
            <v>0.10994677661539398</v>
          </cell>
          <cell r="K11">
            <v>0.10361782836391265</v>
          </cell>
          <cell r="L11">
            <v>8.9425686530052673E-2</v>
          </cell>
          <cell r="M11">
            <v>6.9831007950883595E-2</v>
          </cell>
          <cell r="N11">
            <v>4.8668671325275303E-2</v>
          </cell>
          <cell r="O11">
            <v>2.9811677760528066E-2</v>
          </cell>
          <cell r="P11">
            <v>1.5777180019639347E-2</v>
          </cell>
          <cell r="Q11">
            <v>7.0791607692574088E-3</v>
          </cell>
          <cell r="R11">
            <v>2.6379161707807963E-3</v>
          </cell>
          <cell r="S11">
            <v>7.9813489683344674E-4</v>
          </cell>
          <cell r="T11">
            <v>1.9133874115884186E-4</v>
          </cell>
          <cell r="U11">
            <v>3.5395740778376705E-5</v>
          </cell>
        </row>
        <row r="12">
          <cell r="B12" t="str">
            <v>LO 20Fast</v>
          </cell>
          <cell r="C12">
            <v>0.22119921692859512</v>
          </cell>
          <cell r="D12">
            <v>0.17227012335877145</v>
          </cell>
          <cell r="E12">
            <v>0.13416410697161874</v>
          </cell>
          <cell r="F12">
            <v>0.10448711156957236</v>
          </cell>
          <cell r="G12">
            <v>8.1374644311252187E-2</v>
          </cell>
          <cell r="H12">
            <v>6.3374636711760357E-2</v>
          </cell>
          <cell r="I12">
            <v>4.9356216697984623E-2</v>
          </cell>
          <cell r="J12">
            <v>3.8438660213832465E-2</v>
          </cell>
          <cell r="K12">
            <v>2.9936058674748356E-2</v>
          </cell>
          <cell r="L12">
            <v>2.3314225937965505E-2</v>
          </cell>
          <cell r="M12">
            <v>1.8157137417191271E-2</v>
          </cell>
          <cell r="N12">
            <v>1.4140792838843619E-2</v>
          </cell>
          <cell r="O12">
            <v>1.1012860536141922E-2</v>
          </cell>
          <cell r="P12">
            <v>8.5768244094035495E-3</v>
          </cell>
          <cell r="Q12">
            <v>6.6796375663094043E-3</v>
          </cell>
          <cell r="R12">
            <v>5.2021069672748554E-3</v>
          </cell>
          <cell r="S12">
            <v>4.051404979734996E-3</v>
          </cell>
          <cell r="T12">
            <v>3.1552373707569581E-3</v>
          </cell>
          <cell r="U12">
            <v>2.4573013351216755E-3</v>
          </cell>
        </row>
        <row r="13">
          <cell r="B13" t="str">
            <v>LO 2Slow</v>
          </cell>
          <cell r="C13">
            <v>2.1485685902110623E-2</v>
          </cell>
          <cell r="D13">
            <v>2.5643970768378654E-3</v>
          </cell>
          <cell r="E13">
            <v>5.1260615529385989E-3</v>
          </cell>
          <cell r="F13">
            <v>9.1015544176433795E-3</v>
          </cell>
          <cell r="G13">
            <v>1.4804925730045659E-2</v>
          </cell>
          <cell r="H13">
            <v>2.2471809420486211E-2</v>
          </cell>
          <cell r="I13">
            <v>3.2184432813882391E-2</v>
          </cell>
          <cell r="J13">
            <v>4.3779667172004086E-2</v>
          </cell>
          <cell r="K13">
            <v>5.675426075474499E-2</v>
          </cell>
          <cell r="L13">
            <v>7.0195239068707532E-2</v>
          </cell>
          <cell r="M13">
            <v>8.2776861842756788E-2</v>
          </cell>
          <cell r="N13">
            <v>9.2870259507494834E-2</v>
          </cell>
          <cell r="O13">
            <v>9.8796470678915727E-2</v>
          </cell>
          <cell r="P13">
            <v>9.9208932889988999E-2</v>
          </cell>
          <cell r="Q13">
            <v>9.3521150494244254E-2</v>
          </cell>
          <cell r="R13">
            <v>8.2226007896862296E-2</v>
          </cell>
          <cell r="S13">
            <v>6.6933566027365665E-2</v>
          </cell>
          <cell r="T13">
            <v>5.0029565143448806E-2</v>
          </cell>
          <cell r="U13">
            <v>3.402486521893211E-2</v>
          </cell>
        </row>
      </sheetData>
      <sheetData sheetId="10">
        <row r="11">
          <cell r="B11" t="str">
            <v>Compressed Air Improvements-Retro</v>
          </cell>
          <cell r="C11" t="str">
            <v>LPD baseline to minimum of code or 1995-2001 practice.</v>
          </cell>
        </row>
        <row r="12">
          <cell r="B12" t="str">
            <v>Network PC Power Management-Retro</v>
          </cell>
          <cell r="C12" t="str">
            <v>LPD baseline to minimum of code or 1995-2001 practice</v>
          </cell>
          <cell r="F12" t="str">
            <v>OR FloorA%REG</v>
          </cell>
          <cell r="G12">
            <v>0.22</v>
          </cell>
          <cell r="H12">
            <v>0.22</v>
          </cell>
          <cell r="I12">
            <v>0.22</v>
          </cell>
          <cell r="J12">
            <v>0.33</v>
          </cell>
          <cell r="K12">
            <v>0.33</v>
          </cell>
          <cell r="L12">
            <v>0.33</v>
          </cell>
          <cell r="M12">
            <v>0.33</v>
          </cell>
          <cell r="N12">
            <v>0.15</v>
          </cell>
          <cell r="O12">
            <v>0.15</v>
          </cell>
          <cell r="P12">
            <v>0.42</v>
          </cell>
          <cell r="Q12">
            <v>0.17</v>
          </cell>
          <cell r="R12">
            <v>0.17</v>
          </cell>
          <cell r="S12">
            <v>0.35</v>
          </cell>
          <cell r="T12">
            <v>0.38</v>
          </cell>
          <cell r="U12">
            <v>0.25</v>
          </cell>
        </row>
        <row r="13">
          <cell r="B13" t="str">
            <v>Computer Servers and IT-Retro</v>
          </cell>
          <cell r="C13" t="str">
            <v>Assume code ballasts in baseline retrofit</v>
          </cell>
          <cell r="F13" t="str">
            <v>Frac Floor w &gt;30% ww ratio</v>
          </cell>
          <cell r="G13">
            <v>0.5</v>
          </cell>
          <cell r="H13">
            <v>0.5</v>
          </cell>
          <cell r="I13">
            <v>0.5</v>
          </cell>
          <cell r="J13">
            <v>0</v>
          </cell>
          <cell r="K13">
            <v>0</v>
          </cell>
          <cell r="L13">
            <v>0.5</v>
          </cell>
          <cell r="M13">
            <v>0</v>
          </cell>
          <cell r="N13">
            <v>0.4</v>
          </cell>
          <cell r="O13">
            <v>0.4</v>
          </cell>
          <cell r="P13">
            <v>0</v>
          </cell>
          <cell r="Q13">
            <v>0.05</v>
          </cell>
          <cell r="R13">
            <v>0</v>
          </cell>
          <cell r="S13">
            <v>0.5</v>
          </cell>
          <cell r="T13">
            <v>0.5</v>
          </cell>
          <cell r="U13">
            <v>0.5</v>
          </cell>
        </row>
        <row r="14">
          <cell r="B14" t="str">
            <v>Smart Plug Power Strips-Retro</v>
          </cell>
          <cell r="F14" t="str">
            <v>OR FloorA Exceed Code</v>
          </cell>
          <cell r="G14">
            <v>0.11</v>
          </cell>
          <cell r="H14">
            <v>0.11</v>
          </cell>
          <cell r="I14">
            <v>0.11</v>
          </cell>
          <cell r="J14">
            <v>0.33</v>
          </cell>
          <cell r="K14">
            <v>0.33</v>
          </cell>
          <cell r="L14">
            <v>0.16500000000000001</v>
          </cell>
          <cell r="M14">
            <v>0.33</v>
          </cell>
          <cell r="N14">
            <v>0.09</v>
          </cell>
          <cell r="O14">
            <v>0.09</v>
          </cell>
          <cell r="P14">
            <v>0.42</v>
          </cell>
          <cell r="Q14">
            <v>0.1615</v>
          </cell>
          <cell r="R14">
            <v>0.17</v>
          </cell>
          <cell r="S14">
            <v>0.17499999999999999</v>
          </cell>
          <cell r="T14">
            <v>0.19</v>
          </cell>
          <cell r="U14">
            <v>0.125</v>
          </cell>
        </row>
        <row r="15">
          <cell r="B15" t="e">
            <v>#REF!</v>
          </cell>
          <cell r="C15" t="str">
            <v>Account for smoke hatch in baseline</v>
          </cell>
        </row>
        <row r="16">
          <cell r="B16" t="e">
            <v>#REF!</v>
          </cell>
          <cell r="F16" t="str">
            <v>WA FloorA%REG</v>
          </cell>
          <cell r="G16">
            <v>0.72</v>
          </cell>
          <cell r="H16">
            <v>0.72</v>
          </cell>
          <cell r="I16">
            <v>0.72</v>
          </cell>
          <cell r="J16">
            <v>0.61</v>
          </cell>
          <cell r="K16">
            <v>0.61</v>
          </cell>
          <cell r="L16">
            <v>0.61</v>
          </cell>
          <cell r="M16">
            <v>0.61</v>
          </cell>
          <cell r="N16">
            <v>0.68</v>
          </cell>
          <cell r="O16">
            <v>0.68</v>
          </cell>
          <cell r="P16">
            <v>0.49</v>
          </cell>
          <cell r="Q16">
            <v>0.62</v>
          </cell>
          <cell r="R16">
            <v>0.62</v>
          </cell>
          <cell r="S16">
            <v>0.56000000000000005</v>
          </cell>
          <cell r="T16">
            <v>0.49</v>
          </cell>
          <cell r="U16">
            <v>0.56000000000000005</v>
          </cell>
        </row>
        <row r="17">
          <cell r="B17" t="str">
            <v>Data Centers-Retro</v>
          </cell>
          <cell r="C17" t="str">
            <v>Only fraction beyond switching in code baseline OR</v>
          </cell>
          <cell r="F17" t="str">
            <v>Fraction with ElecHt</v>
          </cell>
          <cell r="G17">
            <v>0.4</v>
          </cell>
          <cell r="H17">
            <v>0.14000000000000001</v>
          </cell>
          <cell r="I17">
            <v>0.16</v>
          </cell>
          <cell r="J17">
            <v>0.04</v>
          </cell>
          <cell r="K17">
            <v>0.03</v>
          </cell>
          <cell r="L17">
            <v>0.03</v>
          </cell>
          <cell r="M17">
            <v>0.25</v>
          </cell>
          <cell r="N17">
            <v>0.01</v>
          </cell>
          <cell r="O17">
            <v>0.2</v>
          </cell>
          <cell r="P17">
            <v>0.05</v>
          </cell>
          <cell r="Q17">
            <v>0.01</v>
          </cell>
          <cell r="R17">
            <v>0.01</v>
          </cell>
          <cell r="S17">
            <v>9.9999999999999995E-7</v>
          </cell>
          <cell r="T17">
            <v>0.25</v>
          </cell>
          <cell r="U17">
            <v>0.08</v>
          </cell>
          <cell r="V17">
            <v>0.3</v>
          </cell>
          <cell r="W17">
            <v>0.1</v>
          </cell>
          <cell r="X17">
            <v>0.2</v>
          </cell>
        </row>
        <row r="18">
          <cell r="B18" t="str">
            <v>Commercial Computer Monitor-NR</v>
          </cell>
          <cell r="C18" t="str">
            <v>Only fraction beyond switching in code baseline OR</v>
          </cell>
          <cell r="F18" t="str">
            <v>Frac Meet Elec Ht Code</v>
          </cell>
          <cell r="G18">
            <v>0.5</v>
          </cell>
          <cell r="H18">
            <v>0.5</v>
          </cell>
          <cell r="I18">
            <v>0.5</v>
          </cell>
          <cell r="J18">
            <v>0.9</v>
          </cell>
          <cell r="K18">
            <v>0.9</v>
          </cell>
          <cell r="L18">
            <v>0.9</v>
          </cell>
          <cell r="M18">
            <v>0.5</v>
          </cell>
          <cell r="N18">
            <v>0.5</v>
          </cell>
          <cell r="O18">
            <v>0.5</v>
          </cell>
          <cell r="P18">
            <v>0.9</v>
          </cell>
          <cell r="Q18">
            <v>0.9</v>
          </cell>
          <cell r="R18">
            <v>0.9</v>
          </cell>
          <cell r="S18">
            <v>0.9</v>
          </cell>
          <cell r="T18">
            <v>0.9</v>
          </cell>
          <cell r="U18">
            <v>0.5</v>
          </cell>
          <cell r="V18">
            <v>0.5</v>
          </cell>
          <cell r="W18">
            <v>0.5</v>
          </cell>
          <cell r="X18">
            <v>0.9</v>
          </cell>
        </row>
        <row r="19">
          <cell r="B19" t="e">
            <v>#REF!</v>
          </cell>
          <cell r="F19" t="str">
            <v>WA Floor A Exceed Code</v>
          </cell>
          <cell r="G19">
            <v>0.14399999999999999</v>
          </cell>
          <cell r="H19">
            <v>5.04E-2</v>
          </cell>
          <cell r="I19">
            <v>5.7599999999999998E-2</v>
          </cell>
          <cell r="J19">
            <v>2.4399999999999995E-3</v>
          </cell>
          <cell r="K19">
            <v>1.8299999999999996E-3</v>
          </cell>
          <cell r="L19">
            <v>1.8299999999999996E-3</v>
          </cell>
          <cell r="M19">
            <v>7.6249999999999998E-2</v>
          </cell>
          <cell r="N19">
            <v>3.4000000000000002E-3</v>
          </cell>
          <cell r="O19">
            <v>6.8000000000000005E-2</v>
          </cell>
          <cell r="P19">
            <v>2.4499999999999995E-3</v>
          </cell>
          <cell r="Q19">
            <v>6.1999999999999989E-4</v>
          </cell>
          <cell r="R19">
            <v>6.1999999999999989E-4</v>
          </cell>
          <cell r="S19">
            <v>5.5999999999999992E-8</v>
          </cell>
          <cell r="T19">
            <v>1.2249999999999997E-2</v>
          </cell>
          <cell r="U19">
            <v>2.2400000000000003E-2</v>
          </cell>
          <cell r="V19">
            <v>8.8499999999999995E-2</v>
          </cell>
          <cell r="W19">
            <v>0.03</v>
          </cell>
          <cell r="X19">
            <v>1.3399999999999997E-2</v>
          </cell>
        </row>
        <row r="20">
          <cell r="B20" t="str">
            <v>Commercial Computer Desktop-NR</v>
          </cell>
        </row>
        <row r="21">
          <cell r="B21" t="str">
            <v>Pre-Rinse Spray Valve-Retro</v>
          </cell>
          <cell r="F21" t="str">
            <v>Region Wide Frac Exceed Target</v>
          </cell>
          <cell r="G21">
            <v>0.05</v>
          </cell>
          <cell r="H21">
            <v>0.05</v>
          </cell>
          <cell r="I21">
            <v>0.05</v>
          </cell>
          <cell r="J21">
            <v>0.05</v>
          </cell>
          <cell r="K21">
            <v>0.05</v>
          </cell>
          <cell r="L21">
            <v>0.05</v>
          </cell>
          <cell r="M21">
            <v>0.05</v>
          </cell>
          <cell r="N21">
            <v>0.05</v>
          </cell>
          <cell r="O21">
            <v>0.05</v>
          </cell>
          <cell r="P21">
            <v>0.05</v>
          </cell>
          <cell r="Q21">
            <v>0.05</v>
          </cell>
          <cell r="R21">
            <v>0.05</v>
          </cell>
          <cell r="S21">
            <v>0.05</v>
          </cell>
          <cell r="T21">
            <v>0.05</v>
          </cell>
          <cell r="U21">
            <v>0.05</v>
          </cell>
          <cell r="V21">
            <v>0.05</v>
          </cell>
          <cell r="W21">
            <v>0.05</v>
          </cell>
          <cell r="X21">
            <v>0.05</v>
          </cell>
        </row>
        <row r="22">
          <cell r="B22" t="e">
            <v>#REF!</v>
          </cell>
        </row>
        <row r="23">
          <cell r="B23" t="str">
            <v>Cooking Equipment-NR</v>
          </cell>
          <cell r="C23" t="str">
            <v>Not applicable in Seattle due to code requirement</v>
          </cell>
        </row>
        <row r="24">
          <cell r="B24" t="str">
            <v>Premium HVAC Equipment-New</v>
          </cell>
          <cell r="C24" t="str">
            <v>Not applicable in Seattle due to code requirement</v>
          </cell>
          <cell r="F24" t="str">
            <v>Baseline Exceed Code New</v>
          </cell>
          <cell r="G24">
            <v>0.30399999999999999</v>
          </cell>
          <cell r="H24">
            <v>0.21039999999999998</v>
          </cell>
          <cell r="I24">
            <v>0.21760000000000002</v>
          </cell>
          <cell r="J24">
            <v>0.38244</v>
          </cell>
          <cell r="K24">
            <v>0.38183</v>
          </cell>
          <cell r="L24">
            <v>0.21683000000000002</v>
          </cell>
          <cell r="M24">
            <v>0.45624999999999999</v>
          </cell>
          <cell r="N24">
            <v>0.1434</v>
          </cell>
          <cell r="O24">
            <v>0.20800000000000002</v>
          </cell>
          <cell r="P24">
            <v>0.47244999999999998</v>
          </cell>
          <cell r="Q24">
            <v>0.21212000000000003</v>
          </cell>
          <cell r="R24">
            <v>0.22062000000000004</v>
          </cell>
          <cell r="S24">
            <v>0.225000056</v>
          </cell>
          <cell r="T24">
            <v>0.25224999999999997</v>
          </cell>
          <cell r="U24">
            <v>0.19740000000000002</v>
          </cell>
          <cell r="V24">
            <v>0.25850000000000001</v>
          </cell>
          <cell r="W24">
            <v>0.2</v>
          </cell>
          <cell r="X24">
            <v>0.23139999999999999</v>
          </cell>
        </row>
        <row r="25">
          <cell r="B25" t="e">
            <v>#REF!</v>
          </cell>
        </row>
        <row r="26">
          <cell r="B26" t="str">
            <v>Premium HVAC Equipment-NR</v>
          </cell>
          <cell r="C26" t="str">
            <v>Baseline adjusted to reflect codes</v>
          </cell>
          <cell r="F26" t="str">
            <v>Fract Excced Target CBSA New 2002-2004</v>
          </cell>
          <cell r="G26">
            <v>0.45</v>
          </cell>
          <cell r="H26">
            <v>0.45</v>
          </cell>
          <cell r="I26">
            <v>0.45</v>
          </cell>
          <cell r="J26">
            <v>0.2</v>
          </cell>
          <cell r="K26">
            <v>0.2</v>
          </cell>
          <cell r="L26">
            <v>0.2</v>
          </cell>
          <cell r="M26">
            <v>0.2</v>
          </cell>
          <cell r="N26">
            <v>0.45</v>
          </cell>
          <cell r="O26">
            <v>0.9</v>
          </cell>
          <cell r="P26">
            <v>0.2</v>
          </cell>
          <cell r="Q26">
            <v>0.1</v>
          </cell>
          <cell r="R26">
            <v>0.1</v>
          </cell>
          <cell r="S26">
            <v>0.25</v>
          </cell>
          <cell r="T26">
            <v>0.5</v>
          </cell>
          <cell r="U26">
            <v>0.75</v>
          </cell>
          <cell r="V26">
            <v>0.25</v>
          </cell>
          <cell r="W26">
            <v>0.2</v>
          </cell>
          <cell r="X26">
            <v>0.3</v>
          </cell>
        </row>
        <row r="27">
          <cell r="B27" t="str">
            <v>Glass-New</v>
          </cell>
          <cell r="C27" t="str">
            <v>Baseline adjusted to reflect codes</v>
          </cell>
        </row>
        <row r="28">
          <cell r="B28" t="e">
            <v>#REF!</v>
          </cell>
        </row>
        <row r="29">
          <cell r="B29" t="str">
            <v>Glass-NR</v>
          </cell>
          <cell r="C29" t="str">
            <v>Baseline adjusted to reflect codes.  Measure baseline excludes 50% of WA=ElecHt, OR&gt;30%glass.</v>
          </cell>
        </row>
        <row r="30">
          <cell r="B30" t="str">
            <v>Glass-Retro</v>
          </cell>
          <cell r="C30" t="str">
            <v>Baseline adjusted to reflect codes</v>
          </cell>
        </row>
        <row r="31">
          <cell r="B31" t="str">
            <v>Advanced Rooftop Controller-New</v>
          </cell>
          <cell r="C31" t="str">
            <v>Single Glazed Fraction from CBSA</v>
          </cell>
        </row>
        <row r="32">
          <cell r="B32" t="str">
            <v>Advanced Rooftop Controller-NR</v>
          </cell>
        </row>
        <row r="33">
          <cell r="B33" t="str">
            <v>Advanced Rooftop Controller-Retro</v>
          </cell>
        </row>
        <row r="34">
          <cell r="B34" t="str">
            <v>Variable Speed Chiller-New</v>
          </cell>
          <cell r="C34" t="str">
            <v>Assumes marginally-effective economizer in baseline</v>
          </cell>
        </row>
        <row r="35">
          <cell r="B35" t="str">
            <v>Variable Speed Chiller-NR</v>
          </cell>
          <cell r="C35" t="str">
            <v>Baseline assumes historic mix of chiller types and modular chiller control</v>
          </cell>
        </row>
        <row r="36">
          <cell r="B36" t="str">
            <v>Commercial EM-New</v>
          </cell>
          <cell r="C36" t="str">
            <v>Baseline assumes historic mix of chiller types and modular chiller control</v>
          </cell>
        </row>
        <row r="37">
          <cell r="B37" t="e">
            <v>#REF!</v>
          </cell>
          <cell r="C37" t="str">
            <v>Baseline at code and modular deployment</v>
          </cell>
        </row>
        <row r="38">
          <cell r="B38" t="str">
            <v>Commercial EM-NR</v>
          </cell>
          <cell r="C38" t="str">
            <v>Baseline assume partial penetration of measure</v>
          </cell>
        </row>
        <row r="39">
          <cell r="B39" t="str">
            <v>Commercial EM-Retro</v>
          </cell>
        </row>
        <row r="40">
          <cell r="B40" t="str">
            <v>Evaporative Assist Cooling-New</v>
          </cell>
        </row>
        <row r="41">
          <cell r="B41" t="str">
            <v>Evaporative Assist Cooling-NR</v>
          </cell>
          <cell r="C41" t="str">
            <v>Assumes marginally-effective economizer in baseline</v>
          </cell>
        </row>
        <row r="42">
          <cell r="B42" t="str">
            <v>Low Pressure Distribution Complex HVAC-New</v>
          </cell>
          <cell r="C42" t="str">
            <v>Assumes marginally-effective economizer in baseline</v>
          </cell>
        </row>
        <row r="43">
          <cell r="B43" t="e">
            <v>#REF!</v>
          </cell>
        </row>
        <row r="44">
          <cell r="B44" t="str">
            <v>Demand Control Ventilation-New</v>
          </cell>
          <cell r="C44" t="str">
            <v>Measure not in any code baseline</v>
          </cell>
        </row>
        <row r="45">
          <cell r="B45" t="e">
            <v>#REF!</v>
          </cell>
          <cell r="C45" t="str">
            <v>Measure not in any code baseline</v>
          </cell>
        </row>
        <row r="46">
          <cell r="B46" t="e">
            <v>#REF!</v>
          </cell>
        </row>
        <row r="47">
          <cell r="B47" t="str">
            <v>Demand Control Ventilation-NR</v>
          </cell>
          <cell r="C47" t="str">
            <v>Measure dropped due to code</v>
          </cell>
        </row>
        <row r="48">
          <cell r="B48" t="str">
            <v>Demand Control Ventilation-Retro</v>
          </cell>
          <cell r="C48" t="str">
            <v>Measure dropped due to code</v>
          </cell>
        </row>
        <row r="49">
          <cell r="B49" t="str">
            <v>Premium Fume Hood-New</v>
          </cell>
        </row>
        <row r="50">
          <cell r="B50" t="e">
            <v>#REF!</v>
          </cell>
        </row>
        <row r="51">
          <cell r="B51" t="e">
            <v>#REF!</v>
          </cell>
        </row>
        <row r="52">
          <cell r="B52" t="e">
            <v>#REF!</v>
          </cell>
        </row>
        <row r="53">
          <cell r="B53" t="e">
            <v>#REF!</v>
          </cell>
        </row>
        <row r="54">
          <cell r="B54" t="e">
            <v>#REF!</v>
          </cell>
        </row>
        <row r="55">
          <cell r="B55" t="e">
            <v>#REF!</v>
          </cell>
        </row>
        <row r="56">
          <cell r="B56" t="e">
            <v>#REF!</v>
          </cell>
        </row>
        <row r="57">
          <cell r="B57" t="e">
            <v>#REF!</v>
          </cell>
        </row>
        <row r="58">
          <cell r="B58" t="e">
            <v>#REF!</v>
          </cell>
        </row>
        <row r="59">
          <cell r="B59" t="e">
            <v>#REF!</v>
          </cell>
        </row>
        <row r="60">
          <cell r="B60" t="e">
            <v>#REF!</v>
          </cell>
        </row>
        <row r="61">
          <cell r="B61" t="str">
            <v>DCV Restaurant Hood-Retro</v>
          </cell>
        </row>
        <row r="62">
          <cell r="B62" t="e">
            <v>#REF!</v>
          </cell>
        </row>
        <row r="63">
          <cell r="B63" t="e">
            <v>#REF!</v>
          </cell>
        </row>
        <row r="64">
          <cell r="B64" t="e">
            <v>#REF!</v>
          </cell>
        </row>
        <row r="65">
          <cell r="B65" t="e">
            <v>#REF!</v>
          </cell>
        </row>
        <row r="66">
          <cell r="B66" t="e">
            <v>#REF!</v>
          </cell>
        </row>
        <row r="67">
          <cell r="B67" t="e">
            <v>#REF!</v>
          </cell>
        </row>
        <row r="68">
          <cell r="B68" t="e">
            <v>#REF!</v>
          </cell>
        </row>
        <row r="69">
          <cell r="B69" t="e">
            <v>#REF!</v>
          </cell>
        </row>
        <row r="70">
          <cell r="B70" t="e">
            <v>#REF!</v>
          </cell>
        </row>
        <row r="71">
          <cell r="B71" t="e">
            <v>#REF!</v>
          </cell>
        </row>
        <row r="72">
          <cell r="B72" t="str">
            <v>DCV Parking Garage-Retro</v>
          </cell>
        </row>
        <row r="73">
          <cell r="B73" t="str">
            <v>Weatherization - School-Retro</v>
          </cell>
        </row>
        <row r="74">
          <cell r="B74" t="e">
            <v>#REF!</v>
          </cell>
        </row>
        <row r="75">
          <cell r="B75" t="str">
            <v>Energy Recovery Ventilator-NR</v>
          </cell>
        </row>
        <row r="76">
          <cell r="B76" t="str">
            <v>AC Heat Recovery for Water Heating-NR</v>
          </cell>
        </row>
        <row r="77">
          <cell r="B77" t="str">
            <v>Room Occupancy Sensors in Lodging-Retro</v>
          </cell>
        </row>
        <row r="78">
          <cell r="B78" t="str">
            <v>Chiller - chilled water retrofit-Retro</v>
          </cell>
        </row>
        <row r="79">
          <cell r="B79" t="str">
            <v>Office Equipment</v>
          </cell>
          <cell r="C79" t="str">
            <v>New</v>
          </cell>
        </row>
        <row r="80">
          <cell r="B80" t="str">
            <v>Computer Servers and IT</v>
          </cell>
          <cell r="C80" t="str">
            <v>New</v>
          </cell>
        </row>
        <row r="81">
          <cell r="B81" t="e">
            <v>#REF!</v>
          </cell>
        </row>
        <row r="82">
          <cell r="B82" t="str">
            <v>Pool Blankets-Retro</v>
          </cell>
        </row>
        <row r="83">
          <cell r="B83" t="e">
            <v>#REF!</v>
          </cell>
        </row>
        <row r="84">
          <cell r="B84" t="e">
            <v>#REF!</v>
          </cell>
        </row>
        <row r="85">
          <cell r="B85" t="str">
            <v>Web-Enabled Thermostats-Retro</v>
          </cell>
        </row>
        <row r="86">
          <cell r="B86" t="e">
            <v>#REF!</v>
          </cell>
        </row>
        <row r="87">
          <cell r="B87" t="e">
            <v>#REF!</v>
          </cell>
        </row>
        <row r="88">
          <cell r="B88" t="str">
            <v>Garage CO2 ventilation-Retro</v>
          </cell>
        </row>
        <row r="89">
          <cell r="B89" t="e">
            <v>#REF!</v>
          </cell>
        </row>
        <row r="90">
          <cell r="B90" t="e">
            <v>#REF!</v>
          </cell>
        </row>
        <row r="91">
          <cell r="B91" t="e">
            <v>#REF!</v>
          </cell>
        </row>
        <row r="92">
          <cell r="B92" t="e">
            <v>#REF!</v>
          </cell>
        </row>
        <row r="93">
          <cell r="B93" t="e">
            <v>#REF!</v>
          </cell>
        </row>
        <row r="94">
          <cell r="B94" t="str">
            <v>Circ Pump ECM and drive-Retro</v>
          </cell>
        </row>
        <row r="95">
          <cell r="B95" t="str">
            <v>VRF-New</v>
          </cell>
        </row>
        <row r="96">
          <cell r="B96">
            <v>0</v>
          </cell>
        </row>
        <row r="97">
          <cell r="B97">
            <v>0</v>
          </cell>
        </row>
        <row r="98">
          <cell r="B98">
            <v>0</v>
          </cell>
        </row>
        <row r="99">
          <cell r="B99">
            <v>0</v>
          </cell>
        </row>
        <row r="100">
          <cell r="B100">
            <v>0</v>
          </cell>
        </row>
        <row r="101">
          <cell r="B101">
            <v>0</v>
          </cell>
        </row>
        <row r="102">
          <cell r="B102">
            <v>0</v>
          </cell>
        </row>
        <row r="103">
          <cell r="B103">
            <v>0</v>
          </cell>
        </row>
        <row r="104">
          <cell r="B104">
            <v>0</v>
          </cell>
        </row>
        <row r="105">
          <cell r="B105">
            <v>0</v>
          </cell>
        </row>
      </sheetData>
      <sheetData sheetId="11">
        <row r="13">
          <cell r="B13" t="str">
            <v>FORECAST</v>
          </cell>
          <cell r="C13">
            <v>0.2753822234284411</v>
          </cell>
          <cell r="F13">
            <v>0.16460579160070057</v>
          </cell>
          <cell r="J13">
            <v>0.13145369092419742</v>
          </cell>
          <cell r="L13">
            <v>0.39327237991164837</v>
          </cell>
          <cell r="M13">
            <v>1.6477234211790946E-2</v>
          </cell>
          <cell r="O13">
            <v>1.8808679923221546E-2</v>
          </cell>
        </row>
        <row r="14">
          <cell r="B14" t="str">
            <v>POST2013</v>
          </cell>
          <cell r="C14" t="str">
            <v>Office</v>
          </cell>
          <cell r="F14" t="str">
            <v>Retail</v>
          </cell>
          <cell r="J14" t="str">
            <v>School</v>
          </cell>
          <cell r="L14" t="str">
            <v>Warehouse</v>
          </cell>
          <cell r="M14" t="str">
            <v>Grocery</v>
          </cell>
          <cell r="O14" t="str">
            <v>Restaurant</v>
          </cell>
          <cell r="P14" t="str">
            <v>Lodging</v>
          </cell>
          <cell r="Q14" t="str">
            <v>Health</v>
          </cell>
          <cell r="S14" t="str">
            <v>Assembly</v>
          </cell>
          <cell r="T14" t="str">
            <v>Other</v>
          </cell>
        </row>
        <row r="15">
          <cell r="B15" t="str">
            <v>FloorA%ACT</v>
          </cell>
          <cell r="C15">
            <v>0.18456616532037587</v>
          </cell>
          <cell r="F15">
            <v>0.11032178971843018</v>
          </cell>
          <cell r="J15">
            <v>8.8102650015074571E-2</v>
          </cell>
          <cell r="L15">
            <v>0.26357828832612473</v>
          </cell>
          <cell r="M15">
            <v>1.10433414898555E-2</v>
          </cell>
          <cell r="O15">
            <v>1.2605918729788336E-2</v>
          </cell>
          <cell r="P15">
            <v>4.9769213508389983E-2</v>
          </cell>
          <cell r="Q15">
            <v>9.3440790741476529E-2</v>
          </cell>
          <cell r="S15">
            <v>0.10134911543280216</v>
          </cell>
          <cell r="T15">
            <v>8.5222726717682065E-2</v>
          </cell>
        </row>
        <row r="16">
          <cell r="B16" t="str">
            <v>POST2013</v>
          </cell>
          <cell r="C16" t="str">
            <v>Large Off</v>
          </cell>
          <cell r="D16" t="str">
            <v>Medium Off</v>
          </cell>
          <cell r="E16" t="str">
            <v>Small Off</v>
          </cell>
          <cell r="F16" t="str">
            <v>Xlarge Ret</v>
          </cell>
          <cell r="G16" t="str">
            <v>Large Ret</v>
          </cell>
          <cell r="H16" t="str">
            <v>Medium Ret</v>
          </cell>
          <cell r="I16" t="str">
            <v>Small Ret</v>
          </cell>
          <cell r="J16" t="str">
            <v>School K-12</v>
          </cell>
          <cell r="K16" t="str">
            <v>University</v>
          </cell>
          <cell r="L16" t="str">
            <v>Warehouse</v>
          </cell>
          <cell r="M16" t="str">
            <v>Supermarket</v>
          </cell>
          <cell r="N16" t="str">
            <v>MiniMart</v>
          </cell>
          <cell r="O16" t="str">
            <v>Restaurant</v>
          </cell>
          <cell r="P16" t="str">
            <v>Lodging</v>
          </cell>
          <cell r="Q16" t="str">
            <v>Hospital</v>
          </cell>
          <cell r="R16" t="str">
            <v>Residential Care</v>
          </cell>
          <cell r="S16" t="str">
            <v>Assembly</v>
          </cell>
          <cell r="T16" t="str">
            <v>Other</v>
          </cell>
        </row>
        <row r="17">
          <cell r="B17" t="str">
            <v>FloorA%TYP</v>
          </cell>
          <cell r="C17">
            <v>0.50525652195285131</v>
          </cell>
          <cell r="D17">
            <v>0.22763876788441115</v>
          </cell>
          <cell r="E17">
            <v>0.26710471016273757</v>
          </cell>
          <cell r="F17">
            <v>0.23808219851502893</v>
          </cell>
          <cell r="G17">
            <v>0.43973385210741545</v>
          </cell>
          <cell r="H17">
            <v>0.10993346302685386</v>
          </cell>
          <cell r="I17">
            <v>0.21225048635070184</v>
          </cell>
          <cell r="J17">
            <v>0.65234022300022054</v>
          </cell>
          <cell r="K17">
            <v>0.34765977699977946</v>
          </cell>
          <cell r="L17">
            <v>1</v>
          </cell>
          <cell r="M17">
            <v>0.50260144348717006</v>
          </cell>
          <cell r="N17">
            <v>0.49739855651282999</v>
          </cell>
          <cell r="O17">
            <v>1</v>
          </cell>
          <cell r="P17">
            <v>1</v>
          </cell>
          <cell r="Q17">
            <v>0.28335590969258828</v>
          </cell>
          <cell r="R17">
            <v>0.71664409030741172</v>
          </cell>
          <cell r="S17">
            <v>1</v>
          </cell>
          <cell r="T17">
            <v>1</v>
          </cell>
        </row>
        <row r="18">
          <cell r="B18" t="str">
            <v>FloorA%REG</v>
          </cell>
          <cell r="C18">
            <v>9.3253258759948068E-2</v>
          </cell>
          <cell r="D18">
            <v>4.2014414466680895E-2</v>
          </cell>
          <cell r="E18">
            <v>4.9298492093746905E-2</v>
          </cell>
          <cell r="F18">
            <v>2.6265654240276572E-2</v>
          </cell>
          <cell r="G18">
            <v>4.8512225564269561E-2</v>
          </cell>
          <cell r="H18">
            <v>1.212805639106739E-2</v>
          </cell>
          <cell r="I18">
            <v>2.3415853522816665E-2</v>
          </cell>
          <cell r="J18">
            <v>5.7472902357744132E-2</v>
          </cell>
          <cell r="K18">
            <v>3.0629747657330442E-2</v>
          </cell>
          <cell r="L18">
            <v>0.26357828832612473</v>
          </cell>
          <cell r="M18">
            <v>5.550399373723129E-3</v>
          </cell>
          <cell r="N18">
            <v>5.4929421161323709E-3</v>
          </cell>
          <cell r="O18">
            <v>1.2605918729788336E-2</v>
          </cell>
          <cell r="P18">
            <v>4.9769213508389983E-2</v>
          </cell>
          <cell r="Q18">
            <v>2.647700026294586E-2</v>
          </cell>
          <cell r="R18">
            <v>6.6963790478530669E-2</v>
          </cell>
          <cell r="S18">
            <v>0.10134911543280216</v>
          </cell>
          <cell r="T18">
            <v>8.5222726717682065E-2</v>
          </cell>
        </row>
        <row r="19">
          <cell r="B19" t="str">
            <v>ElecHt%TYP</v>
          </cell>
          <cell r="C19">
            <v>0.4</v>
          </cell>
          <cell r="D19">
            <v>0.14000000000000001</v>
          </cell>
          <cell r="E19">
            <v>0.16</v>
          </cell>
          <cell r="F19">
            <v>0.04</v>
          </cell>
          <cell r="G19">
            <v>0.03</v>
          </cell>
          <cell r="H19">
            <v>0.03</v>
          </cell>
          <cell r="I19">
            <v>0.25</v>
          </cell>
          <cell r="J19">
            <v>0.01</v>
          </cell>
          <cell r="K19">
            <v>0.2</v>
          </cell>
          <cell r="L19">
            <v>0.05</v>
          </cell>
          <cell r="M19">
            <v>0.01</v>
          </cell>
          <cell r="N19">
            <v>0.01</v>
          </cell>
          <cell r="O19">
            <v>9.9999999999999995E-7</v>
          </cell>
          <cell r="P19">
            <v>0.25</v>
          </cell>
          <cell r="Q19">
            <v>0.08</v>
          </cell>
          <cell r="R19">
            <v>0.3</v>
          </cell>
          <cell r="S19">
            <v>0.1</v>
          </cell>
          <cell r="T19">
            <v>0.2</v>
          </cell>
        </row>
        <row r="20">
          <cell r="B20" t="str">
            <v>GasHt%TYP</v>
          </cell>
          <cell r="C20">
            <v>0.4</v>
          </cell>
          <cell r="D20">
            <v>0.79</v>
          </cell>
          <cell r="E20">
            <v>0.76</v>
          </cell>
          <cell r="F20">
            <v>0.95</v>
          </cell>
          <cell r="G20">
            <v>0.95</v>
          </cell>
          <cell r="H20">
            <v>0.95</v>
          </cell>
          <cell r="I20">
            <v>0.6</v>
          </cell>
          <cell r="J20">
            <v>0.85</v>
          </cell>
          <cell r="K20">
            <v>0.78</v>
          </cell>
          <cell r="L20">
            <v>0.92</v>
          </cell>
          <cell r="M20">
            <v>0.99</v>
          </cell>
          <cell r="N20">
            <v>0.99</v>
          </cell>
          <cell r="O20">
            <v>0.93</v>
          </cell>
          <cell r="P20">
            <v>0.45</v>
          </cell>
          <cell r="Q20">
            <v>0.91</v>
          </cell>
          <cell r="R20">
            <v>0.65</v>
          </cell>
          <cell r="S20">
            <v>0.8</v>
          </cell>
          <cell r="T20">
            <v>0.75</v>
          </cell>
        </row>
        <row r="21">
          <cell r="B21" t="str">
            <v>HtPmpHt%TYP</v>
          </cell>
          <cell r="C21">
            <v>0.2</v>
          </cell>
          <cell r="D21">
            <v>7.0000000000000007E-2</v>
          </cell>
          <cell r="E21">
            <v>0.08</v>
          </cell>
          <cell r="F21">
            <v>5.0000000000000001E-3</v>
          </cell>
          <cell r="G21">
            <v>0.01</v>
          </cell>
          <cell r="H21">
            <v>0.01</v>
          </cell>
          <cell r="I21">
            <v>0.15</v>
          </cell>
          <cell r="J21">
            <v>0.14000000000000001</v>
          </cell>
          <cell r="K21">
            <v>0.02</v>
          </cell>
          <cell r="L21">
            <v>0.03</v>
          </cell>
          <cell r="M21">
            <v>9.9999999999999995E-7</v>
          </cell>
          <cell r="N21">
            <v>9.9999999999999995E-7</v>
          </cell>
          <cell r="O21">
            <v>7.0000000000000007E-2</v>
          </cell>
          <cell r="P21">
            <v>0.3</v>
          </cell>
          <cell r="Q21">
            <v>0.01</v>
          </cell>
          <cell r="R21">
            <v>0.05</v>
          </cell>
          <cell r="S21">
            <v>0.1</v>
          </cell>
          <cell r="T21">
            <v>0.05</v>
          </cell>
        </row>
        <row r="22">
          <cell r="B22" t="str">
            <v>CoolSat%TYP</v>
          </cell>
          <cell r="C22">
            <v>0.82</v>
          </cell>
          <cell r="D22">
            <v>0.9</v>
          </cell>
          <cell r="E22">
            <v>0.95</v>
          </cell>
          <cell r="F22">
            <v>0.88</v>
          </cell>
          <cell r="G22">
            <v>0.88</v>
          </cell>
          <cell r="H22">
            <v>0.88</v>
          </cell>
          <cell r="I22">
            <v>0.88</v>
          </cell>
          <cell r="J22">
            <v>0.83</v>
          </cell>
          <cell r="K22">
            <v>0.75</v>
          </cell>
          <cell r="L22">
            <v>0.24</v>
          </cell>
          <cell r="M22">
            <v>0.94</v>
          </cell>
          <cell r="N22">
            <v>0.94</v>
          </cell>
          <cell r="O22">
            <v>1</v>
          </cell>
          <cell r="P22">
            <v>0.88</v>
          </cell>
          <cell r="Q22">
            <v>0.95</v>
          </cell>
          <cell r="R22">
            <v>0.95</v>
          </cell>
          <cell r="S22">
            <v>0.95</v>
          </cell>
          <cell r="T22">
            <v>0.7</v>
          </cell>
        </row>
        <row r="23">
          <cell r="B23" t="str">
            <v>CoolSat%ACT</v>
          </cell>
          <cell r="C23">
            <v>0.87293471375190879</v>
          </cell>
          <cell r="F23">
            <v>0.88000000000000012</v>
          </cell>
          <cell r="J23">
            <v>0.80218721784001767</v>
          </cell>
          <cell r="L23">
            <v>0.24</v>
          </cell>
          <cell r="M23">
            <v>0.94</v>
          </cell>
          <cell r="O23">
            <v>1</v>
          </cell>
          <cell r="P23">
            <v>0.88</v>
          </cell>
          <cell r="Q23">
            <v>0.95</v>
          </cell>
          <cell r="S23">
            <v>0.95</v>
          </cell>
          <cell r="T23">
            <v>0.7</v>
          </cell>
        </row>
        <row r="24">
          <cell r="B24" t="str">
            <v>PackRT%TYP</v>
          </cell>
          <cell r="C24">
            <v>0.15</v>
          </cell>
          <cell r="D24">
            <v>0.75</v>
          </cell>
          <cell r="E24">
            <v>0.95</v>
          </cell>
          <cell r="F24">
            <v>0.95</v>
          </cell>
          <cell r="G24">
            <v>0.9</v>
          </cell>
          <cell r="H24">
            <v>0.9</v>
          </cell>
          <cell r="I24">
            <v>0.3</v>
          </cell>
          <cell r="J24">
            <v>0.3</v>
          </cell>
          <cell r="K24">
            <v>0.5</v>
          </cell>
          <cell r="L24">
            <v>0.35</v>
          </cell>
          <cell r="M24">
            <v>0.9</v>
          </cell>
          <cell r="N24">
            <v>0.9</v>
          </cell>
          <cell r="O24">
            <v>0.95</v>
          </cell>
          <cell r="P24">
            <v>0.5</v>
          </cell>
          <cell r="Q24">
            <v>0.1</v>
          </cell>
          <cell r="R24">
            <v>0.6</v>
          </cell>
          <cell r="S24">
            <v>0.5</v>
          </cell>
          <cell r="T24">
            <v>0.5</v>
          </cell>
        </row>
        <row r="25">
          <cell r="B25" t="str">
            <v>PackRT%ACT</v>
          </cell>
          <cell r="C25">
            <v>0.50026702886083674</v>
          </cell>
          <cell r="F25">
            <v>0.78455381811533043</v>
          </cell>
          <cell r="J25">
            <v>0.36953195539995587</v>
          </cell>
          <cell r="L25">
            <v>0.35</v>
          </cell>
          <cell r="M25">
            <v>0.90000000000000013</v>
          </cell>
          <cell r="O25">
            <v>0.95</v>
          </cell>
          <cell r="P25">
            <v>0.5</v>
          </cell>
          <cell r="Q25">
            <v>0.45832204515370584</v>
          </cell>
          <cell r="S25">
            <v>0.5</v>
          </cell>
          <cell r="T25">
            <v>0.5</v>
          </cell>
        </row>
        <row r="26">
          <cell r="B26" t="str">
            <v>BuiltUp%TYP</v>
          </cell>
          <cell r="C26">
            <v>0.85</v>
          </cell>
          <cell r="D26">
            <v>0.35</v>
          </cell>
          <cell r="E26">
            <v>0.05</v>
          </cell>
          <cell r="F26">
            <v>3.6699999999999997E-2</v>
          </cell>
          <cell r="G26">
            <v>0.02</v>
          </cell>
          <cell r="H26">
            <v>0.02</v>
          </cell>
          <cell r="I26">
            <v>0.2</v>
          </cell>
          <cell r="J26">
            <v>0.77650000000000008</v>
          </cell>
          <cell r="K26">
            <v>0.71939999999999993</v>
          </cell>
          <cell r="L26">
            <v>0.10310000000000001</v>
          </cell>
          <cell r="M26">
            <v>0.11560000000000001</v>
          </cell>
          <cell r="N26">
            <v>0.11560000000000001</v>
          </cell>
          <cell r="O26">
            <v>0.11560000000000001</v>
          </cell>
          <cell r="P26">
            <v>0.32380000000000003</v>
          </cell>
          <cell r="Q26">
            <v>0.97319999999999995</v>
          </cell>
          <cell r="R26">
            <v>0.77819999999999989</v>
          </cell>
          <cell r="S26">
            <v>0.3</v>
          </cell>
          <cell r="T26">
            <v>0.47130000000000005</v>
          </cell>
        </row>
        <row r="27">
          <cell r="B27" t="str">
            <v>BuiltUp%ACT</v>
          </cell>
          <cell r="C27">
            <v>0.52249684792760431</v>
          </cell>
          <cell r="F27">
            <v>6.2181060258327321E-2</v>
          </cell>
          <cell r="J27">
            <v>0.75664862673331257</v>
          </cell>
          <cell r="L27">
            <v>0.10310000000000001</v>
          </cell>
          <cell r="M27">
            <v>0.11560000000000001</v>
          </cell>
          <cell r="O27">
            <v>0.11560000000000001</v>
          </cell>
          <cell r="P27">
            <v>0.32380000000000003</v>
          </cell>
          <cell r="Q27">
            <v>0.83345440239005475</v>
          </cell>
          <cell r="S27">
            <v>0.3</v>
          </cell>
          <cell r="T27">
            <v>0.47130000000000005</v>
          </cell>
        </row>
        <row r="28">
          <cell r="B28" t="str">
            <v>VAV%TYP</v>
          </cell>
          <cell r="C28">
            <v>0.6</v>
          </cell>
          <cell r="D28">
            <v>0.2</v>
          </cell>
          <cell r="E28">
            <v>0</v>
          </cell>
          <cell r="F28">
            <v>0.01</v>
          </cell>
          <cell r="G28">
            <v>0</v>
          </cell>
          <cell r="H28">
            <v>0</v>
          </cell>
          <cell r="I28">
            <v>0</v>
          </cell>
          <cell r="J28">
            <v>0.25</v>
          </cell>
          <cell r="K28">
            <v>0.4</v>
          </cell>
          <cell r="L28">
            <v>0</v>
          </cell>
          <cell r="M28">
            <v>0</v>
          </cell>
          <cell r="N28">
            <v>0</v>
          </cell>
          <cell r="O28">
            <v>0</v>
          </cell>
          <cell r="P28">
            <v>0</v>
          </cell>
          <cell r="Q28">
            <v>0.5</v>
          </cell>
          <cell r="R28">
            <v>0.4</v>
          </cell>
          <cell r="S28">
            <v>0.1</v>
          </cell>
          <cell r="T28">
            <v>0.3</v>
          </cell>
        </row>
        <row r="29">
          <cell r="B29" t="str">
            <v>VAV%ACT</v>
          </cell>
          <cell r="C29">
            <v>0.34868166674859297</v>
          </cell>
          <cell r="F29">
            <v>2.3808219851502894E-3</v>
          </cell>
          <cell r="J29">
            <v>0.30214896654996692</v>
          </cell>
          <cell r="L29">
            <v>0</v>
          </cell>
          <cell r="M29">
            <v>0</v>
          </cell>
          <cell r="O29">
            <v>0</v>
          </cell>
          <cell r="P29">
            <v>0</v>
          </cell>
          <cell r="Q29">
            <v>0.42833559096925883</v>
          </cell>
          <cell r="S29">
            <v>0.1</v>
          </cell>
          <cell r="T29">
            <v>0.3</v>
          </cell>
        </row>
        <row r="30">
          <cell r="B30" t="str">
            <v>LSYieldElecHt&amp;AC</v>
          </cell>
          <cell r="C30">
            <v>0.91020000000000012</v>
          </cell>
          <cell r="D30">
            <v>0.91900000000000015</v>
          </cell>
          <cell r="E30">
            <v>0.71049999999999991</v>
          </cell>
          <cell r="F30">
            <v>0.83719999999999994</v>
          </cell>
          <cell r="G30">
            <v>0.71560000000000001</v>
          </cell>
          <cell r="H30">
            <v>0.80439999999999989</v>
          </cell>
          <cell r="I30">
            <v>0.72840000000000005</v>
          </cell>
          <cell r="J30">
            <v>0.60300000000000009</v>
          </cell>
          <cell r="K30">
            <v>0.6725000000000001</v>
          </cell>
          <cell r="L30">
            <v>0.61</v>
          </cell>
          <cell r="M30">
            <v>0.85520000000000007</v>
          </cell>
          <cell r="N30">
            <v>0.74160000000000004</v>
          </cell>
          <cell r="O30">
            <v>0.43000000000000016</v>
          </cell>
          <cell r="P30">
            <v>0.68800000000000017</v>
          </cell>
          <cell r="Q30">
            <v>0.28950000000000004</v>
          </cell>
          <cell r="R30">
            <v>0.9245000000000001</v>
          </cell>
          <cell r="S30">
            <v>0.9245000000000001</v>
          </cell>
          <cell r="T30">
            <v>0.89700000000000002</v>
          </cell>
        </row>
        <row r="31">
          <cell r="B31" t="str">
            <v>LSYieldHtPmpHt&amp;AC</v>
          </cell>
          <cell r="C31">
            <v>1.02</v>
          </cell>
          <cell r="D31">
            <v>1.02</v>
          </cell>
          <cell r="E31">
            <v>0.95500000000000007</v>
          </cell>
          <cell r="F31">
            <v>1.0249999999999999</v>
          </cell>
          <cell r="G31">
            <v>0.92500000000000004</v>
          </cell>
          <cell r="H31">
            <v>0.97499999999999987</v>
          </cell>
          <cell r="I31">
            <v>0.96499999999999986</v>
          </cell>
          <cell r="J31">
            <v>0.8600000000000001</v>
          </cell>
          <cell r="K31">
            <v>0.95500000000000007</v>
          </cell>
          <cell r="L31">
            <v>0.80499999999999994</v>
          </cell>
          <cell r="M31">
            <v>0.9700000000000002</v>
          </cell>
          <cell r="N31">
            <v>0.94500000000000006</v>
          </cell>
          <cell r="O31">
            <v>0.72500000000000009</v>
          </cell>
          <cell r="P31">
            <v>0.90000000000000013</v>
          </cell>
          <cell r="Q31">
            <v>0.64999999999999991</v>
          </cell>
          <cell r="R31">
            <v>1.02</v>
          </cell>
          <cell r="S31">
            <v>1.02</v>
          </cell>
          <cell r="T31">
            <v>1.02</v>
          </cell>
        </row>
        <row r="32">
          <cell r="B32" t="str">
            <v>LSYieldGasHt&amp;AC</v>
          </cell>
          <cell r="C32">
            <v>1.0733999999999999</v>
          </cell>
          <cell r="D32">
            <v>1.0822000000000001</v>
          </cell>
          <cell r="E32">
            <v>1.1366333333333334</v>
          </cell>
          <cell r="F32">
            <v>1.1363999999999999</v>
          </cell>
          <cell r="G32">
            <v>1.0692000000000002</v>
          </cell>
          <cell r="H32">
            <v>1.0854666666666666</v>
          </cell>
          <cell r="I32">
            <v>1.1182666666666663</v>
          </cell>
          <cell r="J32">
            <v>1.0382</v>
          </cell>
          <cell r="K32">
            <v>1.0986333333333334</v>
          </cell>
          <cell r="L32">
            <v>0.96360000000000001</v>
          </cell>
          <cell r="M32">
            <v>1.0546666666666669</v>
          </cell>
          <cell r="N32">
            <v>1.0952000000000002</v>
          </cell>
          <cell r="O32">
            <v>0.9649333333333332</v>
          </cell>
          <cell r="P32">
            <v>1.0506666666666669</v>
          </cell>
          <cell r="Q32">
            <v>0.94230000000000003</v>
          </cell>
          <cell r="R32">
            <v>1.0876999999999999</v>
          </cell>
          <cell r="S32">
            <v>1.0876999999999999</v>
          </cell>
          <cell r="T32">
            <v>1.0602</v>
          </cell>
        </row>
        <row r="33">
          <cell r="B33" t="str">
            <v>LSYieldElecHt</v>
          </cell>
          <cell r="C33">
            <v>0.82000000000000006</v>
          </cell>
          <cell r="D33">
            <v>0.82000000000000006</v>
          </cell>
          <cell r="E33">
            <v>0.53</v>
          </cell>
          <cell r="F33">
            <v>0.66999999999999993</v>
          </cell>
          <cell r="G33">
            <v>0.61</v>
          </cell>
          <cell r="H33">
            <v>0.69</v>
          </cell>
          <cell r="I33">
            <v>0.57000000000000006</v>
          </cell>
          <cell r="J33">
            <v>0.52</v>
          </cell>
          <cell r="K33">
            <v>0.53</v>
          </cell>
          <cell r="L33">
            <v>0.61</v>
          </cell>
          <cell r="M33">
            <v>0.78</v>
          </cell>
          <cell r="N33">
            <v>0.61</v>
          </cell>
          <cell r="O33">
            <v>0.41000000000000003</v>
          </cell>
          <cell r="P33">
            <v>0.6</v>
          </cell>
          <cell r="Q33">
            <v>0.28000000000000003</v>
          </cell>
          <cell r="R33">
            <v>0.82000000000000006</v>
          </cell>
          <cell r="S33">
            <v>0.82000000000000006</v>
          </cell>
          <cell r="T33">
            <v>0.82000000000000006</v>
          </cell>
        </row>
        <row r="34">
          <cell r="B34" t="str">
            <v>LSYieldGasHt</v>
          </cell>
          <cell r="C34">
            <v>0.98319999999999996</v>
          </cell>
          <cell r="D34">
            <v>0.98319999999999996</v>
          </cell>
          <cell r="E34">
            <v>0.95613333333333328</v>
          </cell>
          <cell r="F34">
            <v>0.96919999999999995</v>
          </cell>
          <cell r="G34">
            <v>0.96360000000000001</v>
          </cell>
          <cell r="H34">
            <v>0.97106666666666663</v>
          </cell>
          <cell r="I34">
            <v>0.95986666666666665</v>
          </cell>
          <cell r="J34">
            <v>0.95520000000000005</v>
          </cell>
          <cell r="K34">
            <v>0.95613333333333328</v>
          </cell>
          <cell r="L34">
            <v>0.96360000000000001</v>
          </cell>
          <cell r="M34">
            <v>0.97946666666666671</v>
          </cell>
          <cell r="N34">
            <v>0.96360000000000001</v>
          </cell>
          <cell r="O34">
            <v>0.94493333333333329</v>
          </cell>
          <cell r="P34">
            <v>0.96266666666666667</v>
          </cell>
          <cell r="Q34">
            <v>0.93279999999999996</v>
          </cell>
          <cell r="R34">
            <v>0.98319999999999996</v>
          </cell>
          <cell r="S34">
            <v>0.98319999999999996</v>
          </cell>
          <cell r="T34">
            <v>0.98319999999999996</v>
          </cell>
        </row>
        <row r="35">
          <cell r="B35" t="str">
            <v>LSYieldThermsGasHt</v>
          </cell>
          <cell r="C35">
            <v>-8.1887999999999996E-3</v>
          </cell>
          <cell r="D35">
            <v>-8.1887999999999996E-3</v>
          </cell>
          <cell r="E35">
            <v>-2.1381866666666666E-2</v>
          </cell>
          <cell r="F35">
            <v>-1.50128E-2</v>
          </cell>
          <cell r="G35">
            <v>-1.7742399999999998E-2</v>
          </cell>
          <cell r="H35">
            <v>-1.4102933333333333E-2</v>
          </cell>
          <cell r="I35">
            <v>-1.9562133333333332E-2</v>
          </cell>
          <cell r="J35">
            <v>-2.18368E-2</v>
          </cell>
          <cell r="K35">
            <v>-2.1381866666666666E-2</v>
          </cell>
          <cell r="L35">
            <v>-1.7742399999999998E-2</v>
          </cell>
          <cell r="M35">
            <v>-1.0008533333333333E-2</v>
          </cell>
          <cell r="N35">
            <v>-1.7742399999999998E-2</v>
          </cell>
          <cell r="O35">
            <v>-2.6841066666666667E-2</v>
          </cell>
          <cell r="P35">
            <v>-1.8197333333333333E-2</v>
          </cell>
          <cell r="Q35">
            <v>-3.2755199999999998E-2</v>
          </cell>
          <cell r="R35">
            <v>-8.1887999999999996E-3</v>
          </cell>
          <cell r="S35">
            <v>-8.1887999999999996E-3</v>
          </cell>
          <cell r="T35">
            <v>-8.1887999999999996E-3</v>
          </cell>
        </row>
        <row r="36">
          <cell r="B36" t="str">
            <v>LSYieldThermsGasHt&amp;AC</v>
          </cell>
          <cell r="C36">
            <v>-8.1887999999999996E-3</v>
          </cell>
          <cell r="D36">
            <v>-8.1887999999999996E-3</v>
          </cell>
          <cell r="E36">
            <v>-2.1381866666666666E-2</v>
          </cell>
          <cell r="F36">
            <v>-1.50128E-2</v>
          </cell>
          <cell r="G36">
            <v>-1.7742399999999998E-2</v>
          </cell>
          <cell r="H36">
            <v>-1.4102933333333333E-2</v>
          </cell>
          <cell r="I36">
            <v>-1.9562133333333332E-2</v>
          </cell>
          <cell r="J36">
            <v>-2.18368E-2</v>
          </cell>
          <cell r="K36">
            <v>-2.1381866666666666E-2</v>
          </cell>
          <cell r="L36">
            <v>-1.7742399999999998E-2</v>
          </cell>
          <cell r="M36">
            <v>-1.0008533333333333E-2</v>
          </cell>
          <cell r="N36">
            <v>-1.7742399999999998E-2</v>
          </cell>
          <cell r="O36">
            <v>-2.6841066666666667E-2</v>
          </cell>
          <cell r="P36">
            <v>-1.8197333333333333E-2</v>
          </cell>
          <cell r="Q36">
            <v>-3.2755199999999998E-2</v>
          </cell>
          <cell r="R36">
            <v>-8.1887999999999996E-3</v>
          </cell>
          <cell r="S36">
            <v>-8.1887999999999996E-3</v>
          </cell>
          <cell r="T36">
            <v>-8.1887999999999996E-3</v>
          </cell>
        </row>
        <row r="37">
          <cell r="B37" t="str">
            <v>LPDAdjust</v>
          </cell>
          <cell r="C37">
            <v>0.9</v>
          </cell>
          <cell r="D37">
            <v>0.9</v>
          </cell>
          <cell r="E37">
            <v>0.9</v>
          </cell>
          <cell r="F37">
            <v>0.9</v>
          </cell>
          <cell r="G37">
            <v>0.9</v>
          </cell>
          <cell r="H37">
            <v>0.9</v>
          </cell>
          <cell r="I37">
            <v>0.9</v>
          </cell>
          <cell r="J37">
            <v>0.9</v>
          </cell>
          <cell r="K37">
            <v>0.9</v>
          </cell>
          <cell r="L37">
            <v>0.9</v>
          </cell>
          <cell r="M37">
            <v>0.9</v>
          </cell>
          <cell r="N37">
            <v>0.9</v>
          </cell>
          <cell r="O37">
            <v>0.9</v>
          </cell>
          <cell r="P37">
            <v>0.9</v>
          </cell>
          <cell r="Q37">
            <v>0.9</v>
          </cell>
          <cell r="R37">
            <v>0.9</v>
          </cell>
          <cell r="S37">
            <v>0.9</v>
          </cell>
          <cell r="T37">
            <v>0.9</v>
          </cell>
        </row>
        <row r="38">
          <cell r="B38" t="str">
            <v>Chiller%TYP</v>
          </cell>
          <cell r="C38">
            <v>0.6</v>
          </cell>
          <cell r="D38">
            <v>0.1</v>
          </cell>
          <cell r="E38">
            <v>0</v>
          </cell>
          <cell r="F38">
            <v>0.05</v>
          </cell>
          <cell r="G38">
            <v>0</v>
          </cell>
          <cell r="H38">
            <v>0</v>
          </cell>
          <cell r="I38">
            <v>0.4</v>
          </cell>
          <cell r="J38">
            <v>0.4</v>
          </cell>
          <cell r="K38">
            <v>0.6</v>
          </cell>
          <cell r="L38">
            <v>0.03</v>
          </cell>
          <cell r="M38">
            <v>0</v>
          </cell>
          <cell r="N38">
            <v>0</v>
          </cell>
          <cell r="O38">
            <v>0</v>
          </cell>
          <cell r="P38">
            <v>0.15</v>
          </cell>
          <cell r="Q38">
            <v>0.75</v>
          </cell>
          <cell r="R38">
            <v>0.2</v>
          </cell>
          <cell r="S38">
            <v>0.1</v>
          </cell>
          <cell r="T38">
            <v>0.3</v>
          </cell>
        </row>
        <row r="39">
          <cell r="B39" t="str">
            <v>HOURSLght</v>
          </cell>
          <cell r="C39">
            <v>4300</v>
          </cell>
          <cell r="D39">
            <v>3800</v>
          </cell>
          <cell r="E39">
            <v>3800</v>
          </cell>
          <cell r="F39" t="e">
            <v>#N/A</v>
          </cell>
          <cell r="G39" t="e">
            <v>#N/A</v>
          </cell>
          <cell r="H39" t="e">
            <v>#N/A</v>
          </cell>
          <cell r="I39" t="e">
            <v>#N/A</v>
          </cell>
          <cell r="J39" t="e">
            <v>#N/A</v>
          </cell>
          <cell r="K39">
            <v>3000</v>
          </cell>
          <cell r="L39">
            <v>3799.9999999999995</v>
          </cell>
          <cell r="M39">
            <v>5800</v>
          </cell>
          <cell r="N39">
            <v>5800</v>
          </cell>
          <cell r="O39">
            <v>5100</v>
          </cell>
          <cell r="P39">
            <v>4200</v>
          </cell>
          <cell r="Q39">
            <v>6400</v>
          </cell>
          <cell r="R39" t="e">
            <v>#N/A</v>
          </cell>
          <cell r="S39">
            <v>2800</v>
          </cell>
          <cell r="T39">
            <v>3600</v>
          </cell>
        </row>
        <row r="40">
          <cell r="B40" t="str">
            <v>UnCondArea%TYP</v>
          </cell>
          <cell r="C40">
            <v>0.12</v>
          </cell>
          <cell r="D40">
            <v>7.0000000000000007E-2</v>
          </cell>
          <cell r="E40">
            <v>0.05</v>
          </cell>
          <cell r="F40">
            <v>0.03</v>
          </cell>
          <cell r="G40">
            <v>0.13</v>
          </cell>
          <cell r="H40">
            <v>0.1</v>
          </cell>
          <cell r="I40">
            <v>0.12</v>
          </cell>
          <cell r="J40">
            <v>0.01</v>
          </cell>
          <cell r="K40">
            <v>0.1</v>
          </cell>
          <cell r="L40">
            <v>0.31</v>
          </cell>
          <cell r="M40">
            <v>0.04</v>
          </cell>
          <cell r="N40">
            <v>0.04</v>
          </cell>
          <cell r="O40">
            <v>0.13</v>
          </cell>
          <cell r="P40">
            <v>0.05</v>
          </cell>
          <cell r="Q40">
            <v>0.12</v>
          </cell>
          <cell r="R40">
            <v>0.03</v>
          </cell>
          <cell r="S40">
            <v>0.15</v>
          </cell>
          <cell r="T40">
            <v>0.15</v>
          </cell>
        </row>
        <row r="41">
          <cell r="B41" t="str">
            <v>RTEcono%TYP</v>
          </cell>
          <cell r="C41">
            <v>1</v>
          </cell>
          <cell r="D41">
            <v>1</v>
          </cell>
          <cell r="E41">
            <v>0.77500000000000002</v>
          </cell>
          <cell r="F41">
            <v>1</v>
          </cell>
          <cell r="G41">
            <v>0.77500000000000002</v>
          </cell>
          <cell r="H41">
            <v>0.95</v>
          </cell>
          <cell r="I41">
            <v>0.82499999999999996</v>
          </cell>
          <cell r="J41">
            <v>1</v>
          </cell>
          <cell r="K41">
            <v>1</v>
          </cell>
          <cell r="L41">
            <v>0.72500000000000009</v>
          </cell>
          <cell r="M41">
            <v>0.85</v>
          </cell>
          <cell r="N41">
            <v>0.85</v>
          </cell>
          <cell r="O41">
            <v>0.85</v>
          </cell>
          <cell r="P41">
            <v>0.85</v>
          </cell>
          <cell r="Q41">
            <v>1</v>
          </cell>
          <cell r="R41">
            <v>0.85</v>
          </cell>
          <cell r="S41">
            <v>0.6</v>
          </cell>
          <cell r="T41">
            <v>0.6</v>
          </cell>
        </row>
        <row r="42">
          <cell r="B42" t="str">
            <v>FloorA%PRE2002</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B43" t="str">
            <v>FloorA%PRE2006</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ElecHtComplex%TYP</v>
          </cell>
          <cell r="C44">
            <v>0.61680000000000001</v>
          </cell>
          <cell r="D44">
            <v>0.61680000000000001</v>
          </cell>
          <cell r="E44">
            <v>0.61680000000000001</v>
          </cell>
          <cell r="F44">
            <v>0.84279999999999999</v>
          </cell>
          <cell r="G44">
            <v>3.7900000000000003E-2</v>
          </cell>
          <cell r="H44">
            <v>3.7900000000000003E-2</v>
          </cell>
          <cell r="I44">
            <v>3.7900000000000003E-2</v>
          </cell>
          <cell r="J44">
            <v>6.0999999999999995E-3</v>
          </cell>
          <cell r="K44">
            <v>0.1794</v>
          </cell>
          <cell r="L44">
            <v>0.37840000000000001</v>
          </cell>
          <cell r="M44">
            <v>5.3399999999999996E-2</v>
          </cell>
          <cell r="N44">
            <v>5.3399999999999996E-2</v>
          </cell>
          <cell r="O44">
            <v>5.3399999999999996E-2</v>
          </cell>
          <cell r="P44">
            <v>7.7000000000000002E-3</v>
          </cell>
          <cell r="Q44">
            <v>8.1099999999999992E-2</v>
          </cell>
          <cell r="R44">
            <v>0.35409999999999997</v>
          </cell>
          <cell r="S44">
            <v>0.05</v>
          </cell>
          <cell r="T44">
            <v>0.31140000000000001</v>
          </cell>
        </row>
        <row r="45">
          <cell r="B45" t="str">
            <v>GasHtComplex%TYP</v>
          </cell>
          <cell r="C45">
            <v>0.25319999999999998</v>
          </cell>
          <cell r="D45">
            <v>0.25319999999999998</v>
          </cell>
          <cell r="E45">
            <v>0.25319999999999998</v>
          </cell>
          <cell r="F45">
            <v>0.15720000000000001</v>
          </cell>
          <cell r="G45">
            <v>0.31929999999999997</v>
          </cell>
          <cell r="H45">
            <v>0.31929999999999997</v>
          </cell>
          <cell r="I45">
            <v>0.31929999999999997</v>
          </cell>
          <cell r="J45">
            <v>0.83329999999999993</v>
          </cell>
          <cell r="K45">
            <v>0.82069999999999999</v>
          </cell>
          <cell r="L45">
            <v>0.62159999999999993</v>
          </cell>
          <cell r="M45">
            <v>0.9466</v>
          </cell>
          <cell r="N45">
            <v>0.9466</v>
          </cell>
          <cell r="O45">
            <v>0.9466</v>
          </cell>
          <cell r="P45">
            <v>0.56859999999999999</v>
          </cell>
          <cell r="Q45">
            <v>0.91890000000000005</v>
          </cell>
          <cell r="R45">
            <v>0.57330000000000003</v>
          </cell>
          <cell r="S45">
            <v>0.55000000000000004</v>
          </cell>
          <cell r="T45">
            <v>0.67430000000000001</v>
          </cell>
        </row>
        <row r="46">
          <cell r="B46" t="str">
            <v>HtPmpHtComplex%TYP</v>
          </cell>
          <cell r="C46">
            <v>0.13009999999999999</v>
          </cell>
          <cell r="D46">
            <v>0.13009999999999999</v>
          </cell>
          <cell r="E46">
            <v>0.13009999999999999</v>
          </cell>
          <cell r="F46">
            <v>0</v>
          </cell>
          <cell r="G46">
            <v>0.64280000000000004</v>
          </cell>
          <cell r="H46">
            <v>0.64280000000000004</v>
          </cell>
          <cell r="I46">
            <v>0.64280000000000004</v>
          </cell>
          <cell r="J46">
            <v>0.1605</v>
          </cell>
          <cell r="K46">
            <v>0</v>
          </cell>
          <cell r="L46">
            <v>0</v>
          </cell>
          <cell r="M46">
            <v>0</v>
          </cell>
          <cell r="N46">
            <v>0</v>
          </cell>
          <cell r="O46">
            <v>0</v>
          </cell>
          <cell r="P46">
            <v>0.42380000000000001</v>
          </cell>
          <cell r="Q46">
            <v>0</v>
          </cell>
          <cell r="R46">
            <v>7.2700000000000001E-2</v>
          </cell>
          <cell r="S46">
            <v>0.4</v>
          </cell>
          <cell r="T46">
            <v>1.4199999999999999E-2</v>
          </cell>
        </row>
        <row r="47">
          <cell r="B47" t="str">
            <v>ElecHtSimple%TYP</v>
          </cell>
          <cell r="C47">
            <v>0.05</v>
          </cell>
          <cell r="D47">
            <v>0.05</v>
          </cell>
          <cell r="E47">
            <v>0.05</v>
          </cell>
          <cell r="F47">
            <v>2.53E-2</v>
          </cell>
          <cell r="G47">
            <v>2.4700000000000003E-2</v>
          </cell>
          <cell r="H47">
            <v>2.4700000000000003E-2</v>
          </cell>
          <cell r="I47">
            <v>2.4700000000000003E-2</v>
          </cell>
          <cell r="J47">
            <v>2.41E-2</v>
          </cell>
          <cell r="K47">
            <v>0.18960000000000002</v>
          </cell>
          <cell r="L47">
            <v>0.1013</v>
          </cell>
          <cell r="M47">
            <v>1.03E-2</v>
          </cell>
          <cell r="N47">
            <v>1.03E-2</v>
          </cell>
          <cell r="O47">
            <v>1.03E-2</v>
          </cell>
          <cell r="P47">
            <v>0.37490000000000001</v>
          </cell>
          <cell r="Q47">
            <v>0.18149999999999999</v>
          </cell>
          <cell r="R47">
            <v>5.6999999999999993E-3</v>
          </cell>
          <cell r="S47">
            <v>0.1</v>
          </cell>
          <cell r="T47">
            <v>8.3400000000000002E-2</v>
          </cell>
        </row>
        <row r="48">
          <cell r="B48" t="str">
            <v>GasHtSimple%TYP</v>
          </cell>
          <cell r="C48">
            <v>0.85</v>
          </cell>
          <cell r="D48">
            <v>0.85</v>
          </cell>
          <cell r="E48">
            <v>0.85</v>
          </cell>
          <cell r="F48">
            <v>0.96689999999999998</v>
          </cell>
          <cell r="G48">
            <v>0.83260000000000001</v>
          </cell>
          <cell r="H48">
            <v>0.83260000000000001</v>
          </cell>
          <cell r="I48">
            <v>0.83260000000000001</v>
          </cell>
          <cell r="J48">
            <v>0.92970000000000008</v>
          </cell>
          <cell r="K48">
            <v>0.73620000000000008</v>
          </cell>
          <cell r="L48">
            <v>0.86060000000000003</v>
          </cell>
          <cell r="M48">
            <v>0.98720000000000008</v>
          </cell>
          <cell r="N48">
            <v>0.98720000000000008</v>
          </cell>
          <cell r="O48">
            <v>0.98720000000000008</v>
          </cell>
          <cell r="P48">
            <v>0.37859999999999994</v>
          </cell>
          <cell r="Q48">
            <v>0.78300000000000003</v>
          </cell>
          <cell r="R48">
            <v>0.99429999999999996</v>
          </cell>
          <cell r="S48">
            <v>0.8</v>
          </cell>
          <cell r="T48">
            <v>0.85329999999999995</v>
          </cell>
        </row>
        <row r="49">
          <cell r="B49" t="str">
            <v>HtPmpHtSimple%TYP</v>
          </cell>
          <cell r="C49">
            <v>0.1</v>
          </cell>
          <cell r="D49">
            <v>0.1</v>
          </cell>
          <cell r="E49">
            <v>0.1</v>
          </cell>
          <cell r="F49">
            <v>7.8000000000000005E-3</v>
          </cell>
          <cell r="G49">
            <v>0.14269999999999999</v>
          </cell>
          <cell r="H49">
            <v>0.14269999999999999</v>
          </cell>
          <cell r="I49">
            <v>0.14269999999999999</v>
          </cell>
          <cell r="J49">
            <v>4.6199999999999998E-2</v>
          </cell>
          <cell r="K49">
            <v>7.4200000000000002E-2</v>
          </cell>
          <cell r="L49">
            <v>3.8100000000000002E-2</v>
          </cell>
          <cell r="M49">
            <v>2.5000000000000001E-3</v>
          </cell>
          <cell r="N49">
            <v>2.5000000000000001E-3</v>
          </cell>
          <cell r="O49">
            <v>2.5000000000000001E-3</v>
          </cell>
          <cell r="P49">
            <v>0.24660000000000001</v>
          </cell>
          <cell r="Q49">
            <v>3.5400000000000001E-2</v>
          </cell>
          <cell r="R49">
            <v>0</v>
          </cell>
          <cell r="S49">
            <v>0.1</v>
          </cell>
          <cell r="T49">
            <v>6.3200000000000006E-2</v>
          </cell>
        </row>
        <row r="50">
          <cell r="B50" t="str">
            <v>ChillerAir%TYP</v>
          </cell>
          <cell r="C50">
            <v>0.5</v>
          </cell>
          <cell r="D50">
            <v>0.8</v>
          </cell>
          <cell r="E50">
            <v>0.8</v>
          </cell>
          <cell r="F50">
            <v>0.8</v>
          </cell>
          <cell r="G50">
            <v>0.8</v>
          </cell>
          <cell r="H50">
            <v>0.8</v>
          </cell>
          <cell r="I50">
            <v>0.8</v>
          </cell>
          <cell r="J50">
            <v>0.8</v>
          </cell>
          <cell r="K50">
            <v>0.8</v>
          </cell>
          <cell r="L50">
            <v>0.9</v>
          </cell>
          <cell r="M50">
            <v>1</v>
          </cell>
          <cell r="N50">
            <v>1</v>
          </cell>
          <cell r="O50">
            <v>1</v>
          </cell>
          <cell r="P50">
            <v>0.2</v>
          </cell>
          <cell r="Q50">
            <v>0.2</v>
          </cell>
          <cell r="R50">
            <v>0.6</v>
          </cell>
          <cell r="S50">
            <v>0.6</v>
          </cell>
          <cell r="T50">
            <v>0.2</v>
          </cell>
        </row>
        <row r="51">
          <cell r="B51" t="str">
            <v>ChillerWater%TYP</v>
          </cell>
          <cell r="C51">
            <v>0.5</v>
          </cell>
          <cell r="D51">
            <v>0.2</v>
          </cell>
          <cell r="E51">
            <v>0.2</v>
          </cell>
          <cell r="F51">
            <v>0.2</v>
          </cell>
          <cell r="G51">
            <v>0.2</v>
          </cell>
          <cell r="H51">
            <v>0.2</v>
          </cell>
          <cell r="I51">
            <v>0.2</v>
          </cell>
          <cell r="J51">
            <v>0.2</v>
          </cell>
          <cell r="K51">
            <v>0.2</v>
          </cell>
          <cell r="L51">
            <v>0.1</v>
          </cell>
          <cell r="M51">
            <v>0</v>
          </cell>
          <cell r="N51">
            <v>0</v>
          </cell>
          <cell r="O51">
            <v>0</v>
          </cell>
          <cell r="P51">
            <v>0.8</v>
          </cell>
          <cell r="Q51">
            <v>0.8</v>
          </cell>
          <cell r="R51">
            <v>0.4</v>
          </cell>
          <cell r="S51">
            <v>0.4</v>
          </cell>
          <cell r="T51">
            <v>0.8</v>
          </cell>
        </row>
        <row r="52">
          <cell r="B52" t="str">
            <v>WinFloorRatio%TYP</v>
          </cell>
          <cell r="C52">
            <v>0.16</v>
          </cell>
          <cell r="D52">
            <v>0.16</v>
          </cell>
          <cell r="E52">
            <v>0.16</v>
          </cell>
          <cell r="F52">
            <v>0.02</v>
          </cell>
          <cell r="G52">
            <v>0.16</v>
          </cell>
          <cell r="H52">
            <v>0.16</v>
          </cell>
          <cell r="I52">
            <v>0.04</v>
          </cell>
          <cell r="J52">
            <v>7.0000000000000007E-2</v>
          </cell>
          <cell r="K52">
            <v>0.12</v>
          </cell>
          <cell r="L52">
            <v>0.03</v>
          </cell>
          <cell r="M52">
            <v>0.04</v>
          </cell>
          <cell r="N52">
            <v>0.15</v>
          </cell>
          <cell r="O52">
            <v>0.18</v>
          </cell>
          <cell r="P52">
            <v>0.11</v>
          </cell>
          <cell r="Q52">
            <v>0.11</v>
          </cell>
          <cell r="R52">
            <v>0.12</v>
          </cell>
          <cell r="S52">
            <v>0.08</v>
          </cell>
          <cell r="T52">
            <v>0.1</v>
          </cell>
        </row>
        <row r="61">
          <cell r="C61" t="str">
            <v>Office</v>
          </cell>
          <cell r="D61" t="str">
            <v>Office</v>
          </cell>
          <cell r="E61" t="str">
            <v>Office</v>
          </cell>
          <cell r="F61" t="str">
            <v>Retail/Service</v>
          </cell>
          <cell r="G61" t="str">
            <v>Retail/Service</v>
          </cell>
          <cell r="H61" t="str">
            <v>Retail/Service</v>
          </cell>
          <cell r="I61" t="str">
            <v>Retail/Service</v>
          </cell>
          <cell r="M61" t="str">
            <v>Grocery</v>
          </cell>
          <cell r="N61" t="str">
            <v>Grocery</v>
          </cell>
        </row>
        <row r="62">
          <cell r="B62" t="str">
            <v>_PRE2013</v>
          </cell>
          <cell r="C62" t="str">
            <v>Office</v>
          </cell>
          <cell r="F62" t="str">
            <v>Retail/Service</v>
          </cell>
          <cell r="J62" t="str">
            <v>School</v>
          </cell>
          <cell r="L62" t="str">
            <v>Warehouse</v>
          </cell>
          <cell r="M62" t="str">
            <v>Grocery</v>
          </cell>
          <cell r="O62" t="str">
            <v>Restaurant</v>
          </cell>
          <cell r="P62" t="str">
            <v>Lodging</v>
          </cell>
          <cell r="Q62" t="str">
            <v>Health</v>
          </cell>
          <cell r="S62" t="str">
            <v>Assembly</v>
          </cell>
          <cell r="T62" t="str">
            <v>Other</v>
          </cell>
          <cell r="V62" t="str">
            <v>Sumproduct</v>
          </cell>
        </row>
        <row r="63">
          <cell r="B63" t="str">
            <v>FloorA%ACT</v>
          </cell>
          <cell r="C63">
            <v>0.21925891959556321</v>
          </cell>
          <cell r="F63">
            <v>0.170463671983236</v>
          </cell>
          <cell r="J63">
            <v>0.11027533939050128</v>
          </cell>
          <cell r="L63">
            <v>0.13203580856943528</v>
          </cell>
          <cell r="M63">
            <v>2.3026138677721724E-2</v>
          </cell>
          <cell r="O63">
            <v>1.5835296654172451E-2</v>
          </cell>
          <cell r="P63">
            <v>5.1068065124091046E-2</v>
          </cell>
          <cell r="Q63">
            <v>6.8347557000163706E-2</v>
          </cell>
          <cell r="S63">
            <v>0.11013494038183547</v>
          </cell>
          <cell r="T63">
            <v>9.9554262623279946E-2</v>
          </cell>
        </row>
        <row r="64">
          <cell r="B64" t="str">
            <v>_PRE2013</v>
          </cell>
          <cell r="C64" t="str">
            <v>Large Off</v>
          </cell>
          <cell r="D64" t="str">
            <v>Medium Off</v>
          </cell>
          <cell r="E64" t="str">
            <v>Small Off</v>
          </cell>
          <cell r="F64" t="str">
            <v>Xlarge Ret</v>
          </cell>
          <cell r="G64" t="str">
            <v>Large Ret</v>
          </cell>
          <cell r="H64" t="str">
            <v>Medium Ret</v>
          </cell>
          <cell r="I64" t="str">
            <v>Small Ret</v>
          </cell>
          <cell r="J64" t="str">
            <v>School K-12</v>
          </cell>
          <cell r="K64" t="str">
            <v>University</v>
          </cell>
          <cell r="L64" t="str">
            <v>Warehouse</v>
          </cell>
          <cell r="M64" t="str">
            <v>Supermarket</v>
          </cell>
          <cell r="N64" t="str">
            <v>MiniMart</v>
          </cell>
          <cell r="O64" t="str">
            <v>Restaurant</v>
          </cell>
          <cell r="P64" t="str">
            <v>Lodging</v>
          </cell>
          <cell r="Q64" t="str">
            <v>Hospital</v>
          </cell>
          <cell r="R64" t="str">
            <v>Residential Care</v>
          </cell>
          <cell r="S64" t="str">
            <v>Assembly</v>
          </cell>
          <cell r="T64" t="str">
            <v>Other</v>
          </cell>
        </row>
        <row r="65">
          <cell r="B65" t="str">
            <v>FloorA%TYP</v>
          </cell>
          <cell r="C65">
            <v>0.43937391922213881</v>
          </cell>
          <cell r="D65">
            <v>0.43063730719145626</v>
          </cell>
          <cell r="E65">
            <v>0.12998877358640493</v>
          </cell>
          <cell r="F65">
            <v>0.23462323739305441</v>
          </cell>
          <cell r="G65">
            <v>5.5262096022427078E-2</v>
          </cell>
          <cell r="H65">
            <v>0.60637878991755256</v>
          </cell>
          <cell r="I65">
            <v>0.10373587666696588</v>
          </cell>
          <cell r="J65">
            <v>0.66429751499430445</v>
          </cell>
          <cell r="K65">
            <v>0.33570248500569549</v>
          </cell>
          <cell r="L65">
            <v>1</v>
          </cell>
          <cell r="M65">
            <v>0.84840559081310307</v>
          </cell>
          <cell r="N65">
            <v>0.15159440918689687</v>
          </cell>
          <cell r="O65">
            <v>1</v>
          </cell>
          <cell r="P65">
            <v>1</v>
          </cell>
          <cell r="Q65">
            <v>0.45324327433803502</v>
          </cell>
          <cell r="R65">
            <v>0.54675672566196509</v>
          </cell>
          <cell r="S65">
            <v>1</v>
          </cell>
          <cell r="T65">
            <v>1</v>
          </cell>
          <cell r="V65">
            <v>0.34336525763526682</v>
          </cell>
        </row>
        <row r="66">
          <cell r="B66" t="str">
            <v>FloorA%REG</v>
          </cell>
          <cell r="C66">
            <v>9.6336650827114415E-2</v>
          </cell>
          <cell r="D66">
            <v>9.4421070712341362E-2</v>
          </cell>
          <cell r="E66">
            <v>2.8501198056107426E-2</v>
          </cell>
          <cell r="F66">
            <v>3.999473857861454E-2</v>
          </cell>
          <cell r="G66">
            <v>9.4201798094731004E-3</v>
          </cell>
          <cell r="H66">
            <v>0.10336555514209726</v>
          </cell>
          <cell r="I66">
            <v>1.7683198453051097E-2</v>
          </cell>
          <cell r="J66">
            <v>7.3255633922263544E-2</v>
          </cell>
          <cell r="K66">
            <v>3.701970546823774E-2</v>
          </cell>
          <cell r="L66">
            <v>0.13203580856943528</v>
          </cell>
          <cell r="M66">
            <v>1.9535504789016944E-2</v>
          </cell>
          <cell r="N66">
            <v>3.4906338887047794E-3</v>
          </cell>
          <cell r="O66">
            <v>1.5835296654172451E-2</v>
          </cell>
          <cell r="P66">
            <v>5.1068065124091046E-2</v>
          </cell>
          <cell r="Q66">
            <v>3.0978070527759683E-2</v>
          </cell>
          <cell r="R66">
            <v>3.7369486472404026E-2</v>
          </cell>
          <cell r="S66">
            <v>0.11013494038183547</v>
          </cell>
          <cell r="T66">
            <v>9.9554262623279946E-2</v>
          </cell>
        </row>
        <row r="67">
          <cell r="B67" t="str">
            <v>ElecHt%TYP</v>
          </cell>
          <cell r="C67">
            <v>0.20943280302167308</v>
          </cell>
          <cell r="D67">
            <v>0.22131165109110185</v>
          </cell>
          <cell r="E67">
            <v>0.30640942705415353</v>
          </cell>
          <cell r="F67">
            <v>5.2995881766435368E-2</v>
          </cell>
          <cell r="G67">
            <v>1.0593107738682607E-2</v>
          </cell>
          <cell r="H67">
            <v>0.12006240959495594</v>
          </cell>
          <cell r="I67">
            <v>0.2732917310450087</v>
          </cell>
          <cell r="J67">
            <v>5.8369343906151915E-2</v>
          </cell>
          <cell r="K67">
            <v>5.8369343906151915E-2</v>
          </cell>
          <cell r="L67">
            <v>6.3929137015483993E-3</v>
          </cell>
          <cell r="M67">
            <v>3.9182634298973458E-2</v>
          </cell>
          <cell r="N67">
            <v>9.8940421863423066E-3</v>
          </cell>
          <cell r="O67">
            <v>3.0050555941853869E-2</v>
          </cell>
          <cell r="P67">
            <v>0.44679184687802564</v>
          </cell>
          <cell r="Q67">
            <v>0.33985691133471541</v>
          </cell>
          <cell r="R67">
            <v>0.33985691133471541</v>
          </cell>
          <cell r="S67">
            <v>0.10640191237323121</v>
          </cell>
          <cell r="T67">
            <v>0.16939513747697868</v>
          </cell>
        </row>
        <row r="68">
          <cell r="B68" t="str">
            <v>GasHt%TYP</v>
          </cell>
          <cell r="C68">
            <v>0.54037060186620078</v>
          </cell>
          <cell r="D68">
            <v>0.51430081857580845</v>
          </cell>
          <cell r="E68">
            <v>0.3275419203320854</v>
          </cell>
          <cell r="F68">
            <v>0.91606730000738101</v>
          </cell>
          <cell r="G68">
            <v>0.98322307122393326</v>
          </cell>
          <cell r="H68">
            <v>0.80985008893074606</v>
          </cell>
          <cell r="I68">
            <v>0.56717178566142912</v>
          </cell>
          <cell r="J68">
            <v>0.84777782221188291</v>
          </cell>
          <cell r="K68">
            <v>0.84777782221188291</v>
          </cell>
          <cell r="L68">
            <v>0.98700382329725422</v>
          </cell>
          <cell r="M68">
            <v>0.46957192737561176</v>
          </cell>
          <cell r="N68">
            <v>0.86606113087441317</v>
          </cell>
          <cell r="O68">
            <v>0.79365284945968273</v>
          </cell>
          <cell r="P68">
            <v>0.24941748529786834</v>
          </cell>
          <cell r="Q68">
            <v>0.40556621261939335</v>
          </cell>
          <cell r="R68">
            <v>0.40556621261939335</v>
          </cell>
          <cell r="S68">
            <v>0.77815390025512432</v>
          </cell>
          <cell r="T68">
            <v>0.7257160432726234</v>
          </cell>
        </row>
        <row r="69">
          <cell r="B69" t="str">
            <v>HtPmpHt%TYP</v>
          </cell>
          <cell r="C69">
            <v>0.25019659511212627</v>
          </cell>
          <cell r="D69">
            <v>0.26438753033308959</v>
          </cell>
          <cell r="E69">
            <v>0.36604865261376096</v>
          </cell>
          <cell r="F69">
            <v>3.0936818226183656E-2</v>
          </cell>
          <cell r="G69">
            <v>6.1838210373840949E-3</v>
          </cell>
          <cell r="H69">
            <v>7.0087501474297986E-2</v>
          </cell>
          <cell r="I69">
            <v>0.15953648329356207</v>
          </cell>
          <cell r="J69">
            <v>9.3852833881965178E-2</v>
          </cell>
          <cell r="K69">
            <v>9.3852833881965178E-2</v>
          </cell>
          <cell r="L69">
            <v>6.6032630011973147E-3</v>
          </cell>
          <cell r="M69">
            <v>6.234756715808213E-2</v>
          </cell>
          <cell r="N69">
            <v>1.5743440192688529E-2</v>
          </cell>
          <cell r="O69">
            <v>0.17629659459846331</v>
          </cell>
          <cell r="P69">
            <v>0.30379066782410608</v>
          </cell>
          <cell r="Q69">
            <v>0.25457687604589124</v>
          </cell>
          <cell r="R69">
            <v>0.25457687604589124</v>
          </cell>
          <cell r="S69">
            <v>0.11544418737164447</v>
          </cell>
          <cell r="T69">
            <v>0.104888819250398</v>
          </cell>
        </row>
        <row r="70">
          <cell r="B70" t="str">
            <v>CoolSat%TYP</v>
          </cell>
          <cell r="C70">
            <v>0.63906448816739292</v>
          </cell>
          <cell r="D70">
            <v>0.27664186687267572</v>
          </cell>
          <cell r="E70">
            <v>1.2190954452048295</v>
          </cell>
          <cell r="F70">
            <v>0.58456517103790662</v>
          </cell>
          <cell r="G70">
            <v>4.2361521678222145</v>
          </cell>
          <cell r="H70">
            <v>0.11008785100572639</v>
          </cell>
          <cell r="I70">
            <v>1.7634423768943519</v>
          </cell>
          <cell r="J70">
            <v>0.58616085682062102</v>
          </cell>
          <cell r="K70">
            <v>0.70012942846685744</v>
          </cell>
          <cell r="L70">
            <v>0.15826275063332682</v>
          </cell>
          <cell r="M70">
            <v>0.66777792620290333</v>
          </cell>
          <cell r="N70">
            <v>1.1367559245546974</v>
          </cell>
          <cell r="O70">
            <v>0.65662026954137676</v>
          </cell>
          <cell r="P70">
            <v>0.70788244639533737</v>
          </cell>
          <cell r="Q70">
            <v>0.57520484499032398</v>
          </cell>
          <cell r="R70">
            <v>0.98815959275286502</v>
          </cell>
          <cell r="S70">
            <v>0.42996079338474175</v>
          </cell>
          <cell r="T70">
            <v>0.65647319390936243</v>
          </cell>
        </row>
        <row r="71">
          <cell r="B71" t="str">
            <v>CoolSat%ACT</v>
          </cell>
          <cell r="C71">
            <v>0.55838929921521208</v>
          </cell>
          <cell r="F71">
            <v>0.62093839955623198</v>
          </cell>
          <cell r="J71">
            <v>0.62442038953481216</v>
          </cell>
          <cell r="L71">
            <v>0.24</v>
          </cell>
          <cell r="M71">
            <v>0.73887236878469698</v>
          </cell>
          <cell r="O71">
            <v>1</v>
          </cell>
          <cell r="P71">
            <v>0.88</v>
          </cell>
          <cell r="Q71">
            <v>0.80099063072353371</v>
          </cell>
          <cell r="S71">
            <v>0.95</v>
          </cell>
          <cell r="T71">
            <v>0.7</v>
          </cell>
        </row>
        <row r="72">
          <cell r="B72" t="str">
            <v>PackRT%TYP</v>
          </cell>
          <cell r="C72">
            <v>0.1223937743997613</v>
          </cell>
          <cell r="D72">
            <v>0.24020838177942652</v>
          </cell>
          <cell r="E72">
            <v>1.335053052579932</v>
          </cell>
          <cell r="F72">
            <v>0.60696235481169514</v>
          </cell>
          <cell r="G72">
            <v>5.4561854538323562</v>
          </cell>
          <cell r="H72">
            <v>0.1243118367097117</v>
          </cell>
          <cell r="I72">
            <v>0.4375265765311292</v>
          </cell>
          <cell r="J72">
            <v>0.35365929291798243</v>
          </cell>
          <cell r="K72">
            <v>0.25030778961381872</v>
          </cell>
          <cell r="L72">
            <v>0.23516374740904611</v>
          </cell>
          <cell r="M72">
            <v>0.76895420237764356</v>
          </cell>
          <cell r="N72">
            <v>1.2869452040359148</v>
          </cell>
          <cell r="O72">
            <v>0.67752988296947581</v>
          </cell>
          <cell r="P72">
            <v>0.37108201404884772</v>
          </cell>
          <cell r="Q72">
            <v>6.0547878420034118E-2</v>
          </cell>
          <cell r="R72">
            <v>0.72992834548988494</v>
          </cell>
          <cell r="S72">
            <v>0.27101825075335856</v>
          </cell>
          <cell r="T72">
            <v>0.59442475200474143</v>
          </cell>
          <cell r="V72">
            <v>0.40237851313962686</v>
          </cell>
        </row>
        <row r="73">
          <cell r="B73" t="str">
            <v>PackRT%ACT</v>
          </cell>
          <cell r="C73">
            <v>0.33076123201837443</v>
          </cell>
          <cell r="F73">
            <v>0.56469498122550166</v>
          </cell>
          <cell r="J73">
            <v>0.31896393642970028</v>
          </cell>
          <cell r="L73">
            <v>0.23516374740904611</v>
          </cell>
          <cell r="M73">
            <v>0.847478742238158</v>
          </cell>
          <cell r="O73">
            <v>0.67752988296947581</v>
          </cell>
          <cell r="P73">
            <v>0.37108201404884772</v>
          </cell>
          <cell r="Q73">
            <v>0.42653615081722263</v>
          </cell>
          <cell r="S73">
            <v>0.27101825075335856</v>
          </cell>
          <cell r="T73">
            <v>0.59442475200474143</v>
          </cell>
          <cell r="V73">
            <v>0.40237851313962686</v>
          </cell>
        </row>
        <row r="74">
          <cell r="B74" t="str">
            <v>BuiltUp%TYP</v>
          </cell>
          <cell r="C74">
            <v>0.72977881629252517</v>
          </cell>
          <cell r="D74">
            <v>0.46635610541382266</v>
          </cell>
          <cell r="E74">
            <v>0.18010901567330029</v>
          </cell>
          <cell r="F74">
            <v>0.2530928144049488</v>
          </cell>
          <cell r="G74">
            <v>0.2530928144049488</v>
          </cell>
          <cell r="H74">
            <v>0.2530928144049488</v>
          </cell>
          <cell r="I74">
            <v>0.2530928144049488</v>
          </cell>
          <cell r="J74">
            <v>0.45489304544728093</v>
          </cell>
          <cell r="K74">
            <v>0.45489304544728093</v>
          </cell>
          <cell r="L74">
            <v>0.68364721407456519</v>
          </cell>
          <cell r="M74">
            <v>0.20656505403266429</v>
          </cell>
          <cell r="N74">
            <v>0.20656505403266429</v>
          </cell>
          <cell r="O74">
            <v>5.8610362131589246E-2</v>
          </cell>
          <cell r="P74">
            <v>0.68482020855141457</v>
          </cell>
          <cell r="Q74">
            <v>0.53</v>
          </cell>
          <cell r="R74">
            <v>0.53</v>
          </cell>
          <cell r="S74">
            <v>0.27379566641599334</v>
          </cell>
          <cell r="T74">
            <v>0.46120223430256424</v>
          </cell>
        </row>
        <row r="75">
          <cell r="B75" t="str">
            <v>BuiltUp%ACT</v>
          </cell>
          <cell r="C75">
            <v>0.54488826616667041</v>
          </cell>
          <cell r="F75">
            <v>0.2530928144049488</v>
          </cell>
          <cell r="J75">
            <v>0.45489304544728093</v>
          </cell>
          <cell r="L75">
            <v>5.6541361272701172E-2</v>
          </cell>
          <cell r="M75">
            <v>8.7372210868686184E-2</v>
          </cell>
          <cell r="O75">
            <v>5.746308592387158E-2</v>
          </cell>
          <cell r="P75">
            <v>0.3949582335084047</v>
          </cell>
          <cell r="Q75">
            <v>0.5613264299674231</v>
          </cell>
          <cell r="S75">
            <v>0.1626109504520151</v>
          </cell>
          <cell r="T75">
            <v>0.43951473469986913</v>
          </cell>
        </row>
        <row r="76">
          <cell r="B76" t="str">
            <v>VAV%TYP</v>
          </cell>
          <cell r="C76">
            <v>0.46608853690666113</v>
          </cell>
          <cell r="D76">
            <v>0.11735563427479644</v>
          </cell>
          <cell r="E76">
            <v>2.7643454219157686E-2</v>
          </cell>
          <cell r="F76">
            <v>1.8223223409490142E-3</v>
          </cell>
          <cell r="G76">
            <v>0</v>
          </cell>
          <cell r="H76">
            <v>1.8407381581944647E-3</v>
          </cell>
          <cell r="I76">
            <v>0.36884246679178978</v>
          </cell>
          <cell r="J76">
            <v>0.13299296047180387</v>
          </cell>
          <cell r="K76">
            <v>0.31291692759189527</v>
          </cell>
          <cell r="L76">
            <v>0</v>
          </cell>
          <cell r="M76">
            <v>1.0951921345618905E-2</v>
          </cell>
          <cell r="N76">
            <v>0</v>
          </cell>
          <cell r="O76">
            <v>0</v>
          </cell>
          <cell r="P76">
            <v>0</v>
          </cell>
          <cell r="Q76">
            <v>0.21287625691409595</v>
          </cell>
          <cell r="R76">
            <v>0.20779857841667373</v>
          </cell>
          <cell r="S76">
            <v>6.1924813272887166E-2</v>
          </cell>
          <cell r="T76">
            <v>0.33930786170738875</v>
          </cell>
        </row>
        <row r="77">
          <cell r="B77" t="str">
            <v>VAV%ACT</v>
          </cell>
          <cell r="C77">
            <v>0.25891820020467615</v>
          </cell>
          <cell r="F77">
            <v>3.9805940388780728E-2</v>
          </cell>
          <cell r="J77">
            <v>0.19339388334610158</v>
          </cell>
          <cell r="L77">
            <v>0</v>
          </cell>
          <cell r="M77">
            <v>8.481863258187991E-3</v>
          </cell>
          <cell r="O77">
            <v>0</v>
          </cell>
          <cell r="P77">
            <v>0</v>
          </cell>
          <cell r="Q77">
            <v>0.21010000204488125</v>
          </cell>
          <cell r="S77">
            <v>6.1924813272887166E-2</v>
          </cell>
          <cell r="T77">
            <v>0.33930786170738875</v>
          </cell>
        </row>
        <row r="78">
          <cell r="B78" t="str">
            <v>LSYieldElecHt&amp;AC</v>
          </cell>
          <cell r="C78">
            <v>0.90615278110732544</v>
          </cell>
          <cell r="D78">
            <v>0.91501314586912774</v>
          </cell>
          <cell r="E78">
            <v>0.69482245962753386</v>
          </cell>
          <cell r="F78">
            <v>0.83719999999999994</v>
          </cell>
          <cell r="G78">
            <v>0.67882209612957922</v>
          </cell>
          <cell r="H78">
            <v>0.77504219954203246</v>
          </cell>
          <cell r="I78">
            <v>0.72839999999999994</v>
          </cell>
          <cell r="J78">
            <v>0.58238015976285895</v>
          </cell>
          <cell r="K78">
            <v>0.6725000000000001</v>
          </cell>
          <cell r="L78">
            <v>0.61</v>
          </cell>
          <cell r="M78">
            <v>0.84252649447515005</v>
          </cell>
          <cell r="N78">
            <v>0.7212955283913508</v>
          </cell>
          <cell r="O78">
            <v>0.42521642892350725</v>
          </cell>
          <cell r="P78">
            <v>0.67986786945495803</v>
          </cell>
          <cell r="Q78">
            <v>0.28950000000000004</v>
          </cell>
          <cell r="R78">
            <v>0.92041353752554367</v>
          </cell>
          <cell r="S78">
            <v>0.90725553932410874</v>
          </cell>
          <cell r="T78">
            <v>0.88074112079492783</v>
          </cell>
        </row>
        <row r="79">
          <cell r="B79" t="str">
            <v>LSYieldHtPmpHt&amp;AC</v>
          </cell>
          <cell r="C79">
            <v>1.02</v>
          </cell>
          <cell r="D79">
            <v>1.02</v>
          </cell>
          <cell r="E79">
            <v>0.95500000000000007</v>
          </cell>
          <cell r="F79">
            <v>1.0249999999999999</v>
          </cell>
          <cell r="G79">
            <v>0.92500000000000004</v>
          </cell>
          <cell r="H79">
            <v>0.97499999999999987</v>
          </cell>
          <cell r="I79">
            <v>0.96499999999999986</v>
          </cell>
          <cell r="J79">
            <v>0.8600000000000001</v>
          </cell>
          <cell r="K79">
            <v>0.95500000000000007</v>
          </cell>
          <cell r="L79">
            <v>0.80499999999999994</v>
          </cell>
          <cell r="M79">
            <v>0.9700000000000002</v>
          </cell>
          <cell r="N79">
            <v>0.94500000000000006</v>
          </cell>
          <cell r="O79">
            <v>0.72500000000000009</v>
          </cell>
          <cell r="P79">
            <v>0.90000000000000013</v>
          </cell>
          <cell r="Q79">
            <v>0.64999999999999991</v>
          </cell>
          <cell r="R79">
            <v>1.02</v>
          </cell>
          <cell r="S79">
            <v>1.02</v>
          </cell>
          <cell r="T79">
            <v>1.02</v>
          </cell>
        </row>
        <row r="80">
          <cell r="B80" t="str">
            <v>LSYieldGasHt&amp;AC</v>
          </cell>
          <cell r="C80">
            <v>1.0693527811073251</v>
          </cell>
          <cell r="D80">
            <v>1.0782131458691275</v>
          </cell>
          <cell r="E80">
            <v>1.1209557929608671</v>
          </cell>
          <cell r="F80">
            <v>1.1363999999999999</v>
          </cell>
          <cell r="G80">
            <v>1.0324220961295794</v>
          </cell>
          <cell r="H80">
            <v>1.0561088662086993</v>
          </cell>
          <cell r="I80">
            <v>1.1182666666666665</v>
          </cell>
          <cell r="J80">
            <v>1.0175801597628591</v>
          </cell>
          <cell r="K80">
            <v>1.0986333333333334</v>
          </cell>
          <cell r="L80">
            <v>0.96360000000000012</v>
          </cell>
          <cell r="M80">
            <v>1.0419931611418167</v>
          </cell>
          <cell r="N80">
            <v>1.0748955283913508</v>
          </cell>
          <cell r="O80">
            <v>0.96014976225684046</v>
          </cell>
          <cell r="P80">
            <v>1.0425345361216247</v>
          </cell>
          <cell r="Q80">
            <v>0.94230000000000003</v>
          </cell>
          <cell r="R80">
            <v>1.0836135375255436</v>
          </cell>
          <cell r="S80">
            <v>1.0704555393241084</v>
          </cell>
          <cell r="T80">
            <v>1.0439411207949276</v>
          </cell>
        </row>
        <row r="81">
          <cell r="B81" t="str">
            <v>LSYieldElecHt</v>
          </cell>
          <cell r="C81">
            <v>0.82000000000000006</v>
          </cell>
          <cell r="D81">
            <v>0.82000000000000006</v>
          </cell>
          <cell r="E81">
            <v>0.53</v>
          </cell>
          <cell r="F81">
            <v>0.66999999999999993</v>
          </cell>
          <cell r="G81">
            <v>0.61</v>
          </cell>
          <cell r="H81">
            <v>0.69</v>
          </cell>
          <cell r="I81">
            <v>0.57000000000000006</v>
          </cell>
          <cell r="J81">
            <v>0.52</v>
          </cell>
          <cell r="K81">
            <v>0.53</v>
          </cell>
          <cell r="L81">
            <v>0.61</v>
          </cell>
          <cell r="M81">
            <v>0.78</v>
          </cell>
          <cell r="N81">
            <v>0.61</v>
          </cell>
          <cell r="O81">
            <v>0.41000000000000003</v>
          </cell>
          <cell r="P81">
            <v>0.6</v>
          </cell>
          <cell r="Q81">
            <v>0.28000000000000003</v>
          </cell>
          <cell r="R81">
            <v>0.82000000000000006</v>
          </cell>
          <cell r="S81">
            <v>0.82000000000000006</v>
          </cell>
          <cell r="T81">
            <v>0.82000000000000006</v>
          </cell>
        </row>
        <row r="82">
          <cell r="B82" t="str">
            <v>LSYieldGasHt</v>
          </cell>
          <cell r="C82">
            <v>0.98319999999999996</v>
          </cell>
          <cell r="D82">
            <v>0.98319999999999996</v>
          </cell>
          <cell r="E82">
            <v>0.95613333333333328</v>
          </cell>
          <cell r="F82">
            <v>0.96919999999999995</v>
          </cell>
          <cell r="G82">
            <v>0.96360000000000001</v>
          </cell>
          <cell r="H82">
            <v>0.97106666666666663</v>
          </cell>
          <cell r="I82">
            <v>0.95986666666666665</v>
          </cell>
          <cell r="J82">
            <v>0.95520000000000005</v>
          </cell>
          <cell r="K82">
            <v>0.95613333333333328</v>
          </cell>
          <cell r="L82">
            <v>0.96360000000000001</v>
          </cell>
          <cell r="M82">
            <v>0.97946666666666671</v>
          </cell>
          <cell r="N82">
            <v>0.96360000000000001</v>
          </cell>
          <cell r="O82">
            <v>0.94493333333333329</v>
          </cell>
          <cell r="P82">
            <v>0.96266666666666667</v>
          </cell>
          <cell r="Q82">
            <v>0.93279999999999996</v>
          </cell>
          <cell r="R82">
            <v>0.98319999999999996</v>
          </cell>
          <cell r="S82">
            <v>0.98319999999999996</v>
          </cell>
          <cell r="T82">
            <v>0.98319999999999996</v>
          </cell>
        </row>
        <row r="83">
          <cell r="B83" t="str">
            <v>LSYieldThermsGasHt</v>
          </cell>
          <cell r="C83">
            <v>-8.1887999999999996E-3</v>
          </cell>
          <cell r="D83">
            <v>-8.1887999999999996E-3</v>
          </cell>
          <cell r="E83">
            <v>-2.1381866666666666E-2</v>
          </cell>
          <cell r="F83">
            <v>-1.50128E-2</v>
          </cell>
          <cell r="G83">
            <v>-1.7742399999999998E-2</v>
          </cell>
          <cell r="H83">
            <v>-1.4102933333333333E-2</v>
          </cell>
          <cell r="I83">
            <v>-1.9562133333333332E-2</v>
          </cell>
          <cell r="J83">
            <v>-2.18368E-2</v>
          </cell>
          <cell r="K83">
            <v>-2.1381866666666666E-2</v>
          </cell>
          <cell r="L83">
            <v>-1.7742399999999998E-2</v>
          </cell>
          <cell r="M83">
            <v>-1.0008533333333333E-2</v>
          </cell>
          <cell r="N83">
            <v>-1.7742399999999998E-2</v>
          </cell>
          <cell r="O83">
            <v>-2.6841066666666667E-2</v>
          </cell>
          <cell r="P83">
            <v>-1.8197333333333333E-2</v>
          </cell>
          <cell r="Q83">
            <v>-3.2755199999999998E-2</v>
          </cell>
          <cell r="R83">
            <v>-8.1887999999999996E-3</v>
          </cell>
          <cell r="S83">
            <v>-8.1887999999999996E-3</v>
          </cell>
          <cell r="T83">
            <v>-8.1887999999999996E-3</v>
          </cell>
        </row>
        <row r="84">
          <cell r="B84" t="str">
            <v>LSYieldThermsGasHt&amp;AC</v>
          </cell>
          <cell r="C84">
            <v>-8.1887999999999996E-3</v>
          </cell>
          <cell r="D84">
            <v>-8.1887999999999996E-3</v>
          </cell>
          <cell r="E84">
            <v>-2.1381866666666666E-2</v>
          </cell>
          <cell r="F84">
            <v>-1.50128E-2</v>
          </cell>
          <cell r="G84">
            <v>-1.7742399999999998E-2</v>
          </cell>
          <cell r="H84">
            <v>-1.4102933333333333E-2</v>
          </cell>
          <cell r="I84">
            <v>-1.9562133333333332E-2</v>
          </cell>
          <cell r="J84">
            <v>-2.18368E-2</v>
          </cell>
          <cell r="K84">
            <v>-2.1381866666666666E-2</v>
          </cell>
          <cell r="L84">
            <v>-1.7742399999999998E-2</v>
          </cell>
          <cell r="M84">
            <v>-1.0008533333333333E-2</v>
          </cell>
          <cell r="N84">
            <v>-1.7742399999999998E-2</v>
          </cell>
          <cell r="O84">
            <v>-2.6841066666666667E-2</v>
          </cell>
          <cell r="P84">
            <v>-1.8197333333333333E-2</v>
          </cell>
          <cell r="Q84">
            <v>-3.2755199999999998E-2</v>
          </cell>
          <cell r="R84">
            <v>-8.1887999999999996E-3</v>
          </cell>
          <cell r="S84">
            <v>-8.1887999999999996E-3</v>
          </cell>
          <cell r="T84">
            <v>-8.1887999999999996E-3</v>
          </cell>
        </row>
        <row r="85">
          <cell r="B85" t="str">
            <v>LPDAdjust</v>
          </cell>
          <cell r="C85">
            <v>0.9</v>
          </cell>
          <cell r="D85">
            <v>0.9</v>
          </cell>
          <cell r="E85">
            <v>0.9</v>
          </cell>
          <cell r="F85">
            <v>0.9</v>
          </cell>
          <cell r="G85">
            <v>0.9</v>
          </cell>
          <cell r="H85">
            <v>0.9</v>
          </cell>
          <cell r="I85">
            <v>0.9</v>
          </cell>
          <cell r="J85">
            <v>0.9</v>
          </cell>
          <cell r="K85">
            <v>0.9</v>
          </cell>
          <cell r="L85">
            <v>0.9</v>
          </cell>
          <cell r="M85">
            <v>0.9</v>
          </cell>
          <cell r="N85">
            <v>0.9</v>
          </cell>
          <cell r="O85">
            <v>0.9</v>
          </cell>
          <cell r="P85">
            <v>0.9</v>
          </cell>
          <cell r="Q85">
            <v>0.9</v>
          </cell>
          <cell r="R85">
            <v>0.9</v>
          </cell>
          <cell r="S85">
            <v>0.9</v>
          </cell>
          <cell r="T85">
            <v>0.9</v>
          </cell>
        </row>
        <row r="86">
          <cell r="B86" t="str">
            <v>Chiller%TYP</v>
          </cell>
          <cell r="C86">
            <v>0.56462879397730081</v>
          </cell>
          <cell r="D86">
            <v>4.6538023315551971E-2</v>
          </cell>
          <cell r="E86">
            <v>0</v>
          </cell>
          <cell r="F86">
            <v>0.05</v>
          </cell>
          <cell r="G86">
            <v>0</v>
          </cell>
          <cell r="H86">
            <v>0</v>
          </cell>
          <cell r="I86">
            <v>0.4</v>
          </cell>
          <cell r="J86">
            <v>0.15</v>
          </cell>
          <cell r="K86">
            <v>0.56010354277348595</v>
          </cell>
          <cell r="L86">
            <v>2.5313943217584035E-3</v>
          </cell>
          <cell r="M86">
            <v>0</v>
          </cell>
          <cell r="N86">
            <v>0</v>
          </cell>
          <cell r="O86">
            <v>0</v>
          </cell>
          <cell r="P86">
            <v>0.25726246172443012</v>
          </cell>
          <cell r="Q86">
            <v>0.40098917705864051</v>
          </cell>
          <cell r="R86">
            <v>0.2</v>
          </cell>
          <cell r="S86">
            <v>0.10248146401565306</v>
          </cell>
          <cell r="T86">
            <v>9.3635553842610117E-2</v>
          </cell>
        </row>
        <row r="87">
          <cell r="B87" t="str">
            <v>HOURSLght</v>
          </cell>
          <cell r="C87">
            <v>4300</v>
          </cell>
          <cell r="D87">
            <v>3800</v>
          </cell>
          <cell r="E87">
            <v>3800</v>
          </cell>
          <cell r="F87">
            <v>4800</v>
          </cell>
          <cell r="G87">
            <v>3900</v>
          </cell>
          <cell r="H87">
            <v>3400</v>
          </cell>
          <cell r="I87">
            <v>4000</v>
          </cell>
          <cell r="J87">
            <v>2900</v>
          </cell>
          <cell r="K87">
            <v>3000</v>
          </cell>
          <cell r="L87">
            <v>3799.9999999999995</v>
          </cell>
          <cell r="M87">
            <v>5800</v>
          </cell>
          <cell r="N87">
            <v>5800</v>
          </cell>
          <cell r="O87">
            <v>5100</v>
          </cell>
          <cell r="P87">
            <v>4200</v>
          </cell>
          <cell r="Q87">
            <v>6400</v>
          </cell>
          <cell r="R87">
            <v>3600</v>
          </cell>
          <cell r="S87">
            <v>2800</v>
          </cell>
          <cell r="T87">
            <v>3600</v>
          </cell>
        </row>
        <row r="88">
          <cell r="B88" t="str">
            <v>UnCondArea%TYP</v>
          </cell>
          <cell r="C88">
            <v>9.7915019519809049E-2</v>
          </cell>
          <cell r="D88">
            <v>2.2419448966079808E-2</v>
          </cell>
          <cell r="E88">
            <v>7.0265950135785918E-2</v>
          </cell>
          <cell r="F88">
            <v>1.9928358103564997E-2</v>
          </cell>
          <cell r="G88">
            <v>0.96021448828880007</v>
          </cell>
          <cell r="H88">
            <v>1.682861062838684E-2</v>
          </cell>
          <cell r="I88">
            <v>0.24046941503104796</v>
          </cell>
          <cell r="J88">
            <v>9.3965911445071555E-3</v>
          </cell>
          <cell r="K88">
            <v>9.3350590462247668E-2</v>
          </cell>
          <cell r="L88">
            <v>0.23147891652780339</v>
          </cell>
          <cell r="M88">
            <v>3.4175742327895269E-2</v>
          </cell>
          <cell r="N88">
            <v>5.7197564623818434E-2</v>
          </cell>
          <cell r="O88">
            <v>0.11219535867382037</v>
          </cell>
          <cell r="P88">
            <v>4.431584636138023E-2</v>
          </cell>
          <cell r="Q88">
            <v>7.2657454104040925E-2</v>
          </cell>
          <cell r="R88">
            <v>3.2474970371947381E-2</v>
          </cell>
          <cell r="S88">
            <v>8.1305475226007548E-2</v>
          </cell>
          <cell r="T88">
            <v>0.1783274256014224</v>
          </cell>
        </row>
        <row r="89">
          <cell r="B89" t="str">
            <v>RTEcono%TYP</v>
          </cell>
          <cell r="C89">
            <v>0.76153165389450173</v>
          </cell>
          <cell r="D89">
            <v>0.30073914524177386</v>
          </cell>
          <cell r="E89">
            <v>1.1359292164334371</v>
          </cell>
          <cell r="F89">
            <v>0.6263769264185407</v>
          </cell>
          <cell r="G89">
            <v>5.9822174868305114</v>
          </cell>
          <cell r="H89">
            <v>0.14273935163045462</v>
          </cell>
          <cell r="I89">
            <v>1.788329150005399</v>
          </cell>
          <cell r="J89">
            <v>0.87933859533450087</v>
          </cell>
          <cell r="K89">
            <v>0.87302047036538133</v>
          </cell>
          <cell r="L89">
            <v>0.54576541658209587</v>
          </cell>
          <cell r="M89">
            <v>0.76125181103107264</v>
          </cell>
          <cell r="N89">
            <v>1.2711829434238073</v>
          </cell>
          <cell r="O89">
            <v>0.77847937636462106</v>
          </cell>
          <cell r="P89">
            <v>0.79264014660550641</v>
          </cell>
          <cell r="Q89">
            <v>0.56873556010588189</v>
          </cell>
          <cell r="R89">
            <v>0.97419410677203033</v>
          </cell>
          <cell r="S89">
            <v>0.34099838347588574</v>
          </cell>
          <cell r="T89">
            <v>0.74814105584849844</v>
          </cell>
        </row>
        <row r="90">
          <cell r="B90" t="str">
            <v>FloorA%PRE2002</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B91" t="str">
            <v>FloorA%PRE2006</v>
          </cell>
          <cell r="C91">
            <v>1</v>
          </cell>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cell r="S91">
            <v>1</v>
          </cell>
          <cell r="T91">
            <v>1</v>
          </cell>
        </row>
        <row r="92">
          <cell r="B92" t="str">
            <v>ElecHtComplex%TYP</v>
          </cell>
          <cell r="C92">
            <v>0.5032832003318185</v>
          </cell>
          <cell r="D92">
            <v>0.19754737317540033</v>
          </cell>
          <cell r="E92">
            <v>0.86680076087505498</v>
          </cell>
          <cell r="F92">
            <v>0.55985400698948606</v>
          </cell>
          <cell r="G92">
            <v>0.27993945466265791</v>
          </cell>
          <cell r="H92">
            <v>6.3780434281586118E-3</v>
          </cell>
          <cell r="I92">
            <v>7.5948256913972667E-2</v>
          </cell>
          <cell r="J92">
            <v>5.7319205981493631E-3</v>
          </cell>
          <cell r="K92">
            <v>0.1674709592892723</v>
          </cell>
          <cell r="L92">
            <v>0.2825536194003897</v>
          </cell>
          <cell r="M92">
            <v>4.5624616007740176E-2</v>
          </cell>
          <cell r="N92">
            <v>7.6358748772797594E-2</v>
          </cell>
          <cell r="O92">
            <v>4.608640117832314E-2</v>
          </cell>
          <cell r="P92">
            <v>6.824640339652556E-3</v>
          </cell>
          <cell r="Q92">
            <v>4.9104329398647659E-2</v>
          </cell>
          <cell r="R92">
            <v>0.38331290029021892</v>
          </cell>
          <cell r="S92">
            <v>2.7101825075335855E-2</v>
          </cell>
          <cell r="T92">
            <v>0.37020773554855302</v>
          </cell>
        </row>
        <row r="93">
          <cell r="B93" t="str">
            <v>GasHtComplex%TYP</v>
          </cell>
          <cell r="C93">
            <v>0.20660069118679708</v>
          </cell>
          <cell r="D93">
            <v>8.1094349688734371E-2</v>
          </cell>
          <cell r="E93">
            <v>0.35582677148761982</v>
          </cell>
          <cell r="F93">
            <v>0.1044245964626806</v>
          </cell>
          <cell r="G93">
            <v>2.3584345085431835</v>
          </cell>
          <cell r="H93">
            <v>5.3733753736439169E-2</v>
          </cell>
          <cell r="I93">
            <v>0.63984903516178027</v>
          </cell>
          <cell r="J93">
            <v>0.78301794007178116</v>
          </cell>
          <cell r="K93">
            <v>0.76612829592366649</v>
          </cell>
          <cell r="L93">
            <v>0.46415256294736318</v>
          </cell>
          <cell r="M93">
            <v>0.80876894218964157</v>
          </cell>
          <cell r="N93">
            <v>1.3535803668226631</v>
          </cell>
          <cell r="O93">
            <v>0.81695481938952597</v>
          </cell>
          <cell r="P93">
            <v>0.50395980482161595</v>
          </cell>
          <cell r="Q93">
            <v>0.55637445480169345</v>
          </cell>
          <cell r="R93">
            <v>0.62059668380791444</v>
          </cell>
          <cell r="S93">
            <v>0.29812007582869443</v>
          </cell>
          <cell r="T93">
            <v>0.80164122055359432</v>
          </cell>
        </row>
        <row r="94">
          <cell r="B94" t="str">
            <v>HtPmpHtComplex%TYP</v>
          </cell>
          <cell r="C94">
            <v>0.10615620032939298</v>
          </cell>
          <cell r="D94">
            <v>4.1668147292671175E-2</v>
          </cell>
          <cell r="E94">
            <v>0.18283200225331492</v>
          </cell>
          <cell r="F94">
            <v>0</v>
          </cell>
          <cell r="G94">
            <v>4.7478913313233901</v>
          </cell>
          <cell r="H94">
            <v>0.10817430911927059</v>
          </cell>
          <cell r="I94">
            <v>1.2881144998496472</v>
          </cell>
          <cell r="J94">
            <v>0.15081528786933984</v>
          </cell>
          <cell r="K94">
            <v>0</v>
          </cell>
          <cell r="L94">
            <v>0</v>
          </cell>
          <cell r="M94">
            <v>0</v>
          </cell>
          <cell r="N94">
            <v>0</v>
          </cell>
          <cell r="O94">
            <v>0</v>
          </cell>
          <cell r="P94">
            <v>0.37562111375905877</v>
          </cell>
          <cell r="Q94">
            <v>0</v>
          </cell>
          <cell r="R94">
            <v>7.8697678201352483E-2</v>
          </cell>
          <cell r="S94">
            <v>0.21681460060268684</v>
          </cell>
          <cell r="T94">
            <v>1.6881662956934655E-2</v>
          </cell>
        </row>
        <row r="95">
          <cell r="B95" t="str">
            <v>ElecHtSimple%TYP</v>
          </cell>
          <cell r="C95">
            <v>4.0797924799920442E-2</v>
          </cell>
          <cell r="D95">
            <v>7.6712861227859655E-2</v>
          </cell>
          <cell r="E95">
            <v>0.34629799136803036</v>
          </cell>
          <cell r="F95">
            <v>9.4309392161736581E-3</v>
          </cell>
          <cell r="G95">
            <v>0.69059559002041793</v>
          </cell>
          <cell r="H95">
            <v>1.5734290365582385E-2</v>
          </cell>
          <cell r="I95">
            <v>2.5440517986723227E-2</v>
          </cell>
          <cell r="J95">
            <v>0.22063592478811844</v>
          </cell>
          <cell r="K95">
            <v>0.18449615182326545</v>
          </cell>
          <cell r="L95">
            <v>8.5433934010164969E-2</v>
          </cell>
          <cell r="M95">
            <v>0.16530992978116466</v>
          </cell>
          <cell r="N95">
            <v>0.25453305525840347</v>
          </cell>
          <cell r="O95">
            <v>0.12256320691297852</v>
          </cell>
          <cell r="P95">
            <v>0.1701802809460462</v>
          </cell>
          <cell r="Q95">
            <v>7.6529644813639303E-2</v>
          </cell>
          <cell r="R95">
            <v>8.48023297102318E-2</v>
          </cell>
          <cell r="S95">
            <v>5.420365015067171E-2</v>
          </cell>
          <cell r="T95">
            <v>0.20159565917150249</v>
          </cell>
        </row>
        <row r="96">
          <cell r="B96" t="str">
            <v>GasHtSimple%TYP</v>
          </cell>
          <cell r="C96">
            <v>0.59645431773702551</v>
          </cell>
          <cell r="D96">
            <v>0.1751178154419134</v>
          </cell>
          <cell r="E96">
            <v>0.75286988633676921</v>
          </cell>
          <cell r="F96">
            <v>0.64860578911648015</v>
          </cell>
          <cell r="G96">
            <v>5.6577342666812855</v>
          </cell>
          <cell r="H96">
            <v>0.12890385494734588</v>
          </cell>
          <cell r="I96">
            <v>1.9096725785396154</v>
          </cell>
          <cell r="J96">
            <v>0.52936088218329336</v>
          </cell>
          <cell r="K96">
            <v>0.62505513690134207</v>
          </cell>
          <cell r="L96">
            <v>0.58469762342365594</v>
          </cell>
          <cell r="M96">
            <v>0.61036689721002213</v>
          </cell>
          <cell r="N96">
            <v>1.0544939191728511</v>
          </cell>
          <cell r="O96">
            <v>0.61909451647609204</v>
          </cell>
          <cell r="P96">
            <v>0.45909862320270312</v>
          </cell>
          <cell r="Q96">
            <v>0.45317337392380236</v>
          </cell>
          <cell r="R96">
            <v>0.90611735760696566</v>
          </cell>
          <cell r="S96">
            <v>0.43362920120537368</v>
          </cell>
          <cell r="T96">
            <v>0.74796368935357349</v>
          </cell>
        </row>
        <row r="97">
          <cell r="B97" t="str">
            <v>HtPmpHtSimple%TYP</v>
          </cell>
          <cell r="C97">
            <v>0.17870625346146285</v>
          </cell>
          <cell r="D97">
            <v>6.8447165702795604E-2</v>
          </cell>
          <cell r="E97">
            <v>0.30615112501091846</v>
          </cell>
          <cell r="F97">
            <v>5.1813731069269E-3</v>
          </cell>
          <cell r="G97">
            <v>1.0540200575293213</v>
          </cell>
          <cell r="H97">
            <v>2.4014427366708016E-2</v>
          </cell>
          <cell r="I97">
            <v>6.8798695399061222E-2</v>
          </cell>
          <cell r="J97">
            <v>0.18966230747930371</v>
          </cell>
          <cell r="K97">
            <v>0.12395461589786912</v>
          </cell>
          <cell r="L97">
            <v>7.657462491393198E-2</v>
          </cell>
          <cell r="M97">
            <v>7.8716731206195087E-2</v>
          </cell>
          <cell r="N97">
            <v>0.131827238222366</v>
          </cell>
          <cell r="O97">
            <v>0.12138349717877855</v>
          </cell>
          <cell r="P97">
            <v>0.25705457832201301</v>
          </cell>
          <cell r="Q97">
            <v>7.5760149152072437E-2</v>
          </cell>
          <cell r="R97">
            <v>9.1579325081048712E-2</v>
          </cell>
          <cell r="S97">
            <v>5.420365015067171E-2</v>
          </cell>
          <cell r="T97">
            <v>0.23925913126345466</v>
          </cell>
        </row>
        <row r="98">
          <cell r="B98" t="str">
            <v>ChillerAir%TYP</v>
          </cell>
          <cell r="C98">
            <v>0.5</v>
          </cell>
          <cell r="D98">
            <v>0.8</v>
          </cell>
          <cell r="E98">
            <v>0.8</v>
          </cell>
          <cell r="F98">
            <v>0.8</v>
          </cell>
          <cell r="G98">
            <v>0.8</v>
          </cell>
          <cell r="H98">
            <v>0.8</v>
          </cell>
          <cell r="I98">
            <v>0.8</v>
          </cell>
          <cell r="J98">
            <v>0.8</v>
          </cell>
          <cell r="K98">
            <v>0.8</v>
          </cell>
          <cell r="L98">
            <v>0.9</v>
          </cell>
          <cell r="M98">
            <v>1</v>
          </cell>
          <cell r="N98">
            <v>1</v>
          </cell>
          <cell r="O98">
            <v>1</v>
          </cell>
          <cell r="P98">
            <v>0.2</v>
          </cell>
          <cell r="Q98">
            <v>0.2</v>
          </cell>
          <cell r="R98">
            <v>0.6</v>
          </cell>
          <cell r="S98">
            <v>0.6</v>
          </cell>
          <cell r="T98">
            <v>0.2</v>
          </cell>
        </row>
        <row r="99">
          <cell r="B99" t="str">
            <v>ChillerWater%TYP</v>
          </cell>
          <cell r="C99">
            <v>0.5</v>
          </cell>
          <cell r="D99">
            <v>0.2</v>
          </cell>
          <cell r="E99">
            <v>0.2</v>
          </cell>
          <cell r="F99">
            <v>0.2</v>
          </cell>
          <cell r="G99">
            <v>0.2</v>
          </cell>
          <cell r="H99">
            <v>0.2</v>
          </cell>
          <cell r="I99">
            <v>0.2</v>
          </cell>
          <cell r="J99">
            <v>0.2</v>
          </cell>
          <cell r="K99">
            <v>0.2</v>
          </cell>
          <cell r="L99">
            <v>0.1</v>
          </cell>
          <cell r="M99">
            <v>0</v>
          </cell>
          <cell r="N99">
            <v>0</v>
          </cell>
          <cell r="O99">
            <v>0</v>
          </cell>
          <cell r="P99">
            <v>0.8</v>
          </cell>
          <cell r="Q99">
            <v>0.8</v>
          </cell>
          <cell r="R99">
            <v>0.4</v>
          </cell>
          <cell r="S99">
            <v>0.4</v>
          </cell>
          <cell r="T99">
            <v>0.8</v>
          </cell>
        </row>
        <row r="100">
          <cell r="B100" t="str">
            <v>WinFloorRatio%TYP</v>
          </cell>
          <cell r="C100">
            <v>0.11113127858742104</v>
          </cell>
          <cell r="D100">
            <v>4.3960578486503234E-2</v>
          </cell>
          <cell r="E100">
            <v>0.1917271954866456</v>
          </cell>
          <cell r="F100">
            <v>1.3285572069043333E-2</v>
          </cell>
          <cell r="G100">
            <v>1.1818024471246773</v>
          </cell>
          <cell r="H100">
            <v>2.6925777005418945E-2</v>
          </cell>
          <cell r="I100">
            <v>8.015647167701602E-2</v>
          </cell>
          <cell r="J100">
            <v>6.5776138011550078E-2</v>
          </cell>
          <cell r="K100">
            <v>0.11202070855469719</v>
          </cell>
          <cell r="L100">
            <v>2.2401185470432586E-2</v>
          </cell>
          <cell r="M100">
            <v>3.4175742327895269E-2</v>
          </cell>
          <cell r="N100">
            <v>0.21449086733931913</v>
          </cell>
          <cell r="O100">
            <v>0.15534741970221283</v>
          </cell>
          <cell r="P100">
            <v>9.7494861995036486E-2</v>
          </cell>
          <cell r="Q100">
            <v>6.6602666262037521E-2</v>
          </cell>
          <cell r="R100">
            <v>0.12989988148778953</v>
          </cell>
          <cell r="S100">
            <v>4.3362920120537364E-2</v>
          </cell>
          <cell r="T100">
            <v>0.11888495040094829</v>
          </cell>
        </row>
      </sheetData>
      <sheetData sheetId="12">
        <row r="11">
          <cell r="B11" t="str">
            <v>Large Ret</v>
          </cell>
          <cell r="C11">
            <v>162.46577996251671</v>
          </cell>
          <cell r="D11">
            <v>9.4301657982802961E-2</v>
          </cell>
          <cell r="E11">
            <v>24.358988178585392</v>
          </cell>
          <cell r="F11">
            <v>8.1303479290576602E-2</v>
          </cell>
          <cell r="G11">
            <v>26.622026639013747</v>
          </cell>
          <cell r="H11">
            <v>5.9898486998525451E-2</v>
          </cell>
          <cell r="I11">
            <v>19.595488823905271</v>
          </cell>
          <cell r="J11">
            <v>7.2059028966541455E-2</v>
          </cell>
          <cell r="K11">
            <v>48.694678620881028</v>
          </cell>
          <cell r="L11">
            <v>4.8512225564269561E-2</v>
          </cell>
          <cell r="M11">
            <v>31.55076</v>
          </cell>
          <cell r="N11">
            <v>9.4201798094731004E-3</v>
          </cell>
          <cell r="O11">
            <v>186.82476814110208</v>
          </cell>
          <cell r="P11">
            <v>9.237609484492941E-2</v>
          </cell>
          <cell r="Q11">
            <v>213.44679478011582</v>
          </cell>
          <cell r="R11">
            <v>8.6524695525496798E-2</v>
          </cell>
          <cell r="S11">
            <v>50.981014817599139</v>
          </cell>
          <cell r="T11">
            <v>6.8517515567489626E-2</v>
          </cell>
        </row>
        <row r="12">
          <cell r="B12" t="str">
            <v>Medium Ret</v>
          </cell>
          <cell r="C12">
            <v>40.616444990629176</v>
          </cell>
          <cell r="D12">
            <v>2.357541449570074E-2</v>
          </cell>
          <cell r="E12">
            <v>6.089747044646348</v>
          </cell>
          <cell r="F12">
            <v>2.0325869822644151E-2</v>
          </cell>
          <cell r="G12">
            <v>6.6555066597534367</v>
          </cell>
          <cell r="H12">
            <v>1.4974621749631363E-2</v>
          </cell>
          <cell r="I12">
            <v>4.8988722059763177</v>
          </cell>
          <cell r="J12">
            <v>1.8014757241635364E-2</v>
          </cell>
          <cell r="K12">
            <v>12.173669655220257</v>
          </cell>
          <cell r="L12">
            <v>1.212805639106739E-2</v>
          </cell>
          <cell r="M12">
            <v>346.19952999999998</v>
          </cell>
          <cell r="N12">
            <v>0.10336555514209726</v>
          </cell>
          <cell r="O12">
            <v>46.706192035275521</v>
          </cell>
          <cell r="P12">
            <v>2.3094023711232353E-2</v>
          </cell>
          <cell r="Q12">
            <v>53.361698695028956</v>
          </cell>
          <cell r="R12">
            <v>2.1631173881374199E-2</v>
          </cell>
          <cell r="S12">
            <v>12.745253704399785</v>
          </cell>
          <cell r="T12">
            <v>1.7129378891872406E-2</v>
          </cell>
        </row>
        <row r="13">
          <cell r="B13" t="str">
            <v>Small Ret</v>
          </cell>
          <cell r="C13">
            <v>84.617593730477466</v>
          </cell>
          <cell r="D13">
            <v>4.9115446866043223E-2</v>
          </cell>
          <cell r="E13">
            <v>11.757582599423802</v>
          </cell>
          <cell r="F13">
            <v>3.9243517274657636E-2</v>
          </cell>
          <cell r="G13">
            <v>12.849904720075388</v>
          </cell>
          <cell r="H13">
            <v>2.891176773445828E-2</v>
          </cell>
          <cell r="I13">
            <v>9.4583394324111882</v>
          </cell>
          <cell r="J13">
            <v>3.4781411235020585E-2</v>
          </cell>
          <cell r="K13">
            <v>23.503919860708013</v>
          </cell>
          <cell r="L13">
            <v>2.3415853522816665E-2</v>
          </cell>
          <cell r="M13">
            <v>59.225870599999993</v>
          </cell>
          <cell r="N13">
            <v>1.7683198453051097E-2</v>
          </cell>
          <cell r="O13">
            <v>96.375176329901265</v>
          </cell>
          <cell r="P13">
            <v>4.7653009383765522E-2</v>
          </cell>
          <cell r="Q13">
            <v>109.22508104997665</v>
          </cell>
          <cell r="R13">
            <v>4.4276452552649621E-2</v>
          </cell>
          <cell r="S13">
            <v>24.607487319499192</v>
          </cell>
          <cell r="T13">
            <v>3.3071995556050615E-2</v>
          </cell>
        </row>
        <row r="14">
          <cell r="B14" t="str">
            <v>School K-12</v>
          </cell>
          <cell r="C14">
            <v>147.99830237381886</v>
          </cell>
          <cell r="D14">
            <v>8.5904153451337839E-2</v>
          </cell>
          <cell r="E14">
            <v>26.796913439999997</v>
          </cell>
          <cell r="F14">
            <v>8.9440590920592866E-2</v>
          </cell>
          <cell r="G14">
            <v>29.344991280000002</v>
          </cell>
          <cell r="H14">
            <v>6.6025047697947925E-2</v>
          </cell>
          <cell r="I14">
            <v>26.40813</v>
          </cell>
          <cell r="J14">
            <v>9.7111341376731539E-2</v>
          </cell>
          <cell r="K14">
            <v>57.689056256798111</v>
          </cell>
          <cell r="L14">
            <v>5.7472902357744132E-2</v>
          </cell>
          <cell r="M14">
            <v>245.35316429999997</v>
          </cell>
          <cell r="N14">
            <v>7.3255633922263544E-2</v>
          </cell>
          <cell r="O14">
            <v>174.79521581381886</v>
          </cell>
          <cell r="P14">
            <v>8.6428044820385158E-2</v>
          </cell>
          <cell r="Q14">
            <v>204.14020709381884</v>
          </cell>
          <cell r="R14">
            <v>8.2752094176445301E-2</v>
          </cell>
          <cell r="S14">
            <v>56.141904719999999</v>
          </cell>
          <cell r="T14">
            <v>7.5453653568959556E-2</v>
          </cell>
        </row>
        <row r="15">
          <cell r="B15" t="str">
            <v>University</v>
          </cell>
          <cell r="C15">
            <v>74.995360082968432</v>
          </cell>
          <cell r="D15">
            <v>4.3530316343988885E-2</v>
          </cell>
          <cell r="E15">
            <v>13.80447056</v>
          </cell>
          <cell r="F15">
            <v>4.6075455928790268E-2</v>
          </cell>
          <cell r="G15">
            <v>15.11711672</v>
          </cell>
          <cell r="H15">
            <v>3.4012903359548929E-2</v>
          </cell>
          <cell r="I15">
            <v>11.827631999999999</v>
          </cell>
          <cell r="J15">
            <v>4.3494075833099652E-2</v>
          </cell>
          <cell r="K15">
            <v>30.744945239348489</v>
          </cell>
          <cell r="L15">
            <v>3.0629747657330442E-2</v>
          </cell>
          <cell r="M15">
            <v>123.989124</v>
          </cell>
          <cell r="N15">
            <v>3.701970546823774E-2</v>
          </cell>
          <cell r="O15">
            <v>88.799830642968431</v>
          </cell>
          <cell r="P15">
            <v>4.3907355857083691E-2</v>
          </cell>
          <cell r="Q15">
            <v>103.91694736296843</v>
          </cell>
          <cell r="R15">
            <v>4.2124700161379681E-2</v>
          </cell>
          <cell r="S15">
            <v>28.921587280000001</v>
          </cell>
          <cell r="T15">
            <v>3.887006395976704E-2</v>
          </cell>
        </row>
        <row r="16">
          <cell r="B16" t="str">
            <v>Warehouse</v>
          </cell>
          <cell r="C16">
            <v>170.26080912869836</v>
          </cell>
          <cell r="D16">
            <v>9.8826205703343439E-2</v>
          </cell>
          <cell r="E16">
            <v>47.959277200000002</v>
          </cell>
          <cell r="F16">
            <v>0.16007463331540012</v>
          </cell>
          <cell r="G16">
            <v>74.676567000000006</v>
          </cell>
          <cell r="H16">
            <v>0.16801926608355783</v>
          </cell>
          <cell r="I16">
            <v>37.314782000000001</v>
          </cell>
          <cell r="J16">
            <v>0.13721867217407357</v>
          </cell>
          <cell r="K16">
            <v>264.56959853302936</v>
          </cell>
          <cell r="L16">
            <v>0.26357828832612473</v>
          </cell>
          <cell r="M16">
            <v>442.22405430000003</v>
          </cell>
          <cell r="N16">
            <v>0.13203580856943528</v>
          </cell>
          <cell r="O16">
            <v>218.22008632869836</v>
          </cell>
          <cell r="P16">
            <v>0.1078996087742695</v>
          </cell>
          <cell r="Q16">
            <v>292.89665332869833</v>
          </cell>
          <cell r="R16">
            <v>0.11873119845069458</v>
          </cell>
          <cell r="S16">
            <v>122.63584420000001</v>
          </cell>
          <cell r="T16">
            <v>0.16482024522597455</v>
          </cell>
        </row>
        <row r="17">
          <cell r="B17" t="str">
            <v>Supermarket</v>
          </cell>
          <cell r="C17">
            <v>39.444968890646628</v>
          </cell>
          <cell r="D17">
            <v>2.2895442759246026E-2</v>
          </cell>
          <cell r="E17">
            <v>6.5560353076108635</v>
          </cell>
          <cell r="F17">
            <v>2.1882209431392876E-2</v>
          </cell>
          <cell r="G17">
            <v>7.7755945123131065</v>
          </cell>
          <cell r="H17">
            <v>1.7494774275338444E-2</v>
          </cell>
          <cell r="I17">
            <v>2.1261594000455211</v>
          </cell>
          <cell r="J17">
            <v>7.8185843268405338E-3</v>
          </cell>
          <cell r="K17">
            <v>5.5712742628747005</v>
          </cell>
          <cell r="L17">
            <v>5.550399373723129E-3</v>
          </cell>
          <cell r="M17">
            <v>65.429751400000001</v>
          </cell>
          <cell r="N17">
            <v>1.9535504789016944E-2</v>
          </cell>
          <cell r="O17">
            <v>46.00100419825749</v>
          </cell>
          <cell r="P17">
            <v>2.2745341364860224E-2</v>
          </cell>
          <cell r="Q17">
            <v>53.776598710570596</v>
          </cell>
          <cell r="R17">
            <v>2.1799361450343065E-2</v>
          </cell>
          <cell r="S17">
            <v>14.33162981992397</v>
          </cell>
          <cell r="T17">
            <v>1.9261438259074323E-2</v>
          </cell>
          <cell r="V17" t="str">
            <v>Supermarket</v>
          </cell>
          <cell r="W17">
            <v>65429751.399999999</v>
          </cell>
          <cell r="X17">
            <v>1.9535504789016941E-2</v>
          </cell>
        </row>
        <row r="18">
          <cell r="B18" t="str">
            <v>MiniMart</v>
          </cell>
          <cell r="C18">
            <v>9.861242222661657</v>
          </cell>
          <cell r="D18">
            <v>5.7238606898115064E-3</v>
          </cell>
          <cell r="E18">
            <v>2.6529426023891371</v>
          </cell>
          <cell r="F18">
            <v>8.8547792852108377E-3</v>
          </cell>
          <cell r="G18">
            <v>3.1464452176868947</v>
          </cell>
          <cell r="H18">
            <v>7.0793749295930053E-3</v>
          </cell>
          <cell r="I18">
            <v>1.0569141353249265</v>
          </cell>
          <cell r="J18">
            <v>3.886619363106436E-3</v>
          </cell>
          <cell r="K18">
            <v>5.5136009102243984</v>
          </cell>
          <cell r="L18">
            <v>5.4929421161323709E-3</v>
          </cell>
          <cell r="M18">
            <v>11.691088099999998</v>
          </cell>
          <cell r="N18">
            <v>3.4906338887047794E-3</v>
          </cell>
          <cell r="O18">
            <v>12.514184825050794</v>
          </cell>
          <cell r="P18">
            <v>6.1876780889821544E-3</v>
          </cell>
          <cell r="Q18">
            <v>15.660630042737688</v>
          </cell>
          <cell r="R18">
            <v>6.34833260242312E-3</v>
          </cell>
          <cell r="S18">
            <v>5.7993878200760314</v>
          </cell>
          <cell r="T18">
            <v>7.79426707502097E-3</v>
          </cell>
          <cell r="V18" t="str">
            <v>MiniMart</v>
          </cell>
          <cell r="W18">
            <v>11691088.099999998</v>
          </cell>
          <cell r="X18">
            <v>3.4906338887047785E-3</v>
          </cell>
        </row>
        <row r="19">
          <cell r="B19" t="str">
            <v>Restaurant</v>
          </cell>
          <cell r="C19">
            <v>34.202617971384306</v>
          </cell>
          <cell r="D19">
            <v>1.9852571924980713E-2</v>
          </cell>
          <cell r="E19">
            <v>3.2246579999999998</v>
          </cell>
          <cell r="F19">
            <v>1.0763005137983428E-2</v>
          </cell>
          <cell r="G19">
            <v>3.8728280000000002</v>
          </cell>
          <cell r="H19">
            <v>8.7137069146182508E-3</v>
          </cell>
          <cell r="I19">
            <v>4.4727904066295521</v>
          </cell>
          <cell r="J19">
            <v>1.6447914944555799E-2</v>
          </cell>
          <cell r="K19">
            <v>12.653329220172839</v>
          </cell>
          <cell r="L19">
            <v>1.2605918729788336E-2</v>
          </cell>
          <cell r="M19">
            <v>53.036741800000001</v>
          </cell>
          <cell r="N19">
            <v>1.5835296654172451E-2</v>
          </cell>
          <cell r="O19">
            <v>37.427275971384304</v>
          </cell>
          <cell r="P19">
            <v>1.8506034447791763E-2</v>
          </cell>
          <cell r="Q19">
            <v>41.300103971384303</v>
          </cell>
          <cell r="R19">
            <v>1.674177831986955E-2</v>
          </cell>
          <cell r="S19">
            <v>7.097486</v>
          </cell>
          <cell r="T19">
            <v>9.5388863724062915E-3</v>
          </cell>
          <cell r="V19" t="str">
            <v>Restaurant</v>
          </cell>
          <cell r="W19">
            <v>53036741.800000004</v>
          </cell>
          <cell r="X19">
            <v>1.5835296654172448E-2</v>
          </cell>
        </row>
        <row r="20">
          <cell r="B20" t="str">
            <v>Lodging</v>
          </cell>
          <cell r="C20">
            <v>104.80752289890377</v>
          </cell>
          <cell r="D20">
            <v>6.0834491920190768E-2</v>
          </cell>
          <cell r="E20">
            <v>14.038995999999999</v>
          </cell>
          <cell r="F20">
            <v>4.6858236154075493E-2</v>
          </cell>
          <cell r="G20">
            <v>22.906410000000001</v>
          </cell>
          <cell r="H20">
            <v>5.1538499310085716E-2</v>
          </cell>
          <cell r="I20">
            <v>9.8435380000000006</v>
          </cell>
          <cell r="J20">
            <v>3.6197912501673889E-2</v>
          </cell>
          <cell r="K20">
            <v>49.956394059769231</v>
          </cell>
          <cell r="L20">
            <v>4.9769213508389983E-2</v>
          </cell>
          <cell r="M20">
            <v>171.0409248</v>
          </cell>
          <cell r="N20">
            <v>5.1068065124091046E-2</v>
          </cell>
          <cell r="O20">
            <v>118.84651889890377</v>
          </cell>
          <cell r="P20">
            <v>5.8764035470409912E-2</v>
          </cell>
          <cell r="Q20">
            <v>141.75292889890378</v>
          </cell>
          <cell r="R20">
            <v>5.7462230929539518E-2</v>
          </cell>
          <cell r="S20">
            <v>36.945405999999998</v>
          </cell>
          <cell r="T20">
            <v>4.9653923912835844E-2</v>
          </cell>
          <cell r="V20" t="str">
            <v>Lodging</v>
          </cell>
          <cell r="W20">
            <v>171040924.80000001</v>
          </cell>
          <cell r="X20">
            <v>5.1068065124091039E-2</v>
          </cell>
        </row>
        <row r="21">
          <cell r="B21" t="str">
            <v>Hospital</v>
          </cell>
          <cell r="C21">
            <v>38.122577697323266</v>
          </cell>
          <cell r="D21">
            <v>2.2127873846820151E-2</v>
          </cell>
          <cell r="E21">
            <v>7.1310139360000004</v>
          </cell>
          <cell r="F21">
            <v>2.3801327034432621E-2</v>
          </cell>
          <cell r="G21">
            <v>9.8604596719999993</v>
          </cell>
          <cell r="H21">
            <v>2.2185636858962184E-2</v>
          </cell>
          <cell r="I21">
            <v>7.7068158439999994</v>
          </cell>
          <cell r="J21">
            <v>2.8340485462404467E-2</v>
          </cell>
          <cell r="K21">
            <v>26.576579483888366</v>
          </cell>
          <cell r="L21">
            <v>2.647700026294586E-2</v>
          </cell>
          <cell r="M21">
            <v>103.75403529999998</v>
          </cell>
          <cell r="N21">
            <v>3.0978070527759683E-2</v>
          </cell>
          <cell r="O21">
            <v>45.253591633323268</v>
          </cell>
          <cell r="P21">
            <v>2.2375780868820909E-2</v>
          </cell>
          <cell r="Q21">
            <v>55.114051305323265</v>
          </cell>
          <cell r="R21">
            <v>2.2341523157010872E-2</v>
          </cell>
          <cell r="S21">
            <v>16.991473608</v>
          </cell>
          <cell r="T21">
            <v>2.2836217788446831E-2</v>
          </cell>
          <cell r="V21" t="str">
            <v>Hospital</v>
          </cell>
          <cell r="W21">
            <v>103754035.29999998</v>
          </cell>
          <cell r="X21">
            <v>3.0978070527759676E-2</v>
          </cell>
        </row>
        <row r="22">
          <cell r="B22" t="str">
            <v>Residential Care</v>
          </cell>
          <cell r="C22">
            <v>83.220501437886071</v>
          </cell>
          <cell r="D22">
            <v>4.8304518438058199E-2</v>
          </cell>
          <cell r="E22">
            <v>14.779390064000003</v>
          </cell>
          <cell r="F22">
            <v>4.9329464146304278E-2</v>
          </cell>
          <cell r="G22">
            <v>20.110348328000001</v>
          </cell>
          <cell r="H22">
            <v>4.5247473236889213E-2</v>
          </cell>
          <cell r="I22">
            <v>17.376025356</v>
          </cell>
          <cell r="J22">
            <v>6.3897335029676816E-2</v>
          </cell>
          <cell r="K22">
            <v>67.215639329268541</v>
          </cell>
          <cell r="L22">
            <v>6.6963790478530669E-2</v>
          </cell>
          <cell r="M22">
            <v>125.16063630000001</v>
          </cell>
          <cell r="N22">
            <v>3.7369486472404026E-2</v>
          </cell>
          <cell r="O22">
            <v>97.999891501886069</v>
          </cell>
          <cell r="P22">
            <v>4.8456354916141135E-2</v>
          </cell>
          <cell r="Q22">
            <v>118.11023982988607</v>
          </cell>
          <cell r="R22">
            <v>4.7878219723336488E-2</v>
          </cell>
          <cell r="S22">
            <v>34.889738392000005</v>
          </cell>
          <cell r="T22">
            <v>4.6891145693597626E-2</v>
          </cell>
          <cell r="V22" t="str">
            <v>Residential Care</v>
          </cell>
          <cell r="W22">
            <v>125160636.30000001</v>
          </cell>
          <cell r="X22">
            <v>3.7369486472404019E-2</v>
          </cell>
        </row>
        <row r="23">
          <cell r="B23" t="str">
            <v>Assembly</v>
          </cell>
          <cell r="C23">
            <v>121.12093749549824</v>
          </cell>
          <cell r="D23">
            <v>7.0303452363273886E-2</v>
          </cell>
          <cell r="E23">
            <v>18.999077640324</v>
          </cell>
          <cell r="F23">
            <v>6.3413599290142786E-2</v>
          </cell>
          <cell r="G23">
            <v>37.96334830112</v>
          </cell>
          <cell r="H23">
            <v>8.5416003652506733E-2</v>
          </cell>
          <cell r="I23">
            <v>21.858754000000001</v>
          </cell>
          <cell r="J23">
            <v>8.038179612732882E-2</v>
          </cell>
          <cell r="K23">
            <v>101.73028648155328</v>
          </cell>
          <cell r="L23">
            <v>0.10134911543280216</v>
          </cell>
          <cell r="M23">
            <v>368.87205360000002</v>
          </cell>
          <cell r="N23">
            <v>0.11013494038183547</v>
          </cell>
          <cell r="O23">
            <v>140.12001513582223</v>
          </cell>
          <cell r="P23">
            <v>6.9282782666609352E-2</v>
          </cell>
          <cell r="Q23">
            <v>178.08336343694222</v>
          </cell>
          <cell r="R23">
            <v>7.2189459745278128E-2</v>
          </cell>
          <cell r="S23">
            <v>56.962425941443996</v>
          </cell>
          <cell r="T23">
            <v>7.6556418505375382E-2</v>
          </cell>
          <cell r="V23" t="str">
            <v>Assembly</v>
          </cell>
          <cell r="W23">
            <v>368872053.60000002</v>
          </cell>
          <cell r="X23">
            <v>0.11013494038183544</v>
          </cell>
        </row>
        <row r="24">
          <cell r="B24" t="str">
            <v>Other</v>
          </cell>
          <cell r="C24">
            <v>235.11711396184955</v>
          </cell>
          <cell r="D24">
            <v>0.13647140752870815</v>
          </cell>
          <cell r="E24">
            <v>38.748420104276001</v>
          </cell>
          <cell r="F24">
            <v>0.1293313724032325</v>
          </cell>
          <cell r="G24">
            <v>76.933264310880006</v>
          </cell>
          <cell r="H24">
            <v>0.17309674408206832</v>
          </cell>
          <cell r="I24">
            <v>45.604604000000002</v>
          </cell>
          <cell r="J24">
            <v>0.1677030621779981</v>
          </cell>
          <cell r="K24">
            <v>85.543246891752517</v>
          </cell>
          <cell r="L24">
            <v>8.5222726717682065E-2</v>
          </cell>
          <cell r="M24">
            <v>333.43446839999996</v>
          </cell>
          <cell r="N24">
            <v>9.9554262623279946E-2</v>
          </cell>
          <cell r="O24">
            <v>273.86553406612558</v>
          </cell>
          <cell r="P24">
            <v>0.13541367561362375</v>
          </cell>
          <cell r="Q24">
            <v>350.7987983770056</v>
          </cell>
          <cell r="R24">
            <v>0.14220292814211019</v>
          </cell>
          <cell r="S24">
            <v>115.68168441515601</v>
          </cell>
          <cell r="T24">
            <v>0.15547398656436054</v>
          </cell>
          <cell r="V24" t="str">
            <v>Other</v>
          </cell>
          <cell r="W24">
            <v>333434468.39999998</v>
          </cell>
          <cell r="X24">
            <v>9.9554262623279918E-2</v>
          </cell>
        </row>
        <row r="25">
          <cell r="W25">
            <v>3349273648.5000005</v>
          </cell>
          <cell r="X25">
            <v>0.99999999999999989</v>
          </cell>
        </row>
        <row r="26">
          <cell r="C26">
            <v>1722.8305783567907</v>
          </cell>
          <cell r="D26">
            <v>0.99999999999999978</v>
          </cell>
          <cell r="E26">
            <v>299.6057289446</v>
          </cell>
          <cell r="F26">
            <v>1</v>
          </cell>
          <cell r="G26">
            <v>444.45240561200006</v>
          </cell>
          <cell r="H26">
            <v>0.99999999999999978</v>
          </cell>
          <cell r="I26">
            <v>271.93662064199998</v>
          </cell>
          <cell r="J26">
            <v>1</v>
          </cell>
          <cell r="K26">
            <v>1003.7609706520216</v>
          </cell>
          <cell r="L26">
            <v>0.99999999999999989</v>
          </cell>
          <cell r="M26">
            <v>3349.2736484999996</v>
          </cell>
          <cell r="N26">
            <v>1</v>
          </cell>
          <cell r="O26">
            <v>2022.4363073013908</v>
          </cell>
          <cell r="P26">
            <v>1</v>
          </cell>
          <cell r="Q26">
            <v>2466.8887129133909</v>
          </cell>
          <cell r="R26">
            <v>1</v>
          </cell>
          <cell r="S26">
            <v>744.05813455660018</v>
          </cell>
          <cell r="T26">
            <v>1</v>
          </cell>
        </row>
        <row r="29">
          <cell r="B29" t="str">
            <v>FloorA%PRE2002</v>
          </cell>
        </row>
        <row r="30">
          <cell r="B30" t="str">
            <v>BTYPE</v>
          </cell>
          <cell r="C30">
            <v>0</v>
          </cell>
          <cell r="D30" t="str">
            <v>PRE1987</v>
          </cell>
          <cell r="E30">
            <v>0</v>
          </cell>
          <cell r="F30" t="str">
            <v>V1987_1994</v>
          </cell>
          <cell r="G30">
            <v>0</v>
          </cell>
          <cell r="H30" t="str">
            <v>V1995_2001</v>
          </cell>
          <cell r="I30">
            <v>0</v>
          </cell>
          <cell r="J30" t="str">
            <v>V2002_2006</v>
          </cell>
          <cell r="K30">
            <v>0</v>
          </cell>
          <cell r="L30" t="str">
            <v>Post2013</v>
          </cell>
          <cell r="M30">
            <v>0</v>
          </cell>
          <cell r="N30" t="str">
            <v>_PRE2013</v>
          </cell>
          <cell r="O30">
            <v>0</v>
          </cell>
          <cell r="P30" t="str">
            <v>PRE1995</v>
          </cell>
          <cell r="Q30">
            <v>0</v>
          </cell>
          <cell r="R30" t="str">
            <v>PRE2002</v>
          </cell>
          <cell r="S30">
            <v>0</v>
          </cell>
          <cell r="T30" t="str">
            <v>V1987_2001</v>
          </cell>
        </row>
        <row r="31">
          <cell r="B31" t="str">
            <v>Large Off</v>
          </cell>
          <cell r="D31">
            <v>0.72517203989003609</v>
          </cell>
          <cell r="F31">
            <v>0.10331790304121433</v>
          </cell>
          <cell r="H31">
            <v>0.17151005706874964</v>
          </cell>
          <cell r="P31">
            <v>0.82848994293125033</v>
          </cell>
          <cell r="R31">
            <v>1</v>
          </cell>
          <cell r="T31">
            <v>0.27482796010996396</v>
          </cell>
        </row>
        <row r="32">
          <cell r="B32" t="str">
            <v>Medium Off</v>
          </cell>
          <cell r="D32">
            <v>0.67327274986190366</v>
          </cell>
          <cell r="F32">
            <v>0.12282874834563298</v>
          </cell>
          <cell r="H32">
            <v>0.20389850179246344</v>
          </cell>
          <cell r="P32">
            <v>0.79610149820753662</v>
          </cell>
          <cell r="R32">
            <v>1</v>
          </cell>
          <cell r="T32">
            <v>0.32672725013809645</v>
          </cell>
        </row>
        <row r="33">
          <cell r="B33" t="str">
            <v>Small Off</v>
          </cell>
          <cell r="D33">
            <v>0.71392868640620422</v>
          </cell>
          <cell r="F33">
            <v>0.10754469170069367</v>
          </cell>
          <cell r="H33">
            <v>0.17852662189310214</v>
          </cell>
          <cell r="P33">
            <v>0.82147337810689791</v>
          </cell>
          <cell r="R33">
            <v>1</v>
          </cell>
          <cell r="T33">
            <v>0.28607131359379578</v>
          </cell>
        </row>
        <row r="34">
          <cell r="B34" t="str">
            <v>Xlarge Ret</v>
          </cell>
          <cell r="D34">
            <v>0.64780779047689696</v>
          </cell>
          <cell r="F34">
            <v>0.16827922902393005</v>
          </cell>
          <cell r="H34">
            <v>0.1839129804991731</v>
          </cell>
          <cell r="P34">
            <v>0.81608701950082696</v>
          </cell>
          <cell r="R34">
            <v>1</v>
          </cell>
          <cell r="T34">
            <v>0.35219220952310321</v>
          </cell>
        </row>
        <row r="35">
          <cell r="B35" t="str">
            <v>Large Ret</v>
          </cell>
          <cell r="D35">
            <v>0.76115352366795819</v>
          </cell>
          <cell r="F35">
            <v>0.11412206120817615</v>
          </cell>
          <cell r="H35">
            <v>0.12472441512386574</v>
          </cell>
          <cell r="P35">
            <v>0.87527558487613433</v>
          </cell>
          <cell r="R35">
            <v>1</v>
          </cell>
          <cell r="T35">
            <v>0.2388464763320419</v>
          </cell>
        </row>
        <row r="36">
          <cell r="B36" t="str">
            <v>Medium Ret</v>
          </cell>
          <cell r="D36">
            <v>0.76115352366795819</v>
          </cell>
          <cell r="F36">
            <v>0.11412206120817615</v>
          </cell>
          <cell r="H36">
            <v>0.12472441512386574</v>
          </cell>
          <cell r="P36">
            <v>0.87527558487613433</v>
          </cell>
          <cell r="R36">
            <v>1</v>
          </cell>
          <cell r="T36">
            <v>0.2388464763320419</v>
          </cell>
        </row>
        <row r="37">
          <cell r="B37" t="str">
            <v>Small Ret</v>
          </cell>
          <cell r="D37">
            <v>0.7747084544781444</v>
          </cell>
          <cell r="F37">
            <v>0.10764544632421964</v>
          </cell>
          <cell r="H37">
            <v>0.11764609919763602</v>
          </cell>
          <cell r="P37">
            <v>0.88235390080236398</v>
          </cell>
          <cell r="R37">
            <v>1</v>
          </cell>
          <cell r="T37">
            <v>0.22529154552185568</v>
          </cell>
        </row>
        <row r="38">
          <cell r="B38" t="str">
            <v>School K-12</v>
          </cell>
          <cell r="D38">
            <v>0.72498360063778</v>
          </cell>
          <cell r="F38">
            <v>0.13126720023206725</v>
          </cell>
          <cell r="H38">
            <v>0.14374919913015283</v>
          </cell>
          <cell r="P38">
            <v>0.85625080086984728</v>
          </cell>
          <cell r="R38">
            <v>1</v>
          </cell>
          <cell r="T38">
            <v>0.27501639936222011</v>
          </cell>
        </row>
        <row r="39">
          <cell r="B39" t="str">
            <v>University</v>
          </cell>
          <cell r="D39">
            <v>0.72168555741942031</v>
          </cell>
          <cell r="F39">
            <v>0.13284137871932258</v>
          </cell>
          <cell r="H39">
            <v>0.14547306386125711</v>
          </cell>
          <cell r="P39">
            <v>0.85452693613874287</v>
          </cell>
          <cell r="R39">
            <v>1</v>
          </cell>
          <cell r="T39">
            <v>0.27831444258057969</v>
          </cell>
        </row>
        <row r="40">
          <cell r="B40" t="str">
            <v>Warehouse</v>
          </cell>
          <cell r="D40">
            <v>0.58129994724666945</v>
          </cell>
          <cell r="F40">
            <v>0.16374129459983455</v>
          </cell>
          <cell r="H40">
            <v>0.25495875815349617</v>
          </cell>
          <cell r="P40">
            <v>0.74504124184650389</v>
          </cell>
          <cell r="R40">
            <v>1</v>
          </cell>
          <cell r="T40">
            <v>0.41870005275333072</v>
          </cell>
        </row>
        <row r="41">
          <cell r="B41" t="str">
            <v>Supermarket</v>
          </cell>
          <cell r="D41">
            <v>0.73349690825450309</v>
          </cell>
          <cell r="F41">
            <v>0.12191242036142715</v>
          </cell>
          <cell r="H41">
            <v>0.14459067138406984</v>
          </cell>
          <cell r="P41">
            <v>0.85540932861593022</v>
          </cell>
          <cell r="R41">
            <v>1</v>
          </cell>
          <cell r="T41">
            <v>0.26650309174549697</v>
          </cell>
        </row>
        <row r="42">
          <cell r="B42" t="str">
            <v>MiniMart</v>
          </cell>
          <cell r="D42">
            <v>0.62968362037481473</v>
          </cell>
          <cell r="F42">
            <v>0.16940203524055455</v>
          </cell>
          <cell r="H42">
            <v>0.20091434438463077</v>
          </cell>
          <cell r="P42">
            <v>0.79908565561536926</v>
          </cell>
          <cell r="R42">
            <v>1</v>
          </cell>
          <cell r="T42">
            <v>0.37031637962518527</v>
          </cell>
        </row>
        <row r="43">
          <cell r="B43" t="str">
            <v>Restaurant</v>
          </cell>
          <cell r="D43">
            <v>0.82814847137146075</v>
          </cell>
          <cell r="F43">
            <v>7.8078689638027929E-2</v>
          </cell>
          <cell r="H43">
            <v>9.3772838990511392E-2</v>
          </cell>
          <cell r="P43">
            <v>0.90622716100948864</v>
          </cell>
          <cell r="R43">
            <v>1</v>
          </cell>
          <cell r="T43">
            <v>0.17185152862853931</v>
          </cell>
        </row>
        <row r="44">
          <cell r="B44" t="str">
            <v>Lodging</v>
          </cell>
          <cell r="D44">
            <v>0.73936760046525063</v>
          </cell>
          <cell r="F44">
            <v>9.9038489779723821E-2</v>
          </cell>
          <cell r="H44">
            <v>0.16159390975502549</v>
          </cell>
          <cell r="P44">
            <v>0.83840609024497448</v>
          </cell>
          <cell r="R44">
            <v>1</v>
          </cell>
          <cell r="T44">
            <v>0.26063239953474931</v>
          </cell>
        </row>
        <row r="45">
          <cell r="B45" t="str">
            <v>Hospital</v>
          </cell>
          <cell r="D45">
            <v>0.69170341853713713</v>
          </cell>
          <cell r="F45">
            <v>0.12938649522415424</v>
          </cell>
          <cell r="H45">
            <v>0.17891008623870866</v>
          </cell>
          <cell r="P45">
            <v>0.82108991376129137</v>
          </cell>
          <cell r="R45">
            <v>1</v>
          </cell>
          <cell r="T45">
            <v>0.30829658146286293</v>
          </cell>
        </row>
        <row r="46">
          <cell r="B46" t="str">
            <v>Residential Care</v>
          </cell>
          <cell r="D46">
            <v>0.7046002239750625</v>
          </cell>
          <cell r="F46">
            <v>0.12513216538453167</v>
          </cell>
          <cell r="H46">
            <v>0.17026761064040588</v>
          </cell>
          <cell r="P46">
            <v>0.82973238935959415</v>
          </cell>
          <cell r="R46">
            <v>1</v>
          </cell>
          <cell r="T46">
            <v>0.29539977602493755</v>
          </cell>
        </row>
        <row r="47">
          <cell r="B47" t="str">
            <v>Assembly</v>
          </cell>
          <cell r="D47">
            <v>0.68013617419341987</v>
          </cell>
          <cell r="F47">
            <v>0.10668642636599465</v>
          </cell>
          <cell r="H47">
            <v>0.21317739944058556</v>
          </cell>
          <cell r="P47">
            <v>0.78682260055941444</v>
          </cell>
          <cell r="R47">
            <v>1</v>
          </cell>
          <cell r="T47">
            <v>0.31986382580658018</v>
          </cell>
        </row>
        <row r="48">
          <cell r="B48" t="str">
            <v>Other</v>
          </cell>
          <cell r="D48">
            <v>0.67023352146482484</v>
          </cell>
          <cell r="F48">
            <v>0.11045767626214283</v>
          </cell>
          <cell r="H48">
            <v>0.21930880227303218</v>
          </cell>
          <cell r="P48">
            <v>0.78069119772696782</v>
          </cell>
          <cell r="R48">
            <v>1</v>
          </cell>
          <cell r="T48">
            <v>0.32976647853517504</v>
          </cell>
        </row>
        <row r="51">
          <cell r="B51" t="str">
            <v>FloorA%PRE2012</v>
          </cell>
        </row>
        <row r="52">
          <cell r="B52" t="str">
            <v>BTYPE</v>
          </cell>
          <cell r="C52">
            <v>0</v>
          </cell>
          <cell r="D52" t="str">
            <v>PRE1987</v>
          </cell>
          <cell r="E52">
            <v>0</v>
          </cell>
          <cell r="F52" t="str">
            <v>V1987_1994</v>
          </cell>
          <cell r="G52">
            <v>0</v>
          </cell>
          <cell r="H52" t="str">
            <v>V1995_2001</v>
          </cell>
          <cell r="I52">
            <v>0</v>
          </cell>
          <cell r="J52" t="str">
            <v>V2002_2006</v>
          </cell>
          <cell r="K52">
            <v>0</v>
          </cell>
          <cell r="L52" t="str">
            <v>Post2013</v>
          </cell>
          <cell r="M52">
            <v>0</v>
          </cell>
          <cell r="N52" t="str">
            <v>_PRE2013</v>
          </cell>
          <cell r="O52">
            <v>0</v>
          </cell>
          <cell r="P52" t="str">
            <v>PRE1995</v>
          </cell>
          <cell r="Q52">
            <v>0</v>
          </cell>
          <cell r="R52" t="str">
            <v>PRE2002</v>
          </cell>
          <cell r="S52">
            <v>0</v>
          </cell>
          <cell r="T52" t="str">
            <v>V1987_2001</v>
          </cell>
        </row>
        <row r="53">
          <cell r="B53" t="str">
            <v>Large Off</v>
          </cell>
          <cell r="D53">
            <v>0.54426842103907014</v>
          </cell>
          <cell r="F53">
            <v>7.754390525293349E-2</v>
          </cell>
          <cell r="H53">
            <v>0.12872463749055224</v>
          </cell>
          <cell r="J53">
            <v>6.5421532215852923E-2</v>
          </cell>
          <cell r="N53">
            <v>1</v>
          </cell>
          <cell r="P53">
            <v>0.62181232629200356</v>
          </cell>
          <cell r="R53">
            <v>0.75053696378255585</v>
          </cell>
          <cell r="T53">
            <v>0.20626854274348572</v>
          </cell>
        </row>
        <row r="54">
          <cell r="B54" t="str">
            <v>Medium Off</v>
          </cell>
          <cell r="D54">
            <v>0.19538697130794791</v>
          </cell>
          <cell r="F54">
            <v>3.5645490083657562E-2</v>
          </cell>
          <cell r="H54">
            <v>5.9172320174296529E-2</v>
          </cell>
          <cell r="J54">
            <v>3.0073060806666684E-2</v>
          </cell>
          <cell r="N54">
            <v>1</v>
          </cell>
          <cell r="P54">
            <v>0.23103246139160546</v>
          </cell>
          <cell r="R54">
            <v>0.29020478156590196</v>
          </cell>
          <cell r="T54">
            <v>9.4817810257954091E-2</v>
          </cell>
        </row>
        <row r="55">
          <cell r="B55" t="str">
            <v>Small Off</v>
          </cell>
          <cell r="D55">
            <v>0.91983847013459319</v>
          </cell>
          <cell r="F55">
            <v>0.13856250150561658</v>
          </cell>
          <cell r="H55">
            <v>0.23001688808315263</v>
          </cell>
          <cell r="J55">
            <v>0.11690114299235574</v>
          </cell>
          <cell r="N55">
            <v>1</v>
          </cell>
          <cell r="P55">
            <v>1.0584009716402099</v>
          </cell>
          <cell r="R55">
            <v>1.2884178597233624</v>
          </cell>
          <cell r="T55">
            <v>0.36857938958876918</v>
          </cell>
        </row>
        <row r="56">
          <cell r="B56" t="str">
            <v>Xlarge Ret</v>
          </cell>
          <cell r="D56">
            <v>0.37901677033625886</v>
          </cell>
          <cell r="F56">
            <v>9.8456132879124802E-2</v>
          </cell>
          <cell r="H56">
            <v>0.10760306516288785</v>
          </cell>
          <cell r="J56">
            <v>7.9202635073895064E-2</v>
          </cell>
          <cell r="N56">
            <v>1</v>
          </cell>
          <cell r="P56">
            <v>0.47747290321538366</v>
          </cell>
          <cell r="R56">
            <v>0.58507596837827147</v>
          </cell>
          <cell r="T56">
            <v>0.20605919804201267</v>
          </cell>
        </row>
        <row r="57">
          <cell r="B57" t="str">
            <v>Large Ret</v>
          </cell>
          <cell r="D57">
            <v>5.1493460050571427</v>
          </cell>
          <cell r="F57">
            <v>0.77205709715345661</v>
          </cell>
          <cell r="H57">
            <v>0.84378400517178498</v>
          </cell>
          <cell r="J57">
            <v>0.62107818714684748</v>
          </cell>
          <cell r="N57">
            <v>1</v>
          </cell>
          <cell r="P57">
            <v>5.9214031022105988</v>
          </cell>
          <cell r="R57">
            <v>6.7651871073823839</v>
          </cell>
          <cell r="T57">
            <v>1.6158411023252415</v>
          </cell>
        </row>
        <row r="58">
          <cell r="B58" t="str">
            <v>Medium Ret</v>
          </cell>
          <cell r="D58">
            <v>0.11732091314690456</v>
          </cell>
          <cell r="F58">
            <v>1.759028108630404E-2</v>
          </cell>
          <cell r="H58">
            <v>1.9224482077585248E-2</v>
          </cell>
          <cell r="J58">
            <v>1.4150429973074538E-2</v>
          </cell>
          <cell r="N58">
            <v>1</v>
          </cell>
          <cell r="P58">
            <v>0.13491119423320858</v>
          </cell>
          <cell r="R58">
            <v>0.15413567631079383</v>
          </cell>
          <cell r="T58">
            <v>3.6814763163889291E-2</v>
          </cell>
        </row>
        <row r="59">
          <cell r="B59" t="str">
            <v>Small Ret</v>
          </cell>
          <cell r="D59">
            <v>1.4287268869708685</v>
          </cell>
          <cell r="F59">
            <v>0.19852105980564183</v>
          </cell>
          <cell r="H59">
            <v>0.2169643871824383</v>
          </cell>
          <cell r="J59">
            <v>0.15969945796645138</v>
          </cell>
          <cell r="N59">
            <v>1</v>
          </cell>
          <cell r="P59">
            <v>1.6272479467765102</v>
          </cell>
          <cell r="R59">
            <v>1.8442123339589485</v>
          </cell>
          <cell r="T59">
            <v>0.41548544698808015</v>
          </cell>
        </row>
        <row r="60">
          <cell r="B60" t="str">
            <v>School K-12</v>
          </cell>
          <cell r="D60">
            <v>0.60320519116214588</v>
          </cell>
          <cell r="F60">
            <v>0.10921772097968414</v>
          </cell>
          <cell r="H60">
            <v>0.11960306835137893</v>
          </cell>
          <cell r="J60">
            <v>0.10763313395750651</v>
          </cell>
          <cell r="N60">
            <v>1</v>
          </cell>
          <cell r="P60">
            <v>0.71242291214182996</v>
          </cell>
          <cell r="R60">
            <v>0.83202598049320886</v>
          </cell>
          <cell r="T60">
            <v>0.22882078933106306</v>
          </cell>
        </row>
        <row r="61">
          <cell r="B61" t="str">
            <v>University</v>
          </cell>
          <cell r="D61">
            <v>0.6048543425709535</v>
          </cell>
          <cell r="F61">
            <v>0.11133614074086047</v>
          </cell>
          <cell r="H61">
            <v>0.12192292543336301</v>
          </cell>
          <cell r="J61">
            <v>9.5392495877299685E-2</v>
          </cell>
          <cell r="N61">
            <v>1</v>
          </cell>
          <cell r="P61">
            <v>0.7161904833118139</v>
          </cell>
          <cell r="R61">
            <v>0.83811340874517692</v>
          </cell>
          <cell r="T61">
            <v>0.23325906617422348</v>
          </cell>
        </row>
        <row r="62">
          <cell r="B62" t="str">
            <v>Warehouse</v>
          </cell>
          <cell r="D62">
            <v>0.38501028488422129</v>
          </cell>
          <cell r="F62">
            <v>0.10845017753707478</v>
          </cell>
          <cell r="H62">
            <v>0.16886590920117661</v>
          </cell>
          <cell r="J62">
            <v>8.4379810725280113E-2</v>
          </cell>
          <cell r="N62">
            <v>1</v>
          </cell>
          <cell r="P62">
            <v>0.49346046242129604</v>
          </cell>
          <cell r="R62">
            <v>0.66232637162247265</v>
          </cell>
          <cell r="T62">
            <v>0.27731608673825142</v>
          </cell>
        </row>
        <row r="63">
          <cell r="B63" t="str">
            <v>Supermarket</v>
          </cell>
          <cell r="D63">
            <v>0.6028598312945237</v>
          </cell>
          <cell r="F63">
            <v>0.1001996059488446</v>
          </cell>
          <cell r="H63">
            <v>0.11883882096353351</v>
          </cell>
          <cell r="J63">
            <v>3.2495299990479884E-2</v>
          </cell>
          <cell r="N63">
            <v>1</v>
          </cell>
          <cell r="P63">
            <v>0.70305943724336828</v>
          </cell>
          <cell r="R63">
            <v>0.82189825820690177</v>
          </cell>
          <cell r="T63">
            <v>0.21903842691237813</v>
          </cell>
        </row>
        <row r="64">
          <cell r="B64" t="str">
            <v>MiniMart</v>
          </cell>
          <cell r="D64">
            <v>0.8434836978656981</v>
          </cell>
          <cell r="F64">
            <v>0.22692007618941282</v>
          </cell>
          <cell r="H64">
            <v>0.26913193971114591</v>
          </cell>
          <cell r="J64">
            <v>9.040340182920413E-2</v>
          </cell>
          <cell r="N64">
            <v>1</v>
          </cell>
          <cell r="P64">
            <v>1.0704037740551109</v>
          </cell>
          <cell r="R64">
            <v>1.3395357137662567</v>
          </cell>
          <cell r="T64">
            <v>0.4960520159005587</v>
          </cell>
        </row>
        <row r="65">
          <cell r="B65" t="str">
            <v>Restaurant</v>
          </cell>
          <cell r="D65">
            <v>0.64488535325871588</v>
          </cell>
          <cell r="F65">
            <v>6.0800454374819832E-2</v>
          </cell>
          <cell r="H65">
            <v>7.3021604807556262E-2</v>
          </cell>
          <cell r="J65">
            <v>8.433380812675699E-2</v>
          </cell>
          <cell r="N65">
            <v>1</v>
          </cell>
          <cell r="P65">
            <v>0.70568580763353572</v>
          </cell>
          <cell r="R65">
            <v>0.77870741244109198</v>
          </cell>
          <cell r="T65">
            <v>0.13382205918237608</v>
          </cell>
        </row>
        <row r="66">
          <cell r="B66" t="str">
            <v>Lodging</v>
          </cell>
          <cell r="D66">
            <v>0.61276284036382722</v>
          </cell>
          <cell r="F66">
            <v>8.2079747969183103E-2</v>
          </cell>
          <cell r="H66">
            <v>0.13392356260225272</v>
          </cell>
          <cell r="J66">
            <v>5.7550776292341475E-2</v>
          </cell>
          <cell r="N66">
            <v>1</v>
          </cell>
          <cell r="P66">
            <v>0.69484258833301027</v>
          </cell>
          <cell r="R66">
            <v>0.82876615093526307</v>
          </cell>
          <cell r="T66">
            <v>0.21600331057143582</v>
          </cell>
        </row>
        <row r="67">
          <cell r="B67" t="str">
            <v>Hospital</v>
          </cell>
          <cell r="D67">
            <v>0.3674322409445917</v>
          </cell>
          <cell r="F67">
            <v>6.8729991227627962E-2</v>
          </cell>
          <cell r="H67">
            <v>9.5036878743934516E-2</v>
          </cell>
          <cell r="J67">
            <v>7.4279673284186956E-2</v>
          </cell>
          <cell r="N67">
            <v>1</v>
          </cell>
          <cell r="P67">
            <v>0.43616223217221967</v>
          </cell>
          <cell r="R67">
            <v>0.53119911091615413</v>
          </cell>
          <cell r="T67">
            <v>0.16376686997156248</v>
          </cell>
        </row>
        <row r="68">
          <cell r="B68" t="str">
            <v>Residential Care</v>
          </cell>
          <cell r="D68">
            <v>0.66490954263298252</v>
          </cell>
          <cell r="F68">
            <v>0.11808337270333934</v>
          </cell>
          <cell r="H68">
            <v>0.16067630304944366</v>
          </cell>
          <cell r="J68">
            <v>0.13882979401248058</v>
          </cell>
          <cell r="N68">
            <v>1</v>
          </cell>
          <cell r="P68">
            <v>0.78299291533632176</v>
          </cell>
          <cell r="R68">
            <v>0.94366921838576545</v>
          </cell>
          <cell r="T68">
            <v>0.27875967575278299</v>
          </cell>
        </row>
        <row r="69">
          <cell r="B69" t="str">
            <v>Assembly</v>
          </cell>
          <cell r="D69">
            <v>0.32835487620550452</v>
          </cell>
          <cell r="F69">
            <v>5.1505874340175277E-2</v>
          </cell>
          <cell r="H69">
            <v>0.10291738810413367</v>
          </cell>
          <cell r="J69">
            <v>5.9258362856903619E-2</v>
          </cell>
          <cell r="N69">
            <v>1</v>
          </cell>
          <cell r="P69">
            <v>0.3798607505456798</v>
          </cell>
          <cell r="R69">
            <v>0.48277813864981345</v>
          </cell>
          <cell r="T69">
            <v>0.15442326244430893</v>
          </cell>
        </row>
        <row r="70">
          <cell r="B70" t="str">
            <v>Other</v>
          </cell>
          <cell r="D70">
            <v>0.70513739953181631</v>
          </cell>
          <cell r="F70">
            <v>0.11621000159405237</v>
          </cell>
          <cell r="H70">
            <v>0.23072978831507035</v>
          </cell>
          <cell r="J70">
            <v>0.13677231456854388</v>
          </cell>
          <cell r="N70">
            <v>1</v>
          </cell>
          <cell r="P70">
            <v>0.82134740112586879</v>
          </cell>
          <cell r="R70">
            <v>1.0520771894409391</v>
          </cell>
          <cell r="T70">
            <v>0.34693978990912278</v>
          </cell>
        </row>
      </sheetData>
      <sheetData sheetId="13">
        <row r="11">
          <cell r="B11" t="str">
            <v>Floor Area of HEat Pump Space Heat as percent for Building Type</v>
          </cell>
          <cell r="C11">
            <v>6</v>
          </cell>
        </row>
        <row r="12">
          <cell r="B12" t="str">
            <v>Cooling Saturation as percent of Floor Area in Building Type</v>
          </cell>
          <cell r="C12">
            <v>7</v>
          </cell>
        </row>
        <row r="13">
          <cell r="B13" t="str">
            <v>Cooling Saturation as percent of Floor Area in Activity Type</v>
          </cell>
          <cell r="C13">
            <v>8</v>
          </cell>
        </row>
        <row r="14">
          <cell r="B14" t="str">
            <v>Package Roof Top Units as percentage of Building Type</v>
          </cell>
          <cell r="C14">
            <v>9</v>
          </cell>
        </row>
        <row r="15">
          <cell r="B15" t="str">
            <v>Package Roof Top Units as percentage of Activity Type</v>
          </cell>
          <cell r="C15">
            <v>10</v>
          </cell>
        </row>
        <row r="16">
          <cell r="B16" t="str">
            <v>Built-Up Systems as percentage of Building Type</v>
          </cell>
          <cell r="C16">
            <v>11</v>
          </cell>
        </row>
        <row r="17">
          <cell r="B17" t="str">
            <v>Built-Up Systems as percentage of Activity Type</v>
          </cell>
          <cell r="C17">
            <v>12</v>
          </cell>
        </row>
        <row r="18">
          <cell r="B18" t="str">
            <v>Multi-Zone VAV System as percentage of Building Type</v>
          </cell>
          <cell r="C18">
            <v>13</v>
          </cell>
        </row>
        <row r="19">
          <cell r="B19" t="str">
            <v>Multi-Zone VAV System as percentage of Activity Type</v>
          </cell>
          <cell r="C19">
            <v>14</v>
          </cell>
        </row>
        <row r="20">
          <cell r="B20" t="str">
            <v>Lighting savings yield for electric heat buildings with cooling weighted for cooling saturation</v>
          </cell>
          <cell r="C20">
            <v>15</v>
          </cell>
        </row>
        <row r="21">
          <cell r="B21" t="str">
            <v>Lighting savings yield for heat pump heat buildings with cooling  weighted for cooling saturation</v>
          </cell>
          <cell r="C21">
            <v>16</v>
          </cell>
        </row>
        <row r="22">
          <cell r="B22" t="str">
            <v>Lighting savings yield for gas or fossil heat buildings with cooling  weighted for cooling saturation</v>
          </cell>
          <cell r="C22">
            <v>17</v>
          </cell>
        </row>
        <row r="23">
          <cell r="B23" t="str">
            <v>Lighting savings yield for electric heat buildings with NO cooling</v>
          </cell>
          <cell r="C23">
            <v>18</v>
          </cell>
        </row>
        <row r="24">
          <cell r="B24" t="str">
            <v>Lighting savings yield for gas or fossil heat buildings with NO cooling</v>
          </cell>
          <cell r="C24">
            <v>19</v>
          </cell>
        </row>
        <row r="25">
          <cell r="B25" t="str">
            <v>Lighting savings yield IN THERMS for gas or fossil heat buildings with NO cooling</v>
          </cell>
          <cell r="C25">
            <v>20</v>
          </cell>
        </row>
        <row r="26">
          <cell r="B26" t="str">
            <v>Lighting savings yield IN THERMS for gas or fossil heat buildings with cooling</v>
          </cell>
          <cell r="C26">
            <v>21</v>
          </cell>
        </row>
        <row r="27">
          <cell r="B27" t="str">
            <v>Adjustment to LPD to reflect fraction of lights actually on during operating Hours (Effective on-hours LPD)</v>
          </cell>
          <cell r="C27">
            <v>22</v>
          </cell>
        </row>
        <row r="28">
          <cell r="B28" t="str">
            <v>Chiller system as percentage of Building Type</v>
          </cell>
          <cell r="C28">
            <v>23</v>
          </cell>
        </row>
        <row r="29">
          <cell r="B29" t="str">
            <v>Annaul hours of lighting system operation by Building Type</v>
          </cell>
          <cell r="C29">
            <v>24</v>
          </cell>
        </row>
        <row r="30">
          <cell r="B30" t="str">
            <v>Floor area not thermally conditioned by Building Type</v>
          </cell>
          <cell r="C30">
            <v>25</v>
          </cell>
        </row>
        <row r="31">
          <cell r="B31" t="str">
            <v>Fraction of package roof-top units with economizers</v>
          </cell>
          <cell r="C31">
            <v>26</v>
          </cell>
        </row>
        <row r="32">
          <cell r="B32" t="str">
            <v xml:space="preserve">Floor Area for Vintage Cohort of PRE2002 Stock </v>
          </cell>
          <cell r="C32">
            <v>27</v>
          </cell>
        </row>
        <row r="33">
          <cell r="B33" t="str">
            <v xml:space="preserve">Floor Area for Vintage Cohort of PRE2006 Stock </v>
          </cell>
          <cell r="C33">
            <v>28</v>
          </cell>
        </row>
        <row r="34">
          <cell r="B34" t="str">
            <v>Floor Area of Electric Space Heat for Complex HVAC Systems as percent for Building Type</v>
          </cell>
          <cell r="C34">
            <v>29</v>
          </cell>
        </row>
        <row r="35">
          <cell r="B35" t="str">
            <v>Floor Area of Fossil Fuel Space Heat  for Complex HVAC Systems as percent for Building Type, includes gas, oil, steam, propane</v>
          </cell>
          <cell r="C35">
            <v>30</v>
          </cell>
        </row>
        <row r="36">
          <cell r="B36" t="str">
            <v>Floor Area of Heat Pump Space Heat for Complex HVAC Systems as percent for Building Type</v>
          </cell>
          <cell r="C36">
            <v>31</v>
          </cell>
        </row>
        <row r="37">
          <cell r="B37" t="str">
            <v>Floor Area of Electric Space Heat for Simple HVAC Systems as percent for Building Type</v>
          </cell>
          <cell r="C37">
            <v>32</v>
          </cell>
        </row>
        <row r="38">
          <cell r="B38" t="str">
            <v>Floor Area of Fossil Fuel Space Heat  for Simple HVAC Systems as percent for Building Type, includes gas, oil, steam, propane</v>
          </cell>
          <cell r="C38">
            <v>33</v>
          </cell>
        </row>
        <row r="39">
          <cell r="B39" t="str">
            <v>Floor Area of Heat Pump Space Heat for Simple HVAC Systems as percent for Building Type</v>
          </cell>
          <cell r="C39">
            <v>34</v>
          </cell>
        </row>
        <row r="40">
          <cell r="B40" t="str">
            <v>Fraction of Chiller-Served Cooling Capacity that is served by Air-Cooled Chiller for HVAC system</v>
          </cell>
          <cell r="C40">
            <v>35</v>
          </cell>
        </row>
        <row r="41">
          <cell r="B41" t="str">
            <v>Fraction of Chiller-Served Cooling Capacity that is served by Water-Cooled Chiller for HVAC system</v>
          </cell>
          <cell r="C41">
            <v>36</v>
          </cell>
        </row>
        <row r="42">
          <cell r="B42" t="str">
            <v>Ratio of window area to floor area by Btype</v>
          </cell>
          <cell r="C42">
            <v>37</v>
          </cell>
        </row>
      </sheetData>
      <sheetData sheetId="14">
        <row r="11">
          <cell r="B11" t="str">
            <v>School</v>
          </cell>
          <cell r="C11" t="str">
            <v>School K-12</v>
          </cell>
          <cell r="D11" t="str">
            <v>School K-12</v>
          </cell>
          <cell r="E11" t="str">
            <v>Any</v>
          </cell>
          <cell r="F11" t="str">
            <v>K-12</v>
          </cell>
          <cell r="G11" t="str">
            <v>Any</v>
          </cell>
          <cell r="H11" t="str">
            <v>Any</v>
          </cell>
        </row>
        <row r="12">
          <cell r="B12" t="str">
            <v>School</v>
          </cell>
          <cell r="C12" t="str">
            <v>University</v>
          </cell>
          <cell r="D12" t="str">
            <v>University</v>
          </cell>
          <cell r="E12" t="str">
            <v>Any</v>
          </cell>
          <cell r="F12" t="str">
            <v>University</v>
          </cell>
          <cell r="G12" t="str">
            <v>Any</v>
          </cell>
          <cell r="H12" t="str">
            <v>Any</v>
          </cell>
        </row>
        <row r="13">
          <cell r="B13" t="str">
            <v>Warehouse</v>
          </cell>
          <cell r="C13" t="str">
            <v>Warehouse</v>
          </cell>
          <cell r="D13" t="str">
            <v>Warehouse</v>
          </cell>
          <cell r="E13" t="str">
            <v>Any</v>
          </cell>
          <cell r="F13" t="str">
            <v>Warehouse</v>
          </cell>
          <cell r="G13" t="str">
            <v>Any</v>
          </cell>
          <cell r="H13" t="str">
            <v>Any</v>
          </cell>
        </row>
        <row r="14">
          <cell r="B14" t="str">
            <v>Retail Food Sales</v>
          </cell>
          <cell r="C14" t="str">
            <v>Supermarket</v>
          </cell>
          <cell r="D14" t="str">
            <v>Supermarket</v>
          </cell>
          <cell r="E14" t="str">
            <v>&gt; 5000</v>
          </cell>
          <cell r="F14" t="str">
            <v>Supermarket</v>
          </cell>
          <cell r="G14" t="str">
            <v>&gt; 5000</v>
          </cell>
          <cell r="H14" t="str">
            <v>Any</v>
          </cell>
        </row>
        <row r="15">
          <cell r="B15" t="str">
            <v>Retail Food Sales</v>
          </cell>
          <cell r="C15" t="str">
            <v>MiniMart</v>
          </cell>
          <cell r="D15" t="str">
            <v>MiniMart</v>
          </cell>
          <cell r="E15" t="str">
            <v>&lt; 5000</v>
          </cell>
          <cell r="F15" t="str">
            <v>MiniMart</v>
          </cell>
          <cell r="G15" t="str">
            <v>&lt; 5000</v>
          </cell>
          <cell r="H15" t="str">
            <v>Any</v>
          </cell>
        </row>
        <row r="16">
          <cell r="B16" t="str">
            <v>Restaurant</v>
          </cell>
          <cell r="C16" t="str">
            <v>Restaurant</v>
          </cell>
          <cell r="D16" t="str">
            <v>Restaurant</v>
          </cell>
          <cell r="E16" t="str">
            <v>Any</v>
          </cell>
          <cell r="F16" t="str">
            <v>Restaurant</v>
          </cell>
          <cell r="G16" t="str">
            <v>Any</v>
          </cell>
          <cell r="H16" t="str">
            <v>Any</v>
          </cell>
        </row>
        <row r="17">
          <cell r="B17" t="str">
            <v>Lodging</v>
          </cell>
          <cell r="C17" t="str">
            <v>Lodging</v>
          </cell>
          <cell r="D17" t="str">
            <v>Lodging</v>
          </cell>
          <cell r="E17" t="str">
            <v>Any</v>
          </cell>
          <cell r="F17" t="str">
            <v>Lodging</v>
          </cell>
          <cell r="G17" t="str">
            <v>Any</v>
          </cell>
          <cell r="H17" t="str">
            <v>Any</v>
          </cell>
        </row>
        <row r="18">
          <cell r="B18" t="str">
            <v>Health Care</v>
          </cell>
          <cell r="C18" t="str">
            <v>Hospital</v>
          </cell>
          <cell r="D18" t="str">
            <v>Hospital</v>
          </cell>
          <cell r="E18" t="str">
            <v>Any</v>
          </cell>
          <cell r="F18" t="str">
            <v>Hospital</v>
          </cell>
          <cell r="G18" t="str">
            <v>Any</v>
          </cell>
          <cell r="H18" t="str">
            <v>Any</v>
          </cell>
        </row>
        <row r="19">
          <cell r="B19" t="str">
            <v>Health Care</v>
          </cell>
          <cell r="C19" t="str">
            <v>Residential Care</v>
          </cell>
          <cell r="D19" t="str">
            <v>Residential Care</v>
          </cell>
          <cell r="E19" t="str">
            <v>Any</v>
          </cell>
          <cell r="F19" t="str">
            <v>OtherHealth</v>
          </cell>
          <cell r="G19" t="str">
            <v>Any</v>
          </cell>
          <cell r="H19" t="str">
            <v>Any</v>
          </cell>
        </row>
        <row r="20">
          <cell r="B20" t="str">
            <v>Assembly</v>
          </cell>
          <cell r="C20" t="str">
            <v>Assembly</v>
          </cell>
          <cell r="D20" t="str">
            <v>Assembly</v>
          </cell>
          <cell r="E20" t="str">
            <v>Any</v>
          </cell>
          <cell r="F20" t="str">
            <v>Assembly</v>
          </cell>
          <cell r="G20" t="str">
            <v>Any</v>
          </cell>
          <cell r="H20" t="str">
            <v>Any</v>
          </cell>
        </row>
        <row r="21">
          <cell r="B21" t="str">
            <v>Other</v>
          </cell>
          <cell r="C21" t="str">
            <v>Other</v>
          </cell>
          <cell r="D21" t="str">
            <v>Other</v>
          </cell>
          <cell r="E21" t="str">
            <v>Any</v>
          </cell>
          <cell r="F21" t="str">
            <v>Other</v>
          </cell>
          <cell r="G21" t="str">
            <v>Any</v>
          </cell>
          <cell r="H21" t="str">
            <v>Any</v>
          </cell>
        </row>
        <row r="24">
          <cell r="B24" t="str">
            <v>Bldg_Type</v>
          </cell>
          <cell r="C24" t="str">
            <v>Office</v>
          </cell>
          <cell r="E24" t="str">
            <v>CBSA Data</v>
          </cell>
        </row>
        <row r="25">
          <cell r="B25" t="str">
            <v>HeatSys_Primary_PrimFuel</v>
          </cell>
          <cell r="C25" t="str">
            <v>(All)</v>
          </cell>
        </row>
        <row r="27">
          <cell r="C27" t="str">
            <v>Values</v>
          </cell>
        </row>
        <row r="28">
          <cell r="B28" t="str">
            <v>Row Labels</v>
          </cell>
          <cell r="C28" t="str">
            <v>Count of Bldg_Name</v>
          </cell>
          <cell r="D28" t="str">
            <v>Sum of Sf_PNW (New Data)</v>
          </cell>
          <cell r="E28" t="str">
            <v>Sum of Chiller_Qty</v>
          </cell>
          <cell r="F28" t="str">
            <v>Average of LPD_Ind</v>
          </cell>
          <cell r="G28" t="str">
            <v>WT Average of LPD_Ind</v>
          </cell>
          <cell r="I28" t="str">
            <v>WT Average of Annual Hrs_Light</v>
          </cell>
          <cell r="K28" t="str">
            <v>Average of HeatSys_ Electricity_Pct</v>
          </cell>
          <cell r="L28" t="str">
            <v>WT Average of HeatSys_ Electricity_Pct</v>
          </cell>
          <cell r="M28" t="str">
            <v>Average of Hrs_Occupied</v>
          </cell>
          <cell r="N28" t="str">
            <v>New EUIs</v>
          </cell>
        </row>
        <row r="29">
          <cell r="B29" t="str">
            <v>&lt;5,001</v>
          </cell>
          <cell r="C29">
            <v>32</v>
          </cell>
          <cell r="D29">
            <v>95458311.526895136</v>
          </cell>
          <cell r="E29">
            <v>0</v>
          </cell>
          <cell r="F29">
            <v>1.44600515748125</v>
          </cell>
          <cell r="G29">
            <v>1.4196043411312098</v>
          </cell>
          <cell r="I29">
            <v>2605.1531889816397</v>
          </cell>
          <cell r="J29">
            <v>2605.1531889816397</v>
          </cell>
          <cell r="K29">
            <v>55.871005424767731</v>
          </cell>
          <cell r="L29">
            <v>62.641582479308482</v>
          </cell>
          <cell r="M29">
            <v>51.078125</v>
          </cell>
          <cell r="N29">
            <v>15.414112631735692</v>
          </cell>
        </row>
        <row r="30">
          <cell r="B30" t="str">
            <v>5,001-20,000</v>
          </cell>
          <cell r="C30">
            <v>21</v>
          </cell>
          <cell r="D30">
            <v>179770297.47310495</v>
          </cell>
          <cell r="E30">
            <v>1</v>
          </cell>
          <cell r="F30">
            <v>1.1349086639428572</v>
          </cell>
          <cell r="G30">
            <v>1.1352814227841366</v>
          </cell>
          <cell r="H30">
            <v>1.1271197868627141</v>
          </cell>
          <cell r="I30">
            <v>2621.0311132130655</v>
          </cell>
          <cell r="J30">
            <v>2810.5319958026707</v>
          </cell>
          <cell r="K30">
            <v>54.065498637753784</v>
          </cell>
          <cell r="L30">
            <v>52.128877602508318</v>
          </cell>
          <cell r="M30">
            <v>53.38095238095238</v>
          </cell>
          <cell r="N30">
            <v>12.555992472807018</v>
          </cell>
        </row>
        <row r="31">
          <cell r="B31" t="str">
            <v>20,001-50,000</v>
          </cell>
          <cell r="C31">
            <v>29</v>
          </cell>
          <cell r="D31">
            <v>136471707.75979474</v>
          </cell>
          <cell r="E31">
            <v>4</v>
          </cell>
          <cell r="F31">
            <v>1.152219445848276</v>
          </cell>
          <cell r="G31">
            <v>1.1212096367127184</v>
          </cell>
          <cell r="I31">
            <v>3060.1561163897027</v>
          </cell>
          <cell r="K31">
            <v>37.18170782263401</v>
          </cell>
          <cell r="L31">
            <v>34.735507973306092</v>
          </cell>
          <cell r="M31">
            <v>59.137931034482762</v>
          </cell>
          <cell r="N31">
            <v>16.763935531313802</v>
          </cell>
        </row>
        <row r="32">
          <cell r="B32" t="str">
            <v>50,001-100,000</v>
          </cell>
          <cell r="C32">
            <v>10</v>
          </cell>
          <cell r="D32">
            <v>121007363.24020527</v>
          </cell>
          <cell r="E32">
            <v>13</v>
          </cell>
          <cell r="F32">
            <v>0.82888965290000005</v>
          </cell>
          <cell r="G32">
            <v>0.8372967994754239</v>
          </cell>
          <cell r="H32">
            <v>0.86082195143942553</v>
          </cell>
          <cell r="I32">
            <v>3222.7884337083865</v>
          </cell>
          <cell r="J32">
            <v>3295.5283728075524</v>
          </cell>
          <cell r="K32">
            <v>33.806146572104019</v>
          </cell>
          <cell r="L32">
            <v>24.223397014792155</v>
          </cell>
          <cell r="M32">
            <v>61.1</v>
          </cell>
          <cell r="N32">
            <v>22.992427101465715</v>
          </cell>
        </row>
        <row r="33">
          <cell r="B33" t="str">
            <v>100,001+</v>
          </cell>
          <cell r="C33">
            <v>24</v>
          </cell>
          <cell r="D33">
            <v>201650445.99999997</v>
          </cell>
          <cell r="E33">
            <v>35</v>
          </cell>
          <cell r="F33">
            <v>0.88098196757083302</v>
          </cell>
          <cell r="G33">
            <v>0.87062409809109287</v>
          </cell>
          <cell r="I33">
            <v>3339.1785030564247</v>
          </cell>
          <cell r="K33">
            <v>49.790143766954543</v>
          </cell>
          <cell r="L33">
            <v>55.115989937160393</v>
          </cell>
          <cell r="M33">
            <v>61.958333333333336</v>
          </cell>
          <cell r="N33">
            <v>14.574986322602543</v>
          </cell>
        </row>
        <row r="34">
          <cell r="B34" t="str">
            <v>Grand Total</v>
          </cell>
          <cell r="C34">
            <v>116</v>
          </cell>
          <cell r="D34">
            <v>734358126.00000024</v>
          </cell>
          <cell r="E34">
            <v>53</v>
          </cell>
          <cell r="F34">
            <v>1.1461385746767239</v>
          </cell>
          <cell r="G34">
            <v>1.0478499451391019</v>
          </cell>
          <cell r="I34">
            <v>2996.9298166001049</v>
          </cell>
          <cell r="K34">
            <v>47.761973122568946</v>
          </cell>
          <cell r="L34">
            <v>46.485045602193175</v>
          </cell>
          <cell r="M34">
            <v>56.625</v>
          </cell>
        </row>
        <row r="37">
          <cell r="B37" t="str">
            <v>Bldg_Type</v>
          </cell>
          <cell r="C37" t="str">
            <v>Retail/Service</v>
          </cell>
        </row>
        <row r="38">
          <cell r="B38" t="str">
            <v>HeatSys_Primary_PrimFuel</v>
          </cell>
          <cell r="C38" t="str">
            <v>(All)</v>
          </cell>
        </row>
        <row r="40">
          <cell r="C40" t="str">
            <v>Values</v>
          </cell>
        </row>
        <row r="41">
          <cell r="B41" t="str">
            <v>Row Labels</v>
          </cell>
          <cell r="C41" t="str">
            <v>Count of Bldg_Name</v>
          </cell>
          <cell r="D41" t="str">
            <v>Sum of Sf_PNW (New Data)</v>
          </cell>
          <cell r="E41" t="str">
            <v>Sum of Chiller_Qty</v>
          </cell>
          <cell r="F41" t="str">
            <v>Average of LPD_Ind</v>
          </cell>
          <cell r="G41" t="str">
            <v>WT Average of LPD_Ind</v>
          </cell>
          <cell r="I41" t="str">
            <v>WT Average of Annual Hrs_Light</v>
          </cell>
          <cell r="K41" t="str">
            <v>Average of HeatSys_Electricity_Pct</v>
          </cell>
          <cell r="L41" t="str">
            <v>WT Average of HeatSys_ Electricity_Pct</v>
          </cell>
          <cell r="M41" t="str">
            <v>Average of Hrs_Occupied</v>
          </cell>
          <cell r="N41" t="str">
            <v>New EUIs</v>
          </cell>
        </row>
        <row r="42">
          <cell r="B42" t="str">
            <v>&lt;5,001</v>
          </cell>
          <cell r="C42">
            <v>30</v>
          </cell>
          <cell r="D42">
            <v>59224380.554442525</v>
          </cell>
          <cell r="E42">
            <v>0</v>
          </cell>
          <cell r="F42">
            <v>1.5272819154399999</v>
          </cell>
          <cell r="G42">
            <v>1.4369897064659012</v>
          </cell>
          <cell r="I42">
            <v>2762.118796566951</v>
          </cell>
          <cell r="K42">
            <v>43.785677771108105</v>
          </cell>
          <cell r="L42">
            <v>33.051637833495548</v>
          </cell>
          <cell r="M42">
            <v>55.1</v>
          </cell>
          <cell r="N42">
            <v>12.875436812066214</v>
          </cell>
        </row>
        <row r="43">
          <cell r="B43" t="str">
            <v>5,001-20,000</v>
          </cell>
          <cell r="C43">
            <v>25</v>
          </cell>
          <cell r="D43">
            <v>186496889.44555736</v>
          </cell>
          <cell r="E43">
            <v>0</v>
          </cell>
          <cell r="F43">
            <v>1.2664125675400002</v>
          </cell>
          <cell r="G43">
            <v>1.2388327171274434</v>
          </cell>
          <cell r="I43">
            <v>3795.0044826849821</v>
          </cell>
          <cell r="K43">
            <v>37.407750162009684</v>
          </cell>
          <cell r="L43">
            <v>23.158266244637343</v>
          </cell>
          <cell r="M43">
            <v>76.34</v>
          </cell>
          <cell r="N43">
            <v>12.333063850163656</v>
          </cell>
        </row>
        <row r="44">
          <cell r="B44" t="str">
            <v>20,001-50,000</v>
          </cell>
          <cell r="C44">
            <v>34</v>
          </cell>
          <cell r="D44">
            <v>159704133.08919233</v>
          </cell>
          <cell r="E44">
            <v>0</v>
          </cell>
          <cell r="F44">
            <v>1.0958497064352939</v>
          </cell>
          <cell r="G44">
            <v>1.0864505514680138</v>
          </cell>
          <cell r="H44">
            <v>1.0777987100431961</v>
          </cell>
          <cell r="I44">
            <v>3667.5345811967941</v>
          </cell>
          <cell r="J44">
            <v>3692.2254794077244</v>
          </cell>
          <cell r="K44">
            <v>13.037434423723496</v>
          </cell>
          <cell r="L44">
            <v>11.646288604900541</v>
          </cell>
          <cell r="M44">
            <v>72.32352941176471</v>
          </cell>
          <cell r="N44">
            <v>10.175630709696762</v>
          </cell>
        </row>
        <row r="45">
          <cell r="B45" t="str">
            <v>50,001-100,000</v>
          </cell>
          <cell r="C45">
            <v>4</v>
          </cell>
          <cell r="D45">
            <v>31550759.910807587</v>
          </cell>
          <cell r="E45">
            <v>0</v>
          </cell>
          <cell r="F45">
            <v>0.98225486277500007</v>
          </cell>
          <cell r="G45">
            <v>1.004258057932244</v>
          </cell>
          <cell r="I45">
            <v>3817.2062565781425</v>
          </cell>
          <cell r="K45">
            <v>1.8510750088321051</v>
          </cell>
          <cell r="L45">
            <v>1.570370412390194</v>
          </cell>
          <cell r="M45">
            <v>77.25</v>
          </cell>
          <cell r="N45">
            <v>10.151096637221519</v>
          </cell>
        </row>
        <row r="46">
          <cell r="B46" t="str">
            <v>100,001+</v>
          </cell>
          <cell r="C46">
            <v>34</v>
          </cell>
          <cell r="D46">
            <v>133953325</v>
          </cell>
          <cell r="E46">
            <v>6</v>
          </cell>
          <cell r="F46">
            <v>1.1930721681228571</v>
          </cell>
          <cell r="G46">
            <v>1.1904887164069691</v>
          </cell>
          <cell r="I46">
            <v>6230.7045853104373</v>
          </cell>
          <cell r="K46">
            <v>12.375882269927777</v>
          </cell>
          <cell r="L46">
            <v>8.4570799844658442</v>
          </cell>
          <cell r="M46">
            <v>128.59285714285716</v>
          </cell>
          <cell r="N46">
            <v>17.009833900111737</v>
          </cell>
        </row>
        <row r="47">
          <cell r="B47" t="str">
            <v>Grand Total</v>
          </cell>
          <cell r="C47">
            <v>127</v>
          </cell>
          <cell r="D47">
            <v>570929487.99999988</v>
          </cell>
          <cell r="E47">
            <v>6</v>
          </cell>
          <cell r="F47">
            <v>1.2533141172335944</v>
          </cell>
          <cell r="G47">
            <v>1.1924571389360319</v>
          </cell>
          <cell r="I47">
            <v>4224.9019225439506</v>
          </cell>
          <cell r="K47">
            <v>24.047433324688789</v>
          </cell>
          <cell r="L47">
            <v>16.322099981443166</v>
          </cell>
          <cell r="M47">
            <v>84.611328125</v>
          </cell>
        </row>
        <row r="56">
          <cell r="B56" t="str">
            <v>Map to building occupancy codes for various sources</v>
          </cell>
        </row>
        <row r="58">
          <cell r="B58" t="str">
            <v>Ecotope Building Type</v>
          </cell>
          <cell r="C58" t="str">
            <v>NPPC BUILDTYPE</v>
          </cell>
          <cell r="E58" t="str">
            <v>NPPC to Ecotope</v>
          </cell>
          <cell r="F58" t="str">
            <v>NPPC Ten</v>
          </cell>
          <cell r="H58" t="str">
            <v>VCohort</v>
          </cell>
          <cell r="N58" t="str">
            <v>Characteristics</v>
          </cell>
        </row>
        <row r="59">
          <cell r="B59" t="str">
            <v>Assembly</v>
          </cell>
          <cell r="C59" t="str">
            <v>Large Off</v>
          </cell>
          <cell r="E59" t="str">
            <v>Office - Large</v>
          </cell>
          <cell r="F59" t="str">
            <v>Large Off</v>
          </cell>
          <cell r="H59" t="str">
            <v>New</v>
          </cell>
          <cell r="I59" t="str">
            <v>Apples to new floor area in year</v>
          </cell>
          <cell r="L59" t="str">
            <v>Primary Activity</v>
          </cell>
          <cell r="M59" t="str">
            <v>Council Building Type</v>
          </cell>
          <cell r="N59" t="str">
            <v>Gross Floor Area in Square Feet</v>
          </cell>
          <cell r="O59" t="str">
            <v>Number of Stories</v>
          </cell>
          <cell r="P59" t="str">
            <v>Other</v>
          </cell>
        </row>
        <row r="60">
          <cell r="B60" t="str">
            <v>College</v>
          </cell>
          <cell r="C60" t="str">
            <v>Medium Off</v>
          </cell>
          <cell r="E60" t="str">
            <v>Office - Large</v>
          </cell>
          <cell r="F60" t="str">
            <v>Medium Off</v>
          </cell>
          <cell r="H60" t="str">
            <v>Retrofit</v>
          </cell>
          <cell r="I60" t="str">
            <v>Applies to existing floor area in year taking account of demolition, NR, and baseline measure penetration.</v>
          </cell>
          <cell r="L60" t="str">
            <v>Office</v>
          </cell>
          <cell r="M60" t="str">
            <v>Large Office</v>
          </cell>
          <cell r="N60" t="str">
            <v>&gt; 100,000</v>
          </cell>
          <cell r="O60" t="str">
            <v>Any</v>
          </cell>
        </row>
        <row r="61">
          <cell r="B61" t="str">
            <v>Grocery</v>
          </cell>
          <cell r="C61" t="str">
            <v>Small Off</v>
          </cell>
          <cell r="E61" t="str">
            <v>Office - Small</v>
          </cell>
          <cell r="F61" t="str">
            <v>Small Off</v>
          </cell>
          <cell r="H61" t="str">
            <v>NR</v>
          </cell>
          <cell r="I61" t="str">
            <v>Applies at natural replacement of system or component. Replace on Burn Out</v>
          </cell>
          <cell r="L61" t="str">
            <v>Office</v>
          </cell>
          <cell r="M61" t="str">
            <v>Medium Office</v>
          </cell>
          <cell r="N61" t="str">
            <v>20,000 to 100,000</v>
          </cell>
          <cell r="O61" t="str">
            <v>Any</v>
          </cell>
        </row>
        <row r="62">
          <cell r="B62" t="str">
            <v>Hospital</v>
          </cell>
          <cell r="C62" t="str">
            <v>Big Box</v>
          </cell>
          <cell r="E62" t="str">
            <v>Retail - Large</v>
          </cell>
          <cell r="F62" t="str">
            <v>Big Box</v>
          </cell>
          <cell r="L62" t="str">
            <v>Office</v>
          </cell>
          <cell r="M62" t="str">
            <v>Small Office</v>
          </cell>
          <cell r="N62" t="str">
            <v>&lt; 20,000</v>
          </cell>
          <cell r="O62" t="str">
            <v>Any</v>
          </cell>
        </row>
        <row r="63">
          <cell r="B63" t="str">
            <v>Hotel</v>
          </cell>
          <cell r="C63" t="str">
            <v>Small Box</v>
          </cell>
          <cell r="E63" t="str">
            <v>Retail - Small</v>
          </cell>
          <cell r="F63" t="str">
            <v>Small Box</v>
          </cell>
          <cell r="L63" t="str">
            <v>Retail</v>
          </cell>
          <cell r="M63" t="str">
            <v>Big Box</v>
          </cell>
          <cell r="N63" t="str">
            <v>&gt; 50,000</v>
          </cell>
          <cell r="O63">
            <v>1</v>
          </cell>
          <cell r="P63" t="str">
            <v>Includes some Grocery</v>
          </cell>
        </row>
        <row r="64">
          <cell r="B64" t="str">
            <v>Lab</v>
          </cell>
          <cell r="C64" t="str">
            <v>High End</v>
          </cell>
          <cell r="E64" t="str">
            <v>Retail - Small</v>
          </cell>
          <cell r="F64" t="str">
            <v>High End</v>
          </cell>
          <cell r="L64" t="str">
            <v>Retail</v>
          </cell>
          <cell r="M64" t="str">
            <v>Small Box</v>
          </cell>
          <cell r="N64" t="str">
            <v>&lt;50,000</v>
          </cell>
          <cell r="O64">
            <v>1</v>
          </cell>
        </row>
        <row r="65">
          <cell r="B65" t="str">
            <v>Laundry</v>
          </cell>
          <cell r="C65" t="str">
            <v>Anchor</v>
          </cell>
          <cell r="E65" t="str">
            <v>Retail - Large</v>
          </cell>
          <cell r="F65" t="str">
            <v>Anchor</v>
          </cell>
          <cell r="L65" t="str">
            <v>Retail</v>
          </cell>
          <cell r="M65" t="str">
            <v>High End</v>
          </cell>
          <cell r="N65" t="str">
            <v>&lt; 20,000</v>
          </cell>
          <cell r="O65">
            <v>1</v>
          </cell>
          <cell r="P65" t="str">
            <v>High lighting density</v>
          </cell>
        </row>
        <row r="66">
          <cell r="B66" t="str">
            <v>Motel</v>
          </cell>
          <cell r="C66" t="str">
            <v>K-12</v>
          </cell>
          <cell r="E66" t="str">
            <v>School - Primary</v>
          </cell>
          <cell r="F66" t="str">
            <v>K-13</v>
          </cell>
          <cell r="L66" t="str">
            <v>Retail</v>
          </cell>
          <cell r="M66" t="str">
            <v>Anchor</v>
          </cell>
          <cell r="N66" t="str">
            <v>&gt; 50,000</v>
          </cell>
          <cell r="O66" t="str">
            <v>&gt;1</v>
          </cell>
        </row>
        <row r="67">
          <cell r="B67" t="str">
            <v>Office - Large</v>
          </cell>
          <cell r="C67" t="str">
            <v>University</v>
          </cell>
          <cell r="E67" t="str">
            <v>College</v>
          </cell>
          <cell r="F67" t="str">
            <v>University</v>
          </cell>
          <cell r="L67" t="str">
            <v>School</v>
          </cell>
          <cell r="M67" t="str">
            <v>K-12</v>
          </cell>
          <cell r="N67" t="str">
            <v>Any</v>
          </cell>
          <cell r="O67" t="str">
            <v>Any</v>
          </cell>
        </row>
        <row r="68">
          <cell r="B68" t="str">
            <v>Office - Small</v>
          </cell>
          <cell r="C68" t="str">
            <v>Warehouse</v>
          </cell>
          <cell r="E68" t="str">
            <v>Warehouse</v>
          </cell>
          <cell r="F68" t="str">
            <v>Warehouse</v>
          </cell>
          <cell r="L68" t="str">
            <v>School</v>
          </cell>
          <cell r="M68" t="str">
            <v>University</v>
          </cell>
          <cell r="N68" t="str">
            <v>Any</v>
          </cell>
          <cell r="O68" t="str">
            <v>Any</v>
          </cell>
        </row>
        <row r="69">
          <cell r="B69" t="str">
            <v>Rest-Fast Food</v>
          </cell>
          <cell r="C69" t="str">
            <v>Supermarket</v>
          </cell>
          <cell r="E69" t="str">
            <v>Grocery</v>
          </cell>
          <cell r="F69" t="str">
            <v>Supermarket</v>
          </cell>
          <cell r="L69" t="str">
            <v>Warehouse</v>
          </cell>
          <cell r="M69" t="str">
            <v>Warehouse</v>
          </cell>
          <cell r="N69" t="str">
            <v>Any</v>
          </cell>
          <cell r="O69" t="str">
            <v>Any</v>
          </cell>
        </row>
        <row r="70">
          <cell r="B70" t="str">
            <v>Rest-Full Serve</v>
          </cell>
          <cell r="C70" t="str">
            <v>MIniMart</v>
          </cell>
          <cell r="E70" t="str">
            <v>Grocery</v>
          </cell>
          <cell r="F70" t="str">
            <v>MIniMart</v>
          </cell>
          <cell r="L70" t="str">
            <v>Retail Food Sales</v>
          </cell>
          <cell r="M70" t="str">
            <v>Supermarket</v>
          </cell>
          <cell r="N70" t="str">
            <v>&gt; 5000</v>
          </cell>
          <cell r="O70" t="str">
            <v>Any</v>
          </cell>
        </row>
        <row r="71">
          <cell r="B71" t="str">
            <v>Retail - Large</v>
          </cell>
          <cell r="C71" t="str">
            <v>Restaurant</v>
          </cell>
          <cell r="E71" t="str">
            <v>Rest-Fast Food</v>
          </cell>
          <cell r="F71" t="str">
            <v>Restaurant</v>
          </cell>
          <cell r="L71" t="str">
            <v>Retail Food Sales</v>
          </cell>
          <cell r="M71" t="str">
            <v>MiniMart</v>
          </cell>
          <cell r="N71" t="str">
            <v>&lt; 5000</v>
          </cell>
          <cell r="O71" t="str">
            <v>Any</v>
          </cell>
        </row>
        <row r="72">
          <cell r="B72" t="str">
            <v>Retail - Small</v>
          </cell>
          <cell r="C72" t="str">
            <v>Lodging</v>
          </cell>
          <cell r="E72" t="str">
            <v>Motel</v>
          </cell>
          <cell r="F72" t="str">
            <v>Lodging</v>
          </cell>
          <cell r="L72" t="str">
            <v>Restaurant</v>
          </cell>
          <cell r="M72" t="str">
            <v>Restaurant</v>
          </cell>
          <cell r="N72" t="str">
            <v>Any</v>
          </cell>
          <cell r="O72" t="str">
            <v>Any</v>
          </cell>
        </row>
        <row r="73">
          <cell r="B73" t="str">
            <v>Retirement</v>
          </cell>
          <cell r="C73" t="str">
            <v>Hospital</v>
          </cell>
          <cell r="E73" t="str">
            <v>Hospital</v>
          </cell>
          <cell r="F73" t="str">
            <v>Hospital</v>
          </cell>
          <cell r="L73" t="str">
            <v>Lodging</v>
          </cell>
          <cell r="M73" t="str">
            <v>Lodging</v>
          </cell>
          <cell r="N73" t="str">
            <v>Any</v>
          </cell>
          <cell r="O73" t="str">
            <v>Any</v>
          </cell>
        </row>
        <row r="74">
          <cell r="B74" t="str">
            <v>School - Primary</v>
          </cell>
          <cell r="C74" t="str">
            <v>OtherHealth</v>
          </cell>
          <cell r="E74" t="str">
            <v>Skilled Nursing</v>
          </cell>
          <cell r="F74" t="str">
            <v>OtherHealth</v>
          </cell>
          <cell r="L74" t="str">
            <v>Health Care</v>
          </cell>
          <cell r="M74" t="str">
            <v>Hospital</v>
          </cell>
          <cell r="N74" t="str">
            <v>Any</v>
          </cell>
          <cell r="O74" t="str">
            <v>Any</v>
          </cell>
        </row>
        <row r="75">
          <cell r="B75" t="str">
            <v>School - Secondary</v>
          </cell>
          <cell r="C75" t="str">
            <v>Assembly</v>
          </cell>
          <cell r="E75" t="str">
            <v>Assembly</v>
          </cell>
          <cell r="L75" t="str">
            <v>Health Care</v>
          </cell>
          <cell r="M75" t="str">
            <v>OtherHealth</v>
          </cell>
          <cell r="N75" t="str">
            <v>Any</v>
          </cell>
          <cell r="O75" t="str">
            <v>Any</v>
          </cell>
        </row>
        <row r="76">
          <cell r="B76" t="str">
            <v>Workshop</v>
          </cell>
          <cell r="C76" t="str">
            <v>Other</v>
          </cell>
          <cell r="E76" t="str">
            <v>Other</v>
          </cell>
          <cell r="F76" t="str">
            <v>Other</v>
          </cell>
          <cell r="L76" t="str">
            <v>Other</v>
          </cell>
          <cell r="M76" t="str">
            <v>Other</v>
          </cell>
          <cell r="N76" t="str">
            <v>Any</v>
          </cell>
          <cell r="O76" t="str">
            <v>Any</v>
          </cell>
        </row>
        <row r="77">
          <cell r="B77" t="str">
            <v>Skilled Nursing</v>
          </cell>
        </row>
        <row r="78">
          <cell r="B78" t="str">
            <v>Warehouse</v>
          </cell>
        </row>
        <row r="79">
          <cell r="B79" t="str">
            <v>Other</v>
          </cell>
        </row>
        <row r="81">
          <cell r="E81" t="str">
            <v>Characteristics</v>
          </cell>
        </row>
        <row r="82">
          <cell r="C82" t="str">
            <v>NPPC BUILDTYPE</v>
          </cell>
          <cell r="E82" t="str">
            <v>Primary Activity</v>
          </cell>
          <cell r="F82" t="str">
            <v>Gross Floor Area</v>
          </cell>
          <cell r="G82" t="str">
            <v>Number of Stories</v>
          </cell>
          <cell r="H82" t="str">
            <v>Other</v>
          </cell>
          <cell r="I82" t="str">
            <v>Note</v>
          </cell>
        </row>
        <row r="83">
          <cell r="C83" t="str">
            <v>Large Off</v>
          </cell>
          <cell r="E83" t="str">
            <v>Office</v>
          </cell>
          <cell r="F83" t="str">
            <v>&gt; 100,000</v>
          </cell>
          <cell r="G83" t="str">
            <v>Any</v>
          </cell>
        </row>
        <row r="84">
          <cell r="C84" t="str">
            <v>Medium Off</v>
          </cell>
          <cell r="E84" t="str">
            <v>Office</v>
          </cell>
          <cell r="F84" t="str">
            <v>20,000 to 100,000</v>
          </cell>
          <cell r="G84" t="str">
            <v>Any</v>
          </cell>
        </row>
        <row r="85">
          <cell r="C85" t="str">
            <v>Small Off</v>
          </cell>
          <cell r="E85" t="str">
            <v>Office</v>
          </cell>
          <cell r="F85" t="str">
            <v>&lt; 20,000</v>
          </cell>
          <cell r="G85" t="str">
            <v>Any</v>
          </cell>
        </row>
        <row r="86">
          <cell r="C86" t="str">
            <v>Big Box</v>
          </cell>
          <cell r="E86" t="str">
            <v>Retail</v>
          </cell>
          <cell r="F86" t="str">
            <v>&gt; 50,000</v>
          </cell>
          <cell r="G86">
            <v>1</v>
          </cell>
          <cell r="I86" t="str">
            <v>Includes some stores that have groceries inside</v>
          </cell>
        </row>
        <row r="87">
          <cell r="C87" t="str">
            <v>Small Box</v>
          </cell>
          <cell r="E87" t="str">
            <v>Retail</v>
          </cell>
          <cell r="F87" t="str">
            <v>&lt;50,000</v>
          </cell>
          <cell r="G87">
            <v>1</v>
          </cell>
        </row>
        <row r="88">
          <cell r="C88" t="str">
            <v>High End</v>
          </cell>
          <cell r="E88" t="str">
            <v>Retail</v>
          </cell>
          <cell r="F88" t="str">
            <v>&lt; 20,000</v>
          </cell>
          <cell r="G88">
            <v>1</v>
          </cell>
          <cell r="H88" t="str">
            <v>and LPD &gt; 2.0 w/sf</v>
          </cell>
        </row>
        <row r="89">
          <cell r="C89" t="str">
            <v>Anchor</v>
          </cell>
          <cell r="E89" t="str">
            <v>Retail</v>
          </cell>
          <cell r="F89" t="str">
            <v>&gt; 50,000</v>
          </cell>
          <cell r="G89" t="str">
            <v>&gt;1</v>
          </cell>
        </row>
        <row r="90">
          <cell r="C90" t="str">
            <v>K-12</v>
          </cell>
          <cell r="E90" t="str">
            <v>School</v>
          </cell>
          <cell r="F90" t="str">
            <v>Any</v>
          </cell>
          <cell r="G90" t="str">
            <v>Any</v>
          </cell>
        </row>
        <row r="91">
          <cell r="C91" t="str">
            <v>University</v>
          </cell>
          <cell r="E91" t="str">
            <v>School</v>
          </cell>
          <cell r="F91" t="str">
            <v>Any</v>
          </cell>
          <cell r="G91" t="str">
            <v>Any</v>
          </cell>
        </row>
        <row r="92">
          <cell r="C92" t="str">
            <v>Warehouse</v>
          </cell>
          <cell r="E92" t="str">
            <v>Warehouse</v>
          </cell>
          <cell r="F92" t="str">
            <v>Any</v>
          </cell>
          <cell r="G92" t="str">
            <v>Any</v>
          </cell>
        </row>
        <row r="93">
          <cell r="C93" t="str">
            <v>Supermarket</v>
          </cell>
          <cell r="E93" t="str">
            <v>Retail Food</v>
          </cell>
          <cell r="F93" t="str">
            <v>&gt; 5000</v>
          </cell>
          <cell r="G93" t="str">
            <v>Any</v>
          </cell>
        </row>
        <row r="94">
          <cell r="C94" t="str">
            <v>MIniMart</v>
          </cell>
          <cell r="E94" t="str">
            <v>Retail Food</v>
          </cell>
          <cell r="F94" t="str">
            <v>&lt;= 5000</v>
          </cell>
          <cell r="G94" t="str">
            <v>Any</v>
          </cell>
        </row>
        <row r="95">
          <cell r="C95" t="str">
            <v>Restaurant</v>
          </cell>
          <cell r="E95" t="str">
            <v>Retail Food</v>
          </cell>
          <cell r="F95" t="str">
            <v>Any</v>
          </cell>
          <cell r="G95" t="str">
            <v>Any</v>
          </cell>
        </row>
        <row r="96">
          <cell r="C96" t="str">
            <v>Lodging</v>
          </cell>
          <cell r="E96" t="str">
            <v>Lodging</v>
          </cell>
          <cell r="F96" t="str">
            <v>Any</v>
          </cell>
          <cell r="G96" t="str">
            <v>Any</v>
          </cell>
        </row>
        <row r="97">
          <cell r="C97" t="str">
            <v>Hospital</v>
          </cell>
          <cell r="E97" t="str">
            <v>Health Care</v>
          </cell>
          <cell r="F97" t="str">
            <v>Any</v>
          </cell>
          <cell r="G97" t="str">
            <v>Any</v>
          </cell>
        </row>
        <row r="98">
          <cell r="C98" t="str">
            <v>OtherHealth</v>
          </cell>
          <cell r="E98" t="str">
            <v>Health Care</v>
          </cell>
          <cell r="F98" t="str">
            <v>Any</v>
          </cell>
          <cell r="G98" t="str">
            <v>Any</v>
          </cell>
        </row>
        <row r="99">
          <cell r="C99" t="str">
            <v>Other</v>
          </cell>
          <cell r="E99" t="str">
            <v>Other</v>
          </cell>
          <cell r="F99" t="str">
            <v>Any</v>
          </cell>
          <cell r="G99" t="str">
            <v>Any</v>
          </cell>
        </row>
      </sheetData>
      <sheetData sheetId="15">
        <row r="4">
          <cell r="C4" t="str">
            <v>PRE2002</v>
          </cell>
          <cell r="D4" t="str">
            <v>Com_Master_7P.xlsm!_PRE2002</v>
          </cell>
        </row>
        <row r="5">
          <cell r="C5" t="str">
            <v>PRE1987</v>
          </cell>
          <cell r="D5" t="str">
            <v>Com_Master_7P.xlsm!PRE1987</v>
          </cell>
        </row>
        <row r="6">
          <cell r="C6" t="str">
            <v>POST2002</v>
          </cell>
          <cell r="D6" t="str">
            <v>Com_Master_7P.xlsm!POST2002</v>
          </cell>
        </row>
        <row r="7">
          <cell r="C7" t="str">
            <v>V1987_2001</v>
          </cell>
          <cell r="D7" t="str">
            <v>Com_Master_7P.xlsm!V1987_2001</v>
          </cell>
        </row>
        <row r="8">
          <cell r="C8" t="str">
            <v>V1987_1994</v>
          </cell>
          <cell r="D8" t="str">
            <v>Com_Master_7P.xlsm!V1987_1994</v>
          </cell>
        </row>
        <row r="9">
          <cell r="C9" t="str">
            <v>V1995_2001</v>
          </cell>
          <cell r="D9" t="str">
            <v>Com_Master_7P.xlsm!V1995_2001</v>
          </cell>
        </row>
        <row r="10">
          <cell r="C10" t="str">
            <v>V2002_2006</v>
          </cell>
          <cell r="D10" t="str">
            <v>Com_Master_7P.xlsm!V2002_2006</v>
          </cell>
        </row>
        <row r="11">
          <cell r="C11" t="str">
            <v>POST2013</v>
          </cell>
          <cell r="D11" t="str">
            <v>Com_Master_7P.xlsm!POST2013</v>
          </cell>
        </row>
        <row r="12">
          <cell r="C12" t="str">
            <v>_PRE2013</v>
          </cell>
          <cell r="D12" t="str">
            <v>Com_Master_7P.xlsm!_PRE2013</v>
          </cell>
        </row>
      </sheetData>
      <sheetData sheetId="16">
        <row r="11">
          <cell r="B11" t="e">
            <v>#REF!</v>
          </cell>
          <cell r="C11" t="e">
            <v>#REF!</v>
          </cell>
          <cell r="D11" t="e">
            <v>#REF!</v>
          </cell>
          <cell r="E11" t="e">
            <v>#REF!</v>
          </cell>
          <cell r="F11" t="e">
            <v>#REF!</v>
          </cell>
          <cell r="G11" t="e">
            <v>#REF!</v>
          </cell>
          <cell r="H11" t="e">
            <v>#REF!</v>
          </cell>
          <cell r="I11" t="e">
            <v>#REF!</v>
          </cell>
          <cell r="J11" t="e">
            <v>#REF!</v>
          </cell>
          <cell r="K11" t="e">
            <v>#REF!</v>
          </cell>
          <cell r="L11" t="e">
            <v>#REF!</v>
          </cell>
          <cell r="M11" t="e">
            <v>#REF!</v>
          </cell>
          <cell r="N11" t="e">
            <v>#REF!</v>
          </cell>
          <cell r="O11" t="e">
            <v>#REF!</v>
          </cell>
          <cell r="P11" t="e">
            <v>#REF!</v>
          </cell>
          <cell r="Q11" t="e">
            <v>#REF!</v>
          </cell>
          <cell r="R11" t="e">
            <v>#REF!</v>
          </cell>
          <cell r="S11" t="e">
            <v>#REF!</v>
          </cell>
          <cell r="T11" t="e">
            <v>#REF!</v>
          </cell>
          <cell r="U11" t="e">
            <v>#REF!</v>
          </cell>
        </row>
        <row r="12">
          <cell r="B12" t="e">
            <v>#REF!</v>
          </cell>
          <cell r="C12" t="e">
            <v>#REF!</v>
          </cell>
          <cell r="D12" t="e">
            <v>#REF!</v>
          </cell>
          <cell r="E12" t="e">
            <v>#REF!</v>
          </cell>
          <cell r="F12" t="e">
            <v>#REF!</v>
          </cell>
          <cell r="G12" t="e">
            <v>#REF!</v>
          </cell>
          <cell r="H12" t="e">
            <v>#REF!</v>
          </cell>
          <cell r="I12" t="e">
            <v>#REF!</v>
          </cell>
          <cell r="J12" t="e">
            <v>#REF!</v>
          </cell>
          <cell r="K12" t="e">
            <v>#REF!</v>
          </cell>
          <cell r="L12" t="e">
            <v>#REF!</v>
          </cell>
          <cell r="M12" t="e">
            <v>#REF!</v>
          </cell>
          <cell r="N12" t="e">
            <v>#REF!</v>
          </cell>
          <cell r="O12" t="e">
            <v>#REF!</v>
          </cell>
          <cell r="P12" t="e">
            <v>#REF!</v>
          </cell>
          <cell r="Q12" t="e">
            <v>#REF!</v>
          </cell>
          <cell r="R12" t="e">
            <v>#REF!</v>
          </cell>
          <cell r="S12" t="e">
            <v>#REF!</v>
          </cell>
          <cell r="T12" t="e">
            <v>#REF!</v>
          </cell>
          <cell r="U12" t="e">
            <v>#REF!</v>
          </cell>
        </row>
        <row r="13">
          <cell r="B13" t="e">
            <v>#REF!</v>
          </cell>
          <cell r="C13" t="e">
            <v>#REF!</v>
          </cell>
          <cell r="F13" t="e">
            <v>#REF!</v>
          </cell>
          <cell r="J13" t="e">
            <v>#REF!</v>
          </cell>
          <cell r="L13" t="e">
            <v>#REF!</v>
          </cell>
          <cell r="M13" t="e">
            <v>#REF!</v>
          </cell>
          <cell r="O13" t="e">
            <v>#REF!</v>
          </cell>
          <cell r="P13" t="e">
            <v>#REF!</v>
          </cell>
          <cell r="Q13" t="e">
            <v>#REF!</v>
          </cell>
          <cell r="S13" t="e">
            <v>#REF!</v>
          </cell>
          <cell r="T13" t="e">
            <v>#REF!</v>
          </cell>
          <cell r="U13" t="e">
            <v>#REF!</v>
          </cell>
        </row>
        <row r="14">
          <cell r="B14" t="e">
            <v>#REF!</v>
          </cell>
          <cell r="C14" t="e">
            <v>#REF!</v>
          </cell>
          <cell r="D14" t="e">
            <v>#REF!</v>
          </cell>
          <cell r="E14" t="e">
            <v>#REF!</v>
          </cell>
          <cell r="F14" t="e">
            <v>#REF!</v>
          </cell>
          <cell r="G14" t="e">
            <v>#REF!</v>
          </cell>
          <cell r="H14" t="e">
            <v>#REF!</v>
          </cell>
          <cell r="I14" t="e">
            <v>#REF!</v>
          </cell>
          <cell r="J14" t="e">
            <v>#REF!</v>
          </cell>
          <cell r="K14" t="e">
            <v>#REF!</v>
          </cell>
          <cell r="L14" t="e">
            <v>#REF!</v>
          </cell>
          <cell r="M14" t="e">
            <v>#REF!</v>
          </cell>
          <cell r="N14" t="e">
            <v>#REF!</v>
          </cell>
          <cell r="O14" t="e">
            <v>#REF!</v>
          </cell>
          <cell r="P14" t="e">
            <v>#REF!</v>
          </cell>
          <cell r="Q14" t="e">
            <v>#REF!</v>
          </cell>
          <cell r="R14" t="e">
            <v>#REF!</v>
          </cell>
          <cell r="S14" t="e">
            <v>#REF!</v>
          </cell>
          <cell r="T14" t="e">
            <v>#REF!</v>
          </cell>
          <cell r="U14" t="e">
            <v>#REF!</v>
          </cell>
        </row>
        <row r="15">
          <cell r="B15" t="e">
            <v>#REF!</v>
          </cell>
          <cell r="C15" t="e">
            <v>#REF!</v>
          </cell>
          <cell r="F15" t="e">
            <v>#REF!</v>
          </cell>
          <cell r="J15" t="e">
            <v>#REF!</v>
          </cell>
          <cell r="L15" t="e">
            <v>#REF!</v>
          </cell>
          <cell r="M15" t="e">
            <v>#REF!</v>
          </cell>
          <cell r="O15" t="e">
            <v>#REF!</v>
          </cell>
          <cell r="P15" t="e">
            <v>#REF!</v>
          </cell>
          <cell r="Q15" t="e">
            <v>#REF!</v>
          </cell>
          <cell r="S15" t="e">
            <v>#REF!</v>
          </cell>
          <cell r="T15" t="e">
            <v>#REF!</v>
          </cell>
          <cell r="U15" t="e">
            <v>#REF!</v>
          </cell>
        </row>
        <row r="17">
          <cell r="C17" t="e">
            <v>#REF!</v>
          </cell>
          <cell r="D17" t="e">
            <v>#REF!</v>
          </cell>
          <cell r="E17" t="e">
            <v>#REF!</v>
          </cell>
          <cell r="F17" t="e">
            <v>#REF!</v>
          </cell>
          <cell r="G17" t="e">
            <v>#REF!</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row>
        <row r="18">
          <cell r="B18" t="str">
            <v>E_EUITYP</v>
          </cell>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O18" t="e">
            <v>#REF!</v>
          </cell>
          <cell r="P18" t="e">
            <v>#REF!</v>
          </cell>
          <cell r="Q18" t="e">
            <v>#REF!</v>
          </cell>
          <cell r="R18" t="e">
            <v>#REF!</v>
          </cell>
          <cell r="S18" t="e">
            <v>#REF!</v>
          </cell>
          <cell r="T18" t="e">
            <v>#REF!</v>
          </cell>
        </row>
        <row r="19">
          <cell r="B19" t="str">
            <v>E_EUIREG</v>
          </cell>
          <cell r="C19" t="e">
            <v>#REF!</v>
          </cell>
          <cell r="F19" t="e">
            <v>#REF!</v>
          </cell>
          <cell r="J19" t="e">
            <v>#REF!</v>
          </cell>
          <cell r="L19" t="e">
            <v>#REF!</v>
          </cell>
          <cell r="M19" t="e">
            <v>#REF!</v>
          </cell>
          <cell r="O19" t="e">
            <v>#REF!</v>
          </cell>
          <cell r="P19" t="e">
            <v>#REF!</v>
          </cell>
          <cell r="Q19" t="e">
            <v>#REF!</v>
          </cell>
          <cell r="S19" t="e">
            <v>#REF!</v>
          </cell>
          <cell r="T19" t="e">
            <v>#REF!</v>
          </cell>
        </row>
        <row r="21">
          <cell r="B21" t="str">
            <v>ElecHtEUITYPHeat</v>
          </cell>
          <cell r="C21">
            <v>2</v>
          </cell>
          <cell r="D21">
            <v>2</v>
          </cell>
          <cell r="E21">
            <v>2</v>
          </cell>
          <cell r="F21">
            <v>2</v>
          </cell>
          <cell r="G21">
            <v>2.2000000000000002</v>
          </cell>
          <cell r="H21">
            <v>3</v>
          </cell>
          <cell r="I21">
            <v>3</v>
          </cell>
          <cell r="J21">
            <v>3</v>
          </cell>
          <cell r="K21">
            <v>4</v>
          </cell>
          <cell r="L21">
            <v>2</v>
          </cell>
          <cell r="M21">
            <v>5</v>
          </cell>
          <cell r="N21">
            <v>4</v>
          </cell>
          <cell r="O21">
            <v>4</v>
          </cell>
          <cell r="P21">
            <v>4</v>
          </cell>
          <cell r="Q21">
            <v>6</v>
          </cell>
          <cell r="R21">
            <v>5</v>
          </cell>
          <cell r="S21">
            <v>4</v>
          </cell>
          <cell r="T21">
            <v>4</v>
          </cell>
        </row>
        <row r="22">
          <cell r="B22" t="str">
            <v>GasHtEUITYPHeat</v>
          </cell>
          <cell r="C22">
            <v>0.1</v>
          </cell>
          <cell r="D22">
            <v>0.1</v>
          </cell>
          <cell r="E22">
            <v>0.1</v>
          </cell>
          <cell r="F22">
            <v>0.1</v>
          </cell>
          <cell r="G22">
            <v>0.1</v>
          </cell>
          <cell r="H22">
            <v>0.1</v>
          </cell>
          <cell r="I22">
            <v>0.1</v>
          </cell>
          <cell r="J22">
            <v>0.1</v>
          </cell>
          <cell r="K22">
            <v>0.1</v>
          </cell>
          <cell r="L22">
            <v>0.1</v>
          </cell>
          <cell r="M22">
            <v>0.1</v>
          </cell>
          <cell r="N22">
            <v>0.1</v>
          </cell>
          <cell r="O22">
            <v>0.1</v>
          </cell>
          <cell r="P22">
            <v>0.1</v>
          </cell>
          <cell r="Q22">
            <v>0.2</v>
          </cell>
          <cell r="R22">
            <v>0.1</v>
          </cell>
          <cell r="S22">
            <v>0.1</v>
          </cell>
          <cell r="T22">
            <v>0.1</v>
          </cell>
        </row>
        <row r="23">
          <cell r="B23" t="str">
            <v>HtPmpHtEUITYPHeat</v>
          </cell>
          <cell r="C23">
            <v>1</v>
          </cell>
          <cell r="D23">
            <v>1</v>
          </cell>
          <cell r="E23">
            <v>1</v>
          </cell>
          <cell r="F23">
            <v>1</v>
          </cell>
          <cell r="G23">
            <v>1.1000000000000001</v>
          </cell>
          <cell r="H23">
            <v>1.5</v>
          </cell>
          <cell r="I23">
            <v>1.5</v>
          </cell>
          <cell r="J23">
            <v>1.5</v>
          </cell>
          <cell r="K23">
            <v>2</v>
          </cell>
          <cell r="L23">
            <v>1</v>
          </cell>
          <cell r="M23">
            <v>2.5</v>
          </cell>
          <cell r="N23">
            <v>2</v>
          </cell>
          <cell r="O23">
            <v>2</v>
          </cell>
          <cell r="P23">
            <v>2</v>
          </cell>
          <cell r="Q23">
            <v>3</v>
          </cell>
          <cell r="R23">
            <v>2.5</v>
          </cell>
          <cell r="S23">
            <v>2</v>
          </cell>
          <cell r="T23">
            <v>2</v>
          </cell>
        </row>
        <row r="24">
          <cell r="B24" t="str">
            <v>ThermsTYPHeat</v>
          </cell>
          <cell r="C24">
            <v>0.27</v>
          </cell>
          <cell r="D24">
            <v>0.27</v>
          </cell>
          <cell r="E24">
            <v>0.27</v>
          </cell>
          <cell r="F24">
            <v>0.28999999999999998</v>
          </cell>
          <cell r="G24">
            <v>0.28999999999999998</v>
          </cell>
          <cell r="H24">
            <v>0.28999999999999998</v>
          </cell>
          <cell r="I24">
            <v>0.28999999999999998</v>
          </cell>
          <cell r="J24">
            <v>0.28999999999999998</v>
          </cell>
          <cell r="K24">
            <v>0.28999999999999998</v>
          </cell>
          <cell r="L24">
            <v>0.17</v>
          </cell>
          <cell r="M24">
            <v>0.5</v>
          </cell>
          <cell r="N24">
            <v>0.5</v>
          </cell>
          <cell r="O24">
            <v>0.5</v>
          </cell>
          <cell r="P24">
            <v>0.3</v>
          </cell>
          <cell r="Q24">
            <v>0.5</v>
          </cell>
          <cell r="R24">
            <v>0.5</v>
          </cell>
          <cell r="S24">
            <v>0.4</v>
          </cell>
          <cell r="T24">
            <v>0.6</v>
          </cell>
        </row>
        <row r="26">
          <cell r="B26" t="str">
            <v>EUITYPCool</v>
          </cell>
          <cell r="C26">
            <v>2.5</v>
          </cell>
          <cell r="D26">
            <v>1.8</v>
          </cell>
          <cell r="E26">
            <v>1</v>
          </cell>
          <cell r="F26">
            <v>1.2</v>
          </cell>
          <cell r="G26">
            <v>2.5</v>
          </cell>
          <cell r="H26">
            <v>3.5</v>
          </cell>
          <cell r="I26">
            <v>4</v>
          </cell>
          <cell r="J26">
            <v>0.7</v>
          </cell>
          <cell r="K26">
            <v>3</v>
          </cell>
          <cell r="L26">
            <v>0.5</v>
          </cell>
          <cell r="M26">
            <v>4</v>
          </cell>
          <cell r="N26">
            <v>6</v>
          </cell>
          <cell r="O26">
            <v>5</v>
          </cell>
          <cell r="P26">
            <v>2.5</v>
          </cell>
          <cell r="Q26">
            <v>2</v>
          </cell>
          <cell r="R26">
            <v>3</v>
          </cell>
          <cell r="S26">
            <v>2.5</v>
          </cell>
          <cell r="T26">
            <v>2.5</v>
          </cell>
        </row>
        <row r="27">
          <cell r="B27" t="str">
            <v>EUITYPVent</v>
          </cell>
          <cell r="C27" t="e">
            <v>#REF!</v>
          </cell>
          <cell r="D27" t="e">
            <v>#REF!</v>
          </cell>
          <cell r="E27" t="e">
            <v>#REF!</v>
          </cell>
          <cell r="F27" t="e">
            <v>#REF!</v>
          </cell>
          <cell r="G27">
            <v>2</v>
          </cell>
          <cell r="H27">
            <v>2.8</v>
          </cell>
          <cell r="I27">
            <v>2.6</v>
          </cell>
          <cell r="J27">
            <v>2.2999999999999998</v>
          </cell>
          <cell r="K27">
            <v>2</v>
          </cell>
          <cell r="L27">
            <v>0.5</v>
          </cell>
          <cell r="M27">
            <v>3.5</v>
          </cell>
          <cell r="N27">
            <v>4</v>
          </cell>
          <cell r="O27">
            <v>5</v>
          </cell>
          <cell r="P27">
            <v>2.5</v>
          </cell>
          <cell r="Q27">
            <v>7</v>
          </cell>
          <cell r="R27">
            <v>4.7</v>
          </cell>
          <cell r="S27">
            <v>2</v>
          </cell>
          <cell r="T27">
            <v>2</v>
          </cell>
        </row>
        <row r="28">
          <cell r="B28" t="str">
            <v>EUITYPWater</v>
          </cell>
          <cell r="C28">
            <v>0.5</v>
          </cell>
          <cell r="D28">
            <v>0.5</v>
          </cell>
          <cell r="E28">
            <v>0.5</v>
          </cell>
          <cell r="F28">
            <v>0.1</v>
          </cell>
          <cell r="G28">
            <v>0.1</v>
          </cell>
          <cell r="H28">
            <v>0.1</v>
          </cell>
          <cell r="I28">
            <v>0.1</v>
          </cell>
          <cell r="J28">
            <v>0.1</v>
          </cell>
          <cell r="K28">
            <v>1</v>
          </cell>
          <cell r="L28">
            <v>0.1</v>
          </cell>
          <cell r="M28">
            <v>1</v>
          </cell>
          <cell r="N28">
            <v>1</v>
          </cell>
          <cell r="O28">
            <v>1</v>
          </cell>
          <cell r="P28">
            <v>1</v>
          </cell>
          <cell r="Q28">
            <v>0.7</v>
          </cell>
          <cell r="R28">
            <v>0.5</v>
          </cell>
          <cell r="S28">
            <v>0.1</v>
          </cell>
          <cell r="T28">
            <v>0.1</v>
          </cell>
        </row>
        <row r="29">
          <cell r="B29" t="str">
            <v>EUITYPCook</v>
          </cell>
          <cell r="C29">
            <v>0.2</v>
          </cell>
          <cell r="D29">
            <v>0.1</v>
          </cell>
          <cell r="E29">
            <v>0</v>
          </cell>
          <cell r="F29">
            <v>1</v>
          </cell>
          <cell r="G29">
            <v>0.2</v>
          </cell>
          <cell r="H29">
            <v>0</v>
          </cell>
          <cell r="I29">
            <v>0</v>
          </cell>
          <cell r="J29">
            <v>0.5</v>
          </cell>
          <cell r="K29">
            <v>1</v>
          </cell>
          <cell r="L29">
            <v>0</v>
          </cell>
          <cell r="M29">
            <v>4</v>
          </cell>
          <cell r="N29">
            <v>8</v>
          </cell>
          <cell r="O29">
            <v>10</v>
          </cell>
          <cell r="P29">
            <v>1.5</v>
          </cell>
          <cell r="Q29">
            <v>0.7</v>
          </cell>
          <cell r="R29">
            <v>0</v>
          </cell>
          <cell r="S29">
            <v>0.1</v>
          </cell>
          <cell r="T29">
            <v>0.1</v>
          </cell>
        </row>
        <row r="30">
          <cell r="B30" t="str">
            <v>EUITYPRefr</v>
          </cell>
          <cell r="C30">
            <v>0.03</v>
          </cell>
          <cell r="D30">
            <v>0.03</v>
          </cell>
          <cell r="E30">
            <v>0.03</v>
          </cell>
          <cell r="F30">
            <v>15</v>
          </cell>
          <cell r="G30">
            <v>0.2</v>
          </cell>
          <cell r="H30">
            <v>0.03</v>
          </cell>
          <cell r="I30">
            <v>0.03</v>
          </cell>
          <cell r="J30">
            <v>0.5</v>
          </cell>
          <cell r="K30">
            <v>1</v>
          </cell>
          <cell r="L30">
            <v>0.03</v>
          </cell>
          <cell r="M30">
            <v>26</v>
          </cell>
          <cell r="N30">
            <v>36</v>
          </cell>
          <cell r="O30">
            <v>11</v>
          </cell>
          <cell r="P30">
            <v>1.5</v>
          </cell>
          <cell r="Q30">
            <v>1</v>
          </cell>
          <cell r="R30">
            <v>0.5</v>
          </cell>
          <cell r="S30">
            <v>2</v>
          </cell>
          <cell r="T30">
            <v>2</v>
          </cell>
        </row>
        <row r="31">
          <cell r="B31" t="str">
            <v>EUITYPLght</v>
          </cell>
          <cell r="C31" t="e">
            <v>#REF!</v>
          </cell>
          <cell r="D31" t="e">
            <v>#REF!</v>
          </cell>
          <cell r="E31" t="e">
            <v>#REF!</v>
          </cell>
          <cell r="F31" t="e">
            <v>#REF!</v>
          </cell>
          <cell r="G31" t="e">
            <v>#REF!</v>
          </cell>
          <cell r="H31" t="e">
            <v>#REF!</v>
          </cell>
          <cell r="I31" t="e">
            <v>#REF!</v>
          </cell>
          <cell r="J31" t="e">
            <v>#REF!</v>
          </cell>
          <cell r="K31" t="e">
            <v>#REF!</v>
          </cell>
          <cell r="L31" t="e">
            <v>#REF!</v>
          </cell>
          <cell r="M31" t="e">
            <v>#REF!</v>
          </cell>
          <cell r="N31" t="e">
            <v>#REF!</v>
          </cell>
          <cell r="O31" t="e">
            <v>#REF!</v>
          </cell>
          <cell r="P31" t="e">
            <v>#REF!</v>
          </cell>
          <cell r="Q31" t="e">
            <v>#REF!</v>
          </cell>
          <cell r="R31" t="e">
            <v>#REF!</v>
          </cell>
          <cell r="S31" t="e">
            <v>#REF!</v>
          </cell>
          <cell r="T31" t="e">
            <v>#REF!</v>
          </cell>
        </row>
        <row r="32">
          <cell r="B32" t="str">
            <v>EUITYPMisc</v>
          </cell>
          <cell r="C32">
            <v>5</v>
          </cell>
          <cell r="D32">
            <v>5</v>
          </cell>
          <cell r="E32">
            <v>4</v>
          </cell>
          <cell r="F32">
            <v>4</v>
          </cell>
          <cell r="G32">
            <v>2</v>
          </cell>
          <cell r="H32">
            <v>2</v>
          </cell>
          <cell r="I32">
            <v>2</v>
          </cell>
          <cell r="J32">
            <v>1</v>
          </cell>
          <cell r="K32">
            <v>6</v>
          </cell>
          <cell r="L32">
            <v>1.2</v>
          </cell>
          <cell r="M32">
            <v>2</v>
          </cell>
          <cell r="N32">
            <v>3</v>
          </cell>
          <cell r="O32">
            <v>3</v>
          </cell>
          <cell r="P32">
            <v>3.5</v>
          </cell>
          <cell r="Q32">
            <v>6</v>
          </cell>
          <cell r="R32">
            <v>3</v>
          </cell>
          <cell r="S32">
            <v>5</v>
          </cell>
          <cell r="T32">
            <v>5</v>
          </cell>
        </row>
        <row r="34">
          <cell r="B34" t="str">
            <v>ElecHtEUITYPTotal</v>
          </cell>
          <cell r="C34" t="e">
            <v>#REF!</v>
          </cell>
          <cell r="D34" t="e">
            <v>#REF!</v>
          </cell>
          <cell r="E34" t="e">
            <v>#REF!</v>
          </cell>
          <cell r="F34" t="e">
            <v>#REF!</v>
          </cell>
          <cell r="G34" t="e">
            <v>#REF!</v>
          </cell>
          <cell r="H34" t="e">
            <v>#REF!</v>
          </cell>
          <cell r="I34" t="e">
            <v>#REF!</v>
          </cell>
          <cell r="J34" t="e">
            <v>#REF!</v>
          </cell>
          <cell r="K34" t="e">
            <v>#REF!</v>
          </cell>
          <cell r="L34" t="e">
            <v>#REF!</v>
          </cell>
          <cell r="M34" t="e">
            <v>#REF!</v>
          </cell>
          <cell r="N34" t="e">
            <v>#REF!</v>
          </cell>
          <cell r="O34" t="e">
            <v>#REF!</v>
          </cell>
          <cell r="P34" t="e">
            <v>#REF!</v>
          </cell>
          <cell r="Q34" t="e">
            <v>#REF!</v>
          </cell>
          <cell r="R34" t="e">
            <v>#REF!</v>
          </cell>
          <cell r="S34" t="e">
            <v>#REF!</v>
          </cell>
          <cell r="T34" t="e">
            <v>#REF!</v>
          </cell>
        </row>
        <row r="35">
          <cell r="B35" t="str">
            <v>GasHtEUITYPTotal</v>
          </cell>
          <cell r="C35" t="e">
            <v>#REF!</v>
          </cell>
          <cell r="D35" t="e">
            <v>#REF!</v>
          </cell>
          <cell r="E35" t="e">
            <v>#REF!</v>
          </cell>
          <cell r="F35" t="e">
            <v>#REF!</v>
          </cell>
          <cell r="G35" t="e">
            <v>#REF!</v>
          </cell>
          <cell r="H35" t="e">
            <v>#REF!</v>
          </cell>
          <cell r="I35" t="e">
            <v>#REF!</v>
          </cell>
          <cell r="J35" t="e">
            <v>#REF!</v>
          </cell>
          <cell r="K35" t="e">
            <v>#REF!</v>
          </cell>
          <cell r="L35" t="e">
            <v>#REF!</v>
          </cell>
          <cell r="M35" t="e">
            <v>#REF!</v>
          </cell>
          <cell r="N35" t="e">
            <v>#REF!</v>
          </cell>
          <cell r="O35" t="e">
            <v>#REF!</v>
          </cell>
          <cell r="P35" t="e">
            <v>#REF!</v>
          </cell>
          <cell r="Q35" t="e">
            <v>#REF!</v>
          </cell>
          <cell r="R35" t="e">
            <v>#REF!</v>
          </cell>
          <cell r="S35" t="e">
            <v>#REF!</v>
          </cell>
          <cell r="T35" t="e">
            <v>#REF!</v>
          </cell>
        </row>
        <row r="36">
          <cell r="B36" t="str">
            <v>HtPmpHtEUITYPTotal</v>
          </cell>
          <cell r="C36" t="e">
            <v>#REF!</v>
          </cell>
          <cell r="D36" t="e">
            <v>#REF!</v>
          </cell>
          <cell r="E36" t="e">
            <v>#REF!</v>
          </cell>
          <cell r="F36" t="e">
            <v>#REF!</v>
          </cell>
          <cell r="G36" t="e">
            <v>#REF!</v>
          </cell>
          <cell r="H36" t="e">
            <v>#REF!</v>
          </cell>
          <cell r="I36" t="e">
            <v>#REF!</v>
          </cell>
          <cell r="J36" t="e">
            <v>#REF!</v>
          </cell>
          <cell r="K36" t="e">
            <v>#REF!</v>
          </cell>
          <cell r="L36" t="e">
            <v>#REF!</v>
          </cell>
          <cell r="M36" t="e">
            <v>#REF!</v>
          </cell>
          <cell r="N36" t="e">
            <v>#REF!</v>
          </cell>
          <cell r="O36" t="e">
            <v>#REF!</v>
          </cell>
          <cell r="P36" t="e">
            <v>#REF!</v>
          </cell>
          <cell r="Q36" t="e">
            <v>#REF!</v>
          </cell>
          <cell r="R36" t="e">
            <v>#REF!</v>
          </cell>
          <cell r="S36" t="e">
            <v>#REF!</v>
          </cell>
          <cell r="T36" t="e">
            <v>#REF!</v>
          </cell>
        </row>
        <row r="37">
          <cell r="C37" t="e">
            <v>#REF!</v>
          </cell>
          <cell r="D37" t="e">
            <v>#REF!</v>
          </cell>
          <cell r="E37" t="e">
            <v>#REF!</v>
          </cell>
          <cell r="F37" t="e">
            <v>#REF!</v>
          </cell>
          <cell r="G37" t="e">
            <v>#REF!</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row>
        <row r="38">
          <cell r="B38" t="str">
            <v>EUITYP Space Heat Weigheted Elec EUI by Type</v>
          </cell>
          <cell r="C38" t="e">
            <v>#REF!</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row>
        <row r="40">
          <cell r="B40" t="str">
            <v>LPD</v>
          </cell>
          <cell r="C40">
            <v>1.1000000000000001</v>
          </cell>
          <cell r="D40">
            <v>1.3</v>
          </cell>
          <cell r="E40">
            <v>1.6</v>
          </cell>
          <cell r="F40">
            <v>1.5</v>
          </cell>
          <cell r="G40">
            <v>1.5</v>
          </cell>
          <cell r="H40">
            <v>2</v>
          </cell>
          <cell r="I40">
            <v>1.5</v>
          </cell>
          <cell r="J40">
            <v>1.1000000000000001</v>
          </cell>
          <cell r="K40">
            <v>1.2</v>
          </cell>
          <cell r="L40">
            <v>0.9</v>
          </cell>
          <cell r="M40">
            <v>1.6</v>
          </cell>
          <cell r="N40">
            <v>1.4</v>
          </cell>
          <cell r="O40">
            <v>1.3</v>
          </cell>
          <cell r="P40">
            <v>1.4</v>
          </cell>
          <cell r="Q40">
            <v>1.2</v>
          </cell>
          <cell r="R40">
            <v>1.3</v>
          </cell>
          <cell r="S40">
            <v>1</v>
          </cell>
          <cell r="T40">
            <v>1</v>
          </cell>
        </row>
        <row r="41">
          <cell r="B41" t="str">
            <v>HOURSLght</v>
          </cell>
          <cell r="C41" t="e">
            <v>#REF!</v>
          </cell>
          <cell r="D41" t="e">
            <v>#REF!</v>
          </cell>
          <cell r="E41" t="e">
            <v>#REF!</v>
          </cell>
          <cell r="F41" t="e">
            <v>#REF!</v>
          </cell>
          <cell r="G41" t="e">
            <v>#REF!</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row>
        <row r="42">
          <cell r="B42" t="str">
            <v>LPDAdjust</v>
          </cell>
          <cell r="C42" t="e">
            <v>#REF!</v>
          </cell>
          <cell r="D42" t="e">
            <v>#REF!</v>
          </cell>
          <cell r="E42" t="e">
            <v>#REF!</v>
          </cell>
          <cell r="F42" t="e">
            <v>#REF!</v>
          </cell>
          <cell r="G42" t="e">
            <v>#REF!</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row>
        <row r="43">
          <cell r="B43" t="str">
            <v>KWHLght</v>
          </cell>
          <cell r="C43" t="e">
            <v>#REF!</v>
          </cell>
          <cell r="D43" t="e">
            <v>#REF!</v>
          </cell>
          <cell r="E43" t="e">
            <v>#REF!</v>
          </cell>
          <cell r="F43" t="e">
            <v>#REF!</v>
          </cell>
          <cell r="G43" t="e">
            <v>#REF!</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row>
        <row r="45">
          <cell r="B45" t="str">
            <v>VPD</v>
          </cell>
          <cell r="C45">
            <v>0.6</v>
          </cell>
          <cell r="D45">
            <v>0.6</v>
          </cell>
          <cell r="E45">
            <v>0.6</v>
          </cell>
          <cell r="F45">
            <v>0.6</v>
          </cell>
          <cell r="G45">
            <v>0.6</v>
          </cell>
          <cell r="H45">
            <v>0.6</v>
          </cell>
          <cell r="I45">
            <v>0.6</v>
          </cell>
          <cell r="J45">
            <v>0.8</v>
          </cell>
          <cell r="K45">
            <v>0.6</v>
          </cell>
          <cell r="L45">
            <v>0.6</v>
          </cell>
          <cell r="M45">
            <v>1.8</v>
          </cell>
          <cell r="N45">
            <v>1.6</v>
          </cell>
          <cell r="O45">
            <v>2.6</v>
          </cell>
          <cell r="P45">
            <v>1.3</v>
          </cell>
          <cell r="Q45">
            <v>1.3</v>
          </cell>
          <cell r="R45">
            <v>1.3</v>
          </cell>
          <cell r="S45">
            <v>1.3</v>
          </cell>
          <cell r="T45">
            <v>1.3</v>
          </cell>
        </row>
        <row r="46">
          <cell r="B46" t="str">
            <v>KWHVent</v>
          </cell>
          <cell r="C46" t="e">
            <v>#REF!</v>
          </cell>
          <cell r="D46" t="e">
            <v>#REF!</v>
          </cell>
          <cell r="E46" t="e">
            <v>#REF!</v>
          </cell>
          <cell r="F46" t="e">
            <v>#REF!</v>
          </cell>
          <cell r="G46" t="e">
            <v>#REF!</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row>
        <row r="48">
          <cell r="B48" t="str">
            <v>HVACElecHt</v>
          </cell>
          <cell r="C48" t="e">
            <v>#REF!</v>
          </cell>
          <cell r="D48" t="e">
            <v>#REF!</v>
          </cell>
          <cell r="E48" t="e">
            <v>#REF!</v>
          </cell>
          <cell r="F48" t="e">
            <v>#REF!</v>
          </cell>
          <cell r="G48">
            <v>6.7</v>
          </cell>
          <cell r="H48">
            <v>9.3000000000000007</v>
          </cell>
          <cell r="I48">
            <v>9.6</v>
          </cell>
          <cell r="J48">
            <v>6</v>
          </cell>
          <cell r="K48">
            <v>9</v>
          </cell>
          <cell r="L48">
            <v>3</v>
          </cell>
          <cell r="M48">
            <v>12.5</v>
          </cell>
          <cell r="N48">
            <v>14</v>
          </cell>
          <cell r="O48">
            <v>14</v>
          </cell>
          <cell r="P48">
            <v>9</v>
          </cell>
          <cell r="Q48">
            <v>15</v>
          </cell>
          <cell r="R48">
            <v>12.7</v>
          </cell>
          <cell r="S48">
            <v>8.5</v>
          </cell>
          <cell r="T48">
            <v>8.5</v>
          </cell>
        </row>
        <row r="49">
          <cell r="B49" t="str">
            <v>HVACGasHt</v>
          </cell>
          <cell r="C49" t="e">
            <v>#REF!</v>
          </cell>
          <cell r="D49" t="e">
            <v>#REF!</v>
          </cell>
          <cell r="E49" t="e">
            <v>#REF!</v>
          </cell>
          <cell r="F49" t="e">
            <v>#REF!</v>
          </cell>
          <cell r="G49">
            <v>4.5999999999999996</v>
          </cell>
          <cell r="H49">
            <v>6.4</v>
          </cell>
          <cell r="I49">
            <v>6.6999999999999993</v>
          </cell>
          <cell r="J49">
            <v>3.0999999999999996</v>
          </cell>
          <cell r="K49">
            <v>5.0999999999999996</v>
          </cell>
          <cell r="L49">
            <v>1.1000000000000001</v>
          </cell>
          <cell r="M49">
            <v>7.6</v>
          </cell>
          <cell r="N49">
            <v>10.1</v>
          </cell>
          <cell r="O49">
            <v>10.1</v>
          </cell>
          <cell r="P49">
            <v>5.0999999999999996</v>
          </cell>
          <cell r="Q49">
            <v>9.1999999999999993</v>
          </cell>
          <cell r="R49">
            <v>7.8000000000000007</v>
          </cell>
          <cell r="S49">
            <v>4.5999999999999996</v>
          </cell>
          <cell r="T49">
            <v>4.5999999999999996</v>
          </cell>
        </row>
        <row r="50">
          <cell r="B50" t="str">
            <v>HVACHtPmpHt</v>
          </cell>
          <cell r="C50" t="e">
            <v>#REF!</v>
          </cell>
          <cell r="D50" t="e">
            <v>#REF!</v>
          </cell>
          <cell r="E50" t="e">
            <v>#REF!</v>
          </cell>
          <cell r="F50" t="e">
            <v>#REF!</v>
          </cell>
          <cell r="G50">
            <v>5.6</v>
          </cell>
          <cell r="H50">
            <v>7.8</v>
          </cell>
          <cell r="I50">
            <v>8.1</v>
          </cell>
          <cell r="J50">
            <v>4.5</v>
          </cell>
          <cell r="K50">
            <v>7</v>
          </cell>
          <cell r="L50">
            <v>2</v>
          </cell>
          <cell r="M50">
            <v>10</v>
          </cell>
          <cell r="N50">
            <v>12</v>
          </cell>
          <cell r="O50">
            <v>12</v>
          </cell>
          <cell r="P50">
            <v>7</v>
          </cell>
          <cell r="Q50">
            <v>12</v>
          </cell>
          <cell r="R50">
            <v>10.199999999999999</v>
          </cell>
          <cell r="S50">
            <v>6.5</v>
          </cell>
          <cell r="T50">
            <v>6.5</v>
          </cell>
        </row>
        <row r="51">
          <cell r="B51" t="str">
            <v>Elec HVAC EUI All Fuel Weighted Btype</v>
          </cell>
          <cell r="C51" t="e">
            <v>#REF!</v>
          </cell>
          <cell r="D51" t="e">
            <v>#REF!</v>
          </cell>
          <cell r="E51" t="e">
            <v>#REF!</v>
          </cell>
          <cell r="F51" t="e">
            <v>#REF!</v>
          </cell>
          <cell r="G51" t="e">
            <v>#REF!</v>
          </cell>
          <cell r="H51" t="e">
            <v>#REF!</v>
          </cell>
          <cell r="I51" t="e">
            <v>#REF!</v>
          </cell>
          <cell r="J51" t="e">
            <v>#REF!</v>
          </cell>
          <cell r="K51" t="e">
            <v>#REF!</v>
          </cell>
          <cell r="L51" t="e">
            <v>#REF!</v>
          </cell>
          <cell r="M51" t="e">
            <v>#REF!</v>
          </cell>
          <cell r="N51" t="e">
            <v>#REF!</v>
          </cell>
          <cell r="O51" t="e">
            <v>#REF!</v>
          </cell>
          <cell r="P51" t="e">
            <v>#REF!</v>
          </cell>
          <cell r="Q51" t="e">
            <v>#REF!</v>
          </cell>
          <cell r="R51" t="e">
            <v>#REF!</v>
          </cell>
          <cell r="S51" t="e">
            <v>#REF!</v>
          </cell>
          <cell r="T51" t="e">
            <v>#REF!</v>
          </cell>
        </row>
        <row r="52">
          <cell r="B52" t="str">
            <v>Elec HVAC EUI All Fuel Weighted Act</v>
          </cell>
          <cell r="C52" t="e">
            <v>#REF!</v>
          </cell>
          <cell r="F52" t="e">
            <v>#REF!</v>
          </cell>
          <cell r="J52" t="e">
            <v>#REF!</v>
          </cell>
          <cell r="M52" t="e">
            <v>#REF!</v>
          </cell>
        </row>
        <row r="63">
          <cell r="B63" t="str">
            <v>CBSA2001 e-EUI Raw - GasHt</v>
          </cell>
          <cell r="C63">
            <v>16</v>
          </cell>
          <cell r="D63">
            <v>15</v>
          </cell>
          <cell r="E63">
            <v>13</v>
          </cell>
          <cell r="F63">
            <v>29</v>
          </cell>
          <cell r="G63">
            <v>11</v>
          </cell>
          <cell r="H63">
            <v>16</v>
          </cell>
          <cell r="I63">
            <v>15</v>
          </cell>
          <cell r="J63">
            <v>6.2</v>
          </cell>
          <cell r="K63">
            <v>34</v>
          </cell>
          <cell r="L63">
            <v>12.6</v>
          </cell>
          <cell r="M63">
            <v>52</v>
          </cell>
          <cell r="O63">
            <v>40</v>
          </cell>
          <cell r="P63">
            <v>17</v>
          </cell>
          <cell r="Q63" t="str">
            <v>Q</v>
          </cell>
          <cell r="T63">
            <v>16</v>
          </cell>
        </row>
        <row r="64">
          <cell r="B64" t="str">
            <v>CBSA2001 e-EUI Corrected - GasHt</v>
          </cell>
          <cell r="F64">
            <v>35</v>
          </cell>
          <cell r="L64">
            <v>6.8</v>
          </cell>
          <cell r="Q64" t="str">
            <v>Q</v>
          </cell>
        </row>
        <row r="65">
          <cell r="B65" t="str">
            <v>CBSA2001 e-EUI Raw - GasHt - %ACT</v>
          </cell>
          <cell r="C65">
            <v>15</v>
          </cell>
          <cell r="F65">
            <v>18.5</v>
          </cell>
          <cell r="Q65" t="str">
            <v>Q</v>
          </cell>
        </row>
        <row r="66">
          <cell r="B66" t="str">
            <v>CBSA2001 g-EUI Raw - Gas Ht (kBtu/sf)</v>
          </cell>
          <cell r="J66">
            <v>29</v>
          </cell>
          <cell r="L66">
            <v>17</v>
          </cell>
          <cell r="M66">
            <v>73</v>
          </cell>
          <cell r="O66">
            <v>281</v>
          </cell>
          <cell r="P66">
            <v>120</v>
          </cell>
          <cell r="Q66" t="str">
            <v>Q</v>
          </cell>
          <cell r="T66">
            <v>50</v>
          </cell>
        </row>
        <row r="67">
          <cell r="C67">
            <v>27</v>
          </cell>
          <cell r="F67">
            <v>29</v>
          </cell>
        </row>
        <row r="69">
          <cell r="B69" t="str">
            <v>CBSA2001 e-EUI Raw - ElecHt</v>
          </cell>
          <cell r="C69">
            <v>20</v>
          </cell>
          <cell r="D69">
            <v>23</v>
          </cell>
          <cell r="E69">
            <v>15</v>
          </cell>
          <cell r="F69" t="str">
            <v>Q</v>
          </cell>
          <cell r="G69">
            <v>10</v>
          </cell>
          <cell r="H69">
            <v>28</v>
          </cell>
          <cell r="I69">
            <v>22</v>
          </cell>
          <cell r="J69">
            <v>17</v>
          </cell>
          <cell r="K69" t="str">
            <v>Q</v>
          </cell>
          <cell r="L69">
            <v>6.6</v>
          </cell>
          <cell r="M69">
            <v>38</v>
          </cell>
          <cell r="N69">
            <v>71</v>
          </cell>
          <cell r="O69">
            <v>45</v>
          </cell>
          <cell r="P69">
            <v>20</v>
          </cell>
          <cell r="Q69" t="str">
            <v>Q</v>
          </cell>
          <cell r="T69">
            <v>13</v>
          </cell>
        </row>
        <row r="70">
          <cell r="B70" t="str">
            <v>CBSA2001 e-EUI Corrected - ElectHt</v>
          </cell>
          <cell r="G70">
            <v>12</v>
          </cell>
          <cell r="H70">
            <v>30</v>
          </cell>
          <cell r="I70">
            <v>22</v>
          </cell>
          <cell r="Q70" t="str">
            <v>Q</v>
          </cell>
        </row>
        <row r="71">
          <cell r="B71" t="str">
            <v>CBSA2001 e-EUI Raw - ElecHt - %ACT</v>
          </cell>
          <cell r="C71">
            <v>19</v>
          </cell>
          <cell r="F71">
            <v>17</v>
          </cell>
          <cell r="Q71" t="str">
            <v>Q</v>
          </cell>
        </row>
        <row r="73">
          <cell r="B73" t="str">
            <v>CBECS1999 - West - AllHt - Mean</v>
          </cell>
          <cell r="C73">
            <v>17.600000000000001</v>
          </cell>
          <cell r="F73">
            <v>17.899999999999999</v>
          </cell>
          <cell r="J73">
            <v>8.1999999999999993</v>
          </cell>
          <cell r="L73">
            <v>5.4</v>
          </cell>
          <cell r="M73" t="str">
            <v>Q</v>
          </cell>
          <cell r="O73" t="str">
            <v>Q</v>
          </cell>
          <cell r="P73">
            <v>10.9</v>
          </cell>
          <cell r="Q73">
            <v>25.6</v>
          </cell>
          <cell r="R73">
            <v>15.9</v>
          </cell>
          <cell r="T73" t="str">
            <v>Q</v>
          </cell>
        </row>
        <row r="74">
          <cell r="B74" t="str">
            <v>CBECS1999 - West - AllHt - 95%CI</v>
          </cell>
        </row>
        <row r="75">
          <cell r="B75" t="str">
            <v>CBECS1999 - US - AllHt - Mean</v>
          </cell>
          <cell r="C75">
            <v>18.7</v>
          </cell>
          <cell r="F75">
            <v>14.7</v>
          </cell>
          <cell r="J75">
            <v>8.6999999999999993</v>
          </cell>
          <cell r="L75">
            <v>6.5</v>
          </cell>
          <cell r="M75">
            <v>49</v>
          </cell>
          <cell r="O75">
            <v>34</v>
          </cell>
          <cell r="P75">
            <v>12.7</v>
          </cell>
          <cell r="Q75">
            <v>27</v>
          </cell>
          <cell r="R75">
            <v>16.7</v>
          </cell>
          <cell r="T75">
            <v>24.4</v>
          </cell>
          <cell r="U75">
            <v>2.7</v>
          </cell>
        </row>
        <row r="76">
          <cell r="B76" t="str">
            <v>CBECS1999 - US - AllHt - 95%CI</v>
          </cell>
          <cell r="C76" t="str">
            <v>17 - 21</v>
          </cell>
          <cell r="F76" t="str">
            <v>12 - 19</v>
          </cell>
          <cell r="J76" t="str">
            <v>7.8 - 9.6</v>
          </cell>
          <cell r="L76" t="str">
            <v>5.3 - 7.7</v>
          </cell>
          <cell r="M76" t="str">
            <v>37 - 60</v>
          </cell>
          <cell r="O76" t="str">
            <v>25 - 43</v>
          </cell>
          <cell r="P76" t="str">
            <v xml:space="preserve"> 11 - 14</v>
          </cell>
          <cell r="Q76" t="str">
            <v>25 - 29</v>
          </cell>
          <cell r="R76" t="str">
            <v>14 - 19</v>
          </cell>
          <cell r="T76" t="str">
            <v>18 - 31</v>
          </cell>
          <cell r="U76" t="str">
            <v>1 - 4.4</v>
          </cell>
        </row>
        <row r="78">
          <cell r="B78" t="str">
            <v>CBECS2003 Mean US in kWh/sf</v>
          </cell>
          <cell r="C78">
            <v>17.3</v>
          </cell>
          <cell r="F78">
            <v>19.2</v>
          </cell>
          <cell r="J78">
            <v>11</v>
          </cell>
          <cell r="L78">
            <v>7.6</v>
          </cell>
          <cell r="M78">
            <v>49.4</v>
          </cell>
          <cell r="O78">
            <v>38.4</v>
          </cell>
          <cell r="P78">
            <v>13.5</v>
          </cell>
          <cell r="Q78">
            <v>27.5</v>
          </cell>
          <cell r="R78">
            <v>16.100000000000001</v>
          </cell>
          <cell r="S78">
            <v>12.5</v>
          </cell>
          <cell r="T78">
            <v>22.5</v>
          </cell>
        </row>
        <row r="79">
          <cell r="B79" t="str">
            <v>CBECS2003 Mean US in therms/sf</v>
          </cell>
          <cell r="C79">
            <v>0.28100000000000003</v>
          </cell>
          <cell r="F79">
            <v>0.33500000000000002</v>
          </cell>
          <cell r="J79">
            <v>0.38100000000000001</v>
          </cell>
          <cell r="L79">
            <v>0.24099999999999999</v>
          </cell>
          <cell r="M79">
            <v>0.51700000000000002</v>
          </cell>
          <cell r="O79">
            <v>1.45</v>
          </cell>
          <cell r="P79">
            <v>0.504</v>
          </cell>
          <cell r="Q79">
            <v>1.1299999999999999</v>
          </cell>
          <cell r="R79">
            <v>0.51800000000000002</v>
          </cell>
          <cell r="S79">
            <v>0.375</v>
          </cell>
          <cell r="T79">
            <v>0.69699999999999995</v>
          </cell>
        </row>
        <row r="82">
          <cell r="B82" t="str">
            <v>CBSA 2002-2004 New Bldg Elec in kWh/sf</v>
          </cell>
          <cell r="C82">
            <v>17.8</v>
          </cell>
          <cell r="F82">
            <v>21.6</v>
          </cell>
          <cell r="J82">
            <v>9.6</v>
          </cell>
          <cell r="K82">
            <v>12.7</v>
          </cell>
          <cell r="L82">
            <v>15.1</v>
          </cell>
          <cell r="M82">
            <v>46.6</v>
          </cell>
          <cell r="O82">
            <v>86.2</v>
          </cell>
          <cell r="P82">
            <v>10.6</v>
          </cell>
          <cell r="Q82">
            <v>25.3</v>
          </cell>
          <cell r="R82">
            <v>14.3</v>
          </cell>
          <cell r="S82">
            <v>13.3</v>
          </cell>
          <cell r="T82">
            <v>18.3</v>
          </cell>
        </row>
        <row r="83">
          <cell r="B83" t="str">
            <v>CBSA 2002-2004 New Bldg Gas in therms/sf</v>
          </cell>
          <cell r="C83">
            <v>0.11</v>
          </cell>
          <cell r="F83">
            <v>0.21</v>
          </cell>
          <cell r="J83">
            <v>0.3</v>
          </cell>
          <cell r="K83">
            <v>0.18</v>
          </cell>
          <cell r="L83">
            <v>0.18</v>
          </cell>
          <cell r="M83">
            <v>0.61</v>
          </cell>
          <cell r="O83">
            <v>1.57</v>
          </cell>
          <cell r="P83">
            <v>0.23</v>
          </cell>
          <cell r="Q83">
            <v>1.07</v>
          </cell>
          <cell r="R83">
            <v>0.69</v>
          </cell>
          <cell r="S83">
            <v>0.37</v>
          </cell>
          <cell r="T83">
            <v>0.22</v>
          </cell>
        </row>
        <row r="84">
          <cell r="B84" t="str">
            <v>CBSA 2002-2004 New Bldg All Fuel kBtu/sf</v>
          </cell>
          <cell r="C84">
            <v>71.7</v>
          </cell>
          <cell r="F84">
            <v>95.5</v>
          </cell>
          <cell r="J84">
            <v>61.4</v>
          </cell>
          <cell r="K84">
            <v>62.2</v>
          </cell>
          <cell r="L84">
            <v>70.5</v>
          </cell>
          <cell r="M84">
            <v>219.8</v>
          </cell>
          <cell r="O84">
            <v>451</v>
          </cell>
          <cell r="P84">
            <v>64</v>
          </cell>
          <cell r="Q84">
            <v>193.5</v>
          </cell>
          <cell r="R84">
            <v>111.8</v>
          </cell>
          <cell r="S84">
            <v>83.1</v>
          </cell>
          <cell r="T84">
            <v>102.5</v>
          </cell>
        </row>
        <row r="85">
          <cell r="B85" t="str">
            <v>CBSA 2002-2004 New Bldg Elec in kBtu/sf</v>
          </cell>
          <cell r="C85">
            <v>60.733600000000003</v>
          </cell>
          <cell r="F85">
            <v>73.699200000000005</v>
          </cell>
        </row>
        <row r="86">
          <cell r="B86" t="str">
            <v>CBSA 2002-2004 New Bldg Gas in kBtu/sf</v>
          </cell>
          <cell r="C86">
            <v>11</v>
          </cell>
          <cell r="F86">
            <v>21</v>
          </cell>
        </row>
        <row r="89">
          <cell r="C89" t="str">
            <v>Electricity Energy Intensity (kWh/square foot)</v>
          </cell>
        </row>
        <row r="90">
          <cell r="B90" t="str">
            <v>CBECS2003</v>
          </cell>
          <cell r="C90" t="str">
            <v xml:space="preserve">Total  </v>
          </cell>
          <cell r="D90" t="str">
            <v>Space Heat-
ing</v>
          </cell>
          <cell r="E90" t="str">
            <v>Cool-
ing</v>
          </cell>
          <cell r="F90" t="str">
            <v>Venti-
lation</v>
          </cell>
          <cell r="G90" t="str">
            <v>Water Heat-
ing</v>
          </cell>
          <cell r="H90" t="str">
            <v>Light-
ing</v>
          </cell>
          <cell r="I90" t="str">
            <v>Cook-
ing</v>
          </cell>
          <cell r="J90" t="str">
            <v>Refrig-
eration</v>
          </cell>
          <cell r="K90" t="str">
            <v>Office Equip-
ment</v>
          </cell>
          <cell r="L90" t="str">
            <v>Com-
puters</v>
          </cell>
          <cell r="M90" t="str">
            <v>Other</v>
          </cell>
          <cell r="O90" t="str">
            <v>Sum EQ, COMP, OTH</v>
          </cell>
          <cell r="P90" t="str">
            <v>HVAC EUI</v>
          </cell>
        </row>
        <row r="91">
          <cell r="B91" t="str">
            <v>Principal Building Activity</v>
          </cell>
        </row>
        <row r="92">
          <cell r="B92" t="str">
            <v>Education ....................</v>
          </cell>
          <cell r="C92">
            <v>11</v>
          </cell>
          <cell r="D92">
            <v>0.5</v>
          </cell>
          <cell r="E92">
            <v>2.2000000000000002</v>
          </cell>
          <cell r="F92">
            <v>2.5</v>
          </cell>
          <cell r="G92">
            <v>0.3</v>
          </cell>
          <cell r="H92">
            <v>3.4</v>
          </cell>
          <cell r="I92" t="str">
            <v>(*)</v>
          </cell>
          <cell r="J92">
            <v>0.5</v>
          </cell>
          <cell r="K92">
            <v>0.1</v>
          </cell>
          <cell r="L92">
            <v>1</v>
          </cell>
          <cell r="M92">
            <v>0.6</v>
          </cell>
          <cell r="O92">
            <v>1.7000000000000002</v>
          </cell>
          <cell r="P92">
            <v>5.2</v>
          </cell>
        </row>
        <row r="93">
          <cell r="B93" t="str">
            <v>Food Sales ...................</v>
          </cell>
          <cell r="C93">
            <v>49.4</v>
          </cell>
          <cell r="D93">
            <v>1.5</v>
          </cell>
          <cell r="E93">
            <v>2.9</v>
          </cell>
          <cell r="F93">
            <v>1.8</v>
          </cell>
          <cell r="G93" t="str">
            <v>Q</v>
          </cell>
          <cell r="H93">
            <v>10.9</v>
          </cell>
          <cell r="I93">
            <v>0.6</v>
          </cell>
          <cell r="J93">
            <v>28.2</v>
          </cell>
          <cell r="K93">
            <v>0.5</v>
          </cell>
          <cell r="L93">
            <v>0.4</v>
          </cell>
          <cell r="M93">
            <v>2.4</v>
          </cell>
          <cell r="O93">
            <v>3.3</v>
          </cell>
          <cell r="P93">
            <v>6.2</v>
          </cell>
        </row>
        <row r="94">
          <cell r="B94" t="str">
            <v>Food Service .................</v>
          </cell>
          <cell r="C94">
            <v>38.4</v>
          </cell>
          <cell r="D94">
            <v>1.8</v>
          </cell>
          <cell r="E94">
            <v>5</v>
          </cell>
          <cell r="F94">
            <v>4.3</v>
          </cell>
          <cell r="G94">
            <v>1.8</v>
          </cell>
          <cell r="H94">
            <v>7.5</v>
          </cell>
          <cell r="I94">
            <v>2.4</v>
          </cell>
          <cell r="J94">
            <v>12.3</v>
          </cell>
          <cell r="K94">
            <v>0.3</v>
          </cell>
          <cell r="L94">
            <v>0.3</v>
          </cell>
          <cell r="M94">
            <v>2.6</v>
          </cell>
          <cell r="O94">
            <v>3.2</v>
          </cell>
          <cell r="P94">
            <v>11.1</v>
          </cell>
        </row>
        <row r="95">
          <cell r="B95" t="str">
            <v>Health Care ..................</v>
          </cell>
          <cell r="C95">
            <v>22.9</v>
          </cell>
          <cell r="D95">
            <v>0.5</v>
          </cell>
          <cell r="E95">
            <v>3.1</v>
          </cell>
          <cell r="F95">
            <v>3.9</v>
          </cell>
          <cell r="G95">
            <v>0.2</v>
          </cell>
          <cell r="H95">
            <v>9.6999999999999993</v>
          </cell>
          <cell r="I95">
            <v>0.1</v>
          </cell>
          <cell r="J95">
            <v>0.8</v>
          </cell>
          <cell r="K95">
            <v>0.3</v>
          </cell>
          <cell r="L95">
            <v>0.9</v>
          </cell>
          <cell r="M95">
            <v>3.3</v>
          </cell>
          <cell r="O95">
            <v>4.5</v>
          </cell>
          <cell r="P95">
            <v>7.5</v>
          </cell>
        </row>
        <row r="96">
          <cell r="B96" t="str">
            <v xml:space="preserve">  Inpatient ..................</v>
          </cell>
          <cell r="C96">
            <v>27.5</v>
          </cell>
          <cell r="D96">
            <v>0.5</v>
          </cell>
          <cell r="E96">
            <v>3.8</v>
          </cell>
          <cell r="F96">
            <v>5.9</v>
          </cell>
          <cell r="G96">
            <v>0.3</v>
          </cell>
          <cell r="H96">
            <v>11.7</v>
          </cell>
          <cell r="I96">
            <v>0.1</v>
          </cell>
          <cell r="J96">
            <v>0.6</v>
          </cell>
          <cell r="K96">
            <v>0.3</v>
          </cell>
          <cell r="L96">
            <v>1</v>
          </cell>
          <cell r="M96">
            <v>3.2</v>
          </cell>
          <cell r="O96">
            <v>4.5</v>
          </cell>
          <cell r="P96">
            <v>10.199999999999999</v>
          </cell>
        </row>
        <row r="97">
          <cell r="B97" t="str">
            <v xml:space="preserve">  Outpatient .................</v>
          </cell>
          <cell r="C97">
            <v>16.100000000000001</v>
          </cell>
          <cell r="D97">
            <v>0.7</v>
          </cell>
          <cell r="E97">
            <v>2.1</v>
          </cell>
          <cell r="F97">
            <v>1</v>
          </cell>
          <cell r="G97">
            <v>0.1</v>
          </cell>
          <cell r="H97">
            <v>6.6</v>
          </cell>
          <cell r="I97" t="str">
            <v>(*)</v>
          </cell>
          <cell r="J97">
            <v>1</v>
          </cell>
          <cell r="K97">
            <v>0.4</v>
          </cell>
          <cell r="L97">
            <v>0.8</v>
          </cell>
          <cell r="M97">
            <v>3.5</v>
          </cell>
          <cell r="O97">
            <v>4.7</v>
          </cell>
          <cell r="P97">
            <v>3.8</v>
          </cell>
        </row>
        <row r="98">
          <cell r="B98" t="str">
            <v>Lodging ......................</v>
          </cell>
          <cell r="C98">
            <v>13.5</v>
          </cell>
          <cell r="D98">
            <v>0.8</v>
          </cell>
          <cell r="E98">
            <v>1.4</v>
          </cell>
          <cell r="F98">
            <v>0.8</v>
          </cell>
          <cell r="G98">
            <v>0.7</v>
          </cell>
          <cell r="H98">
            <v>7.1</v>
          </cell>
          <cell r="I98">
            <v>0.1</v>
          </cell>
          <cell r="J98">
            <v>0.7</v>
          </cell>
          <cell r="K98" t="str">
            <v>Q</v>
          </cell>
          <cell r="L98">
            <v>0.4</v>
          </cell>
          <cell r="M98">
            <v>1.4</v>
          </cell>
          <cell r="O98">
            <v>1.7999999999999998</v>
          </cell>
          <cell r="P98">
            <v>3</v>
          </cell>
        </row>
        <row r="99">
          <cell r="B99" t="str">
            <v>Mercantile ...................</v>
          </cell>
          <cell r="C99">
            <v>19.2</v>
          </cell>
          <cell r="D99">
            <v>1.5</v>
          </cell>
          <cell r="E99">
            <v>2.9</v>
          </cell>
          <cell r="F99">
            <v>1.8</v>
          </cell>
          <cell r="G99">
            <v>1</v>
          </cell>
          <cell r="H99">
            <v>8.1</v>
          </cell>
          <cell r="I99">
            <v>0.1</v>
          </cell>
          <cell r="J99">
            <v>1.3</v>
          </cell>
          <cell r="K99">
            <v>0.2</v>
          </cell>
          <cell r="L99">
            <v>0.3</v>
          </cell>
          <cell r="M99">
            <v>2.2000000000000002</v>
          </cell>
          <cell r="O99">
            <v>2.7</v>
          </cell>
          <cell r="P99">
            <v>6.2</v>
          </cell>
        </row>
        <row r="100">
          <cell r="B100" t="str">
            <v xml:space="preserve">  Retail (Other Than Mall) ...</v>
          </cell>
          <cell r="C100">
            <v>14.3</v>
          </cell>
          <cell r="D100">
            <v>0.4</v>
          </cell>
          <cell r="E100">
            <v>1.7</v>
          </cell>
          <cell r="F100">
            <v>1.1000000000000001</v>
          </cell>
          <cell r="G100">
            <v>0.1</v>
          </cell>
          <cell r="H100">
            <v>7.5</v>
          </cell>
          <cell r="I100" t="str">
            <v>(*)</v>
          </cell>
          <cell r="J100">
            <v>1.5</v>
          </cell>
          <cell r="K100">
            <v>0.2</v>
          </cell>
          <cell r="L100">
            <v>0.3</v>
          </cell>
          <cell r="M100">
            <v>1.5</v>
          </cell>
          <cell r="O100">
            <v>2</v>
          </cell>
          <cell r="P100">
            <v>3.2</v>
          </cell>
        </row>
        <row r="101">
          <cell r="B101" t="str">
            <v xml:space="preserve">  Enclosed and Strip Malls ...</v>
          </cell>
          <cell r="C101">
            <v>22.3</v>
          </cell>
          <cell r="D101">
            <v>2.2000000000000002</v>
          </cell>
          <cell r="E101">
            <v>3.6</v>
          </cell>
          <cell r="F101">
            <v>2.2000000000000002</v>
          </cell>
          <cell r="G101">
            <v>1.5</v>
          </cell>
          <cell r="H101">
            <v>8.4</v>
          </cell>
          <cell r="I101">
            <v>0.1</v>
          </cell>
          <cell r="J101">
            <v>1.2</v>
          </cell>
          <cell r="K101">
            <v>0.2</v>
          </cell>
          <cell r="L101">
            <v>0.3</v>
          </cell>
          <cell r="M101">
            <v>2.6</v>
          </cell>
          <cell r="O101">
            <v>3.1</v>
          </cell>
          <cell r="P101">
            <v>8</v>
          </cell>
        </row>
        <row r="102">
          <cell r="B102" t="str">
            <v>Office .......................</v>
          </cell>
          <cell r="C102">
            <v>17.3</v>
          </cell>
          <cell r="D102">
            <v>0.8</v>
          </cell>
          <cell r="E102">
            <v>2.4</v>
          </cell>
          <cell r="F102">
            <v>1.5</v>
          </cell>
          <cell r="G102">
            <v>0.2</v>
          </cell>
          <cell r="H102">
            <v>6.8</v>
          </cell>
          <cell r="I102" t="str">
            <v>(*)</v>
          </cell>
          <cell r="J102">
            <v>0.8</v>
          </cell>
          <cell r="K102">
            <v>0.8</v>
          </cell>
          <cell r="L102">
            <v>1.8</v>
          </cell>
          <cell r="M102">
            <v>2.2000000000000002</v>
          </cell>
          <cell r="O102">
            <v>4.8000000000000007</v>
          </cell>
          <cell r="P102">
            <v>4.7</v>
          </cell>
        </row>
        <row r="103">
          <cell r="B103" t="str">
            <v>Public Assembly ..............</v>
          </cell>
          <cell r="C103">
            <v>12.5</v>
          </cell>
          <cell r="D103">
            <v>0.4</v>
          </cell>
          <cell r="E103">
            <v>2.6</v>
          </cell>
          <cell r="F103">
            <v>4.7</v>
          </cell>
          <cell r="G103" t="str">
            <v>(*)</v>
          </cell>
          <cell r="H103">
            <v>2</v>
          </cell>
          <cell r="I103" t="str">
            <v>(*)</v>
          </cell>
          <cell r="J103">
            <v>0.7</v>
          </cell>
          <cell r="K103" t="str">
            <v>Q</v>
          </cell>
          <cell r="L103">
            <v>0.2</v>
          </cell>
          <cell r="M103">
            <v>1.7</v>
          </cell>
          <cell r="O103">
            <v>1.9</v>
          </cell>
          <cell r="P103">
            <v>7.7</v>
          </cell>
        </row>
        <row r="104">
          <cell r="B104" t="str">
            <v>Public Order and Safety ......</v>
          </cell>
          <cell r="C104">
            <v>15.3</v>
          </cell>
          <cell r="D104">
            <v>0.5</v>
          </cell>
          <cell r="E104">
            <v>2.1</v>
          </cell>
          <cell r="F104">
            <v>2.8</v>
          </cell>
          <cell r="G104">
            <v>0.9</v>
          </cell>
          <cell r="H104">
            <v>4.8</v>
          </cell>
          <cell r="I104" t="str">
            <v>(*)</v>
          </cell>
          <cell r="J104">
            <v>0.9</v>
          </cell>
          <cell r="K104">
            <v>0.2</v>
          </cell>
          <cell r="L104">
            <v>0.4</v>
          </cell>
          <cell r="M104">
            <v>2.7</v>
          </cell>
          <cell r="O104">
            <v>3.3000000000000003</v>
          </cell>
          <cell r="P104">
            <v>5.4</v>
          </cell>
        </row>
        <row r="105">
          <cell r="B105" t="str">
            <v>Religious Worship ............</v>
          </cell>
          <cell r="C105">
            <v>4.9000000000000004</v>
          </cell>
          <cell r="D105">
            <v>0.2</v>
          </cell>
          <cell r="E105">
            <v>0.8</v>
          </cell>
          <cell r="F105">
            <v>0.4</v>
          </cell>
          <cell r="G105" t="str">
            <v>(*)</v>
          </cell>
          <cell r="H105">
            <v>1.3</v>
          </cell>
          <cell r="I105" t="str">
            <v>(*)</v>
          </cell>
          <cell r="J105">
            <v>0.5</v>
          </cell>
          <cell r="K105" t="str">
            <v>(*)</v>
          </cell>
          <cell r="L105">
            <v>0.1</v>
          </cell>
          <cell r="M105">
            <v>1.4</v>
          </cell>
          <cell r="O105">
            <v>1.5</v>
          </cell>
          <cell r="P105">
            <v>1.4</v>
          </cell>
        </row>
        <row r="106">
          <cell r="B106" t="str">
            <v>Service ......................</v>
          </cell>
          <cell r="C106">
            <v>11</v>
          </cell>
          <cell r="D106">
            <v>0.4</v>
          </cell>
          <cell r="E106">
            <v>1.1000000000000001</v>
          </cell>
          <cell r="F106">
            <v>1.8</v>
          </cell>
          <cell r="G106" t="str">
            <v>(*)</v>
          </cell>
          <cell r="H106">
            <v>4.5999999999999996</v>
          </cell>
          <cell r="I106" t="str">
            <v>Q</v>
          </cell>
          <cell r="J106">
            <v>0.6</v>
          </cell>
          <cell r="K106">
            <v>0.1</v>
          </cell>
          <cell r="L106">
            <v>0.2</v>
          </cell>
          <cell r="M106">
            <v>2.1</v>
          </cell>
          <cell r="O106">
            <v>2.4000000000000004</v>
          </cell>
          <cell r="P106">
            <v>3.3</v>
          </cell>
        </row>
        <row r="107">
          <cell r="B107" t="str">
            <v>Warehouse and Storage ........</v>
          </cell>
          <cell r="C107">
            <v>7.6</v>
          </cell>
          <cell r="D107">
            <v>0.2</v>
          </cell>
          <cell r="E107">
            <v>0.4</v>
          </cell>
          <cell r="F107">
            <v>0.6</v>
          </cell>
          <cell r="G107">
            <v>0.1</v>
          </cell>
          <cell r="H107">
            <v>4.0999999999999996</v>
          </cell>
          <cell r="I107" t="str">
            <v>Q</v>
          </cell>
          <cell r="J107">
            <v>1.1000000000000001</v>
          </cell>
          <cell r="K107">
            <v>0.1</v>
          </cell>
          <cell r="L107">
            <v>0.1</v>
          </cell>
          <cell r="M107">
            <v>0.9</v>
          </cell>
          <cell r="O107">
            <v>1.1000000000000001</v>
          </cell>
          <cell r="P107">
            <v>1.2000000000000002</v>
          </cell>
        </row>
        <row r="108">
          <cell r="B108" t="str">
            <v>Other ........................</v>
          </cell>
          <cell r="C108">
            <v>22.5</v>
          </cell>
          <cell r="D108">
            <v>0.4</v>
          </cell>
          <cell r="E108">
            <v>2.7</v>
          </cell>
          <cell r="F108">
            <v>1.8</v>
          </cell>
          <cell r="G108">
            <v>0.1</v>
          </cell>
          <cell r="H108">
            <v>10.1</v>
          </cell>
          <cell r="I108" t="str">
            <v>Q</v>
          </cell>
          <cell r="J108">
            <v>1.8</v>
          </cell>
          <cell r="K108" t="str">
            <v>Q</v>
          </cell>
          <cell r="L108">
            <v>0.9</v>
          </cell>
          <cell r="M108">
            <v>3.7</v>
          </cell>
          <cell r="O108">
            <v>4.6000000000000005</v>
          </cell>
          <cell r="P108">
            <v>4.9000000000000004</v>
          </cell>
        </row>
        <row r="109">
          <cell r="B109" t="str">
            <v>Vacant .......................</v>
          </cell>
          <cell r="C109">
            <v>2.4</v>
          </cell>
          <cell r="D109">
            <v>0.1</v>
          </cell>
          <cell r="E109">
            <v>0.2</v>
          </cell>
          <cell r="F109">
            <v>0.2</v>
          </cell>
          <cell r="G109" t="str">
            <v>Q</v>
          </cell>
          <cell r="H109">
            <v>0.7</v>
          </cell>
          <cell r="I109" t="str">
            <v>Q</v>
          </cell>
          <cell r="J109">
            <v>0.1</v>
          </cell>
          <cell r="K109" t="str">
            <v>Q</v>
          </cell>
          <cell r="L109" t="str">
            <v>(*)</v>
          </cell>
          <cell r="M109">
            <v>1.1000000000000001</v>
          </cell>
          <cell r="O109">
            <v>1.1000000000000001</v>
          </cell>
          <cell r="P109">
            <v>0.5</v>
          </cell>
        </row>
        <row r="112">
          <cell r="C112" t="str">
            <v>Total Natural Gas Consumption
(trillion Btu)</v>
          </cell>
          <cell r="H112" t="str">
            <v>Natural Gas Energy Intensity
(thousand Btu/square foot)</v>
          </cell>
          <cell r="O112">
            <v>0.7</v>
          </cell>
          <cell r="P112">
            <v>2</v>
          </cell>
        </row>
        <row r="113">
          <cell r="B113" t="str">
            <v>CBECS2003</v>
          </cell>
          <cell r="C113" t="str">
            <v xml:space="preserve">Total  </v>
          </cell>
          <cell r="D113" t="str">
            <v>Space Heating</v>
          </cell>
          <cell r="E113" t="str">
            <v>Water Heating</v>
          </cell>
          <cell r="F113" t="str">
            <v>Cook-
ing</v>
          </cell>
          <cell r="G113" t="str">
            <v>Other</v>
          </cell>
          <cell r="H113" t="str">
            <v xml:space="preserve">Total  </v>
          </cell>
          <cell r="I113" t="str">
            <v>Space Heating</v>
          </cell>
          <cell r="J113" t="str">
            <v>Water Heating</v>
          </cell>
          <cell r="K113" t="str">
            <v>Cook-
ing</v>
          </cell>
          <cell r="L113" t="str">
            <v>Other</v>
          </cell>
          <cell r="O113" t="str">
            <v>Space Heating Elec Equiv</v>
          </cell>
          <cell r="P113" t="str">
            <v>Heating HP Equiv</v>
          </cell>
          <cell r="R113" t="str">
            <v>CBSA 2002-2004 New Bldg Gas (kBtu/SF Heat)</v>
          </cell>
          <cell r="S113" t="str">
            <v>CBSA 2002-2004 New Bldg Heat Elec Equiv</v>
          </cell>
          <cell r="T113" t="str">
            <v>NEEA Heat HP Equiv</v>
          </cell>
          <cell r="U113" t="str">
            <v>CEUS Gas (kBtu/SF Heat)</v>
          </cell>
          <cell r="V113" t="str">
            <v>CEUS Heat Elec Equiv</v>
          </cell>
          <cell r="W113" t="str">
            <v>CEUS Heat HP Equiv</v>
          </cell>
        </row>
        <row r="114">
          <cell r="B114" t="str">
            <v>Principal Building Activity</v>
          </cell>
        </row>
        <row r="115">
          <cell r="B115" t="str">
            <v>Education ....................</v>
          </cell>
          <cell r="C115">
            <v>268</v>
          </cell>
          <cell r="D115">
            <v>207</v>
          </cell>
          <cell r="E115">
            <v>37</v>
          </cell>
          <cell r="F115">
            <v>5</v>
          </cell>
          <cell r="G115">
            <v>19</v>
          </cell>
          <cell r="H115">
            <v>38.1</v>
          </cell>
          <cell r="I115">
            <v>29.5</v>
          </cell>
          <cell r="J115">
            <v>5.2</v>
          </cell>
          <cell r="K115">
            <v>0.7</v>
          </cell>
          <cell r="L115">
            <v>2.7</v>
          </cell>
          <cell r="N115" t="str">
            <v>Educ</v>
          </cell>
          <cell r="O115">
            <v>6.0521688159437277</v>
          </cell>
          <cell r="P115">
            <v>3.0260844079718638</v>
          </cell>
          <cell r="R115">
            <v>23.2</v>
          </cell>
          <cell r="S115">
            <v>4.7596717467760836</v>
          </cell>
          <cell r="T115">
            <v>2.3798358733880418</v>
          </cell>
          <cell r="U115">
            <v>24</v>
          </cell>
          <cell r="V115">
            <v>4.9237983587338796</v>
          </cell>
        </row>
        <row r="116">
          <cell r="B116" t="str">
            <v>Food Sales ...................</v>
          </cell>
          <cell r="C116">
            <v>39</v>
          </cell>
          <cell r="D116">
            <v>27</v>
          </cell>
          <cell r="E116">
            <v>2</v>
          </cell>
          <cell r="F116">
            <v>8</v>
          </cell>
          <cell r="G116" t="str">
            <v>Q</v>
          </cell>
          <cell r="H116">
            <v>51.7</v>
          </cell>
          <cell r="I116">
            <v>35.6</v>
          </cell>
          <cell r="J116">
            <v>3.2</v>
          </cell>
          <cell r="K116">
            <v>11.2</v>
          </cell>
          <cell r="L116" t="str">
            <v>Q</v>
          </cell>
          <cell r="N116" t="str">
            <v>Groc</v>
          </cell>
          <cell r="O116">
            <v>7.3036342321219214</v>
          </cell>
          <cell r="P116">
            <v>3.6518171160609607</v>
          </cell>
          <cell r="R116">
            <v>40.299999999999997</v>
          </cell>
          <cell r="S116">
            <v>8.2678780773739735</v>
          </cell>
          <cell r="T116">
            <v>4.1339390386869868</v>
          </cell>
          <cell r="U116">
            <v>21.8</v>
          </cell>
          <cell r="V116">
            <v>4.4724501758499411</v>
          </cell>
        </row>
        <row r="117">
          <cell r="B117" t="str">
            <v>Food Service .................</v>
          </cell>
          <cell r="C117">
            <v>203</v>
          </cell>
          <cell r="D117">
            <v>54</v>
          </cell>
          <cell r="E117">
            <v>56</v>
          </cell>
          <cell r="F117">
            <v>91</v>
          </cell>
          <cell r="G117" t="str">
            <v>Q</v>
          </cell>
          <cell r="H117">
            <v>145.6</v>
          </cell>
          <cell r="I117">
            <v>39</v>
          </cell>
          <cell r="J117">
            <v>40</v>
          </cell>
          <cell r="K117">
            <v>65.400000000000006</v>
          </cell>
          <cell r="L117" t="str">
            <v>Q</v>
          </cell>
          <cell r="N117" t="str">
            <v>Restau</v>
          </cell>
          <cell r="O117">
            <v>8.0011723329425539</v>
          </cell>
          <cell r="P117">
            <v>4.000586166471277</v>
          </cell>
        </row>
      </sheetData>
      <sheetData sheetId="17">
        <row r="11">
          <cell r="B11" t="str">
            <v>Water Using Devices</v>
          </cell>
          <cell r="C11" t="str">
            <v>Pre-Rinse Spray Valve</v>
          </cell>
          <cell r="D11" t="str">
            <v>Pre-Rinse Spray Valve</v>
          </cell>
          <cell r="E11" t="str">
            <v>CBSA 2014</v>
          </cell>
          <cell r="F11" t="str">
            <v>Some</v>
          </cell>
          <cell r="H11" t="str">
            <v>Retro</v>
          </cell>
          <cell r="I11">
            <v>0</v>
          </cell>
        </row>
        <row r="12">
          <cell r="B12" t="str">
            <v>Cooking</v>
          </cell>
          <cell r="C12" t="str">
            <v>Cooking Equipment</v>
          </cell>
          <cell r="D12" t="str">
            <v>Cooking Equipment</v>
          </cell>
          <cell r="E12" t="str">
            <v>CBSA 2014</v>
          </cell>
          <cell r="F12" t="str">
            <v>All</v>
          </cell>
          <cell r="H12" t="str">
            <v>NR</v>
          </cell>
          <cell r="I12">
            <v>0</v>
          </cell>
        </row>
        <row r="13">
          <cell r="B13" t="str">
            <v>HVAC System Improvements</v>
          </cell>
          <cell r="C13" t="str">
            <v>Premium HVAC Equipment</v>
          </cell>
          <cell r="D13" t="str">
            <v>Premium HVAC Equipment</v>
          </cell>
          <cell r="E13" t="str">
            <v>CBSA 2014</v>
          </cell>
          <cell r="F13" t="str">
            <v>All</v>
          </cell>
          <cell r="H13" t="str">
            <v>New</v>
          </cell>
          <cell r="I13">
            <v>0</v>
          </cell>
        </row>
        <row r="14">
          <cell r="B14" t="str">
            <v>Envelope</v>
          </cell>
          <cell r="C14" t="str">
            <v>Glass</v>
          </cell>
          <cell r="D14" t="str">
            <v>Windows</v>
          </cell>
          <cell r="E14" t="str">
            <v>CBSA 2014</v>
          </cell>
          <cell r="F14" t="str">
            <v>All</v>
          </cell>
          <cell r="H14" t="str">
            <v>New</v>
          </cell>
          <cell r="I14">
            <v>0</v>
          </cell>
        </row>
        <row r="15">
          <cell r="B15" t="e">
            <v>#N/A</v>
          </cell>
          <cell r="C15" t="str">
            <v>Package Roof Top Optimization and Repair</v>
          </cell>
          <cell r="D15" t="e">
            <v>#N/A</v>
          </cell>
          <cell r="E15" t="e">
            <v>#N/A</v>
          </cell>
          <cell r="F15" t="e">
            <v>#N/A</v>
          </cell>
          <cell r="H15" t="e">
            <v>#N/A</v>
          </cell>
          <cell r="I15" t="e">
            <v>#N/A</v>
          </cell>
        </row>
        <row r="16">
          <cell r="B16" t="str">
            <v>Envelope</v>
          </cell>
          <cell r="C16" t="str">
            <v>Variable Speed Chiller</v>
          </cell>
          <cell r="D16" t="str">
            <v>Variable Speed Chiller</v>
          </cell>
          <cell r="E16" t="str">
            <v>CBSA 2014</v>
          </cell>
          <cell r="F16" t="str">
            <v>Some</v>
          </cell>
          <cell r="H16" t="str">
            <v>New</v>
          </cell>
          <cell r="I16">
            <v>0</v>
          </cell>
        </row>
        <row r="17">
          <cell r="B17" t="e">
            <v>#N/A</v>
          </cell>
          <cell r="C17" t="str">
            <v>Commercial SEM</v>
          </cell>
          <cell r="D17" t="e">
            <v>#N/A</v>
          </cell>
          <cell r="E17" t="e">
            <v>#N/A</v>
          </cell>
          <cell r="F17" t="e">
            <v>#N/A</v>
          </cell>
          <cell r="H17" t="e">
            <v>#N/A</v>
          </cell>
          <cell r="I17" t="e">
            <v>#N/A</v>
          </cell>
        </row>
        <row r="18">
          <cell r="B18" t="str">
            <v>HVAC System Improvements</v>
          </cell>
          <cell r="C18" t="str">
            <v>Evaporative Assist Cooling</v>
          </cell>
          <cell r="D18" t="str">
            <v>Evaporative Assist Cooling</v>
          </cell>
          <cell r="E18" t="str">
            <v>CBSA 2014</v>
          </cell>
          <cell r="F18" t="str">
            <v>Some</v>
          </cell>
          <cell r="H18" t="str">
            <v>New</v>
          </cell>
          <cell r="I18">
            <v>0</v>
          </cell>
        </row>
        <row r="19">
          <cell r="B19" t="str">
            <v>HVAC System Improvements</v>
          </cell>
          <cell r="C19" t="str">
            <v>Low Pressure Distribution Complex HVAC</v>
          </cell>
          <cell r="D19" t="str">
            <v>Low Pressure Distribution Complex HVAC</v>
          </cell>
          <cell r="E19" t="str">
            <v>CBSA 2014</v>
          </cell>
          <cell r="F19" t="str">
            <v>Some</v>
          </cell>
          <cell r="H19" t="str">
            <v>New</v>
          </cell>
          <cell r="I19">
            <v>0</v>
          </cell>
        </row>
        <row r="20">
          <cell r="B20" t="str">
            <v>HVAC System Controls</v>
          </cell>
          <cell r="C20" t="str">
            <v>Demand Control Ventilation</v>
          </cell>
          <cell r="D20" t="str">
            <v>Demand Control Ventilation</v>
          </cell>
          <cell r="E20" t="str">
            <v>CBSA 2014</v>
          </cell>
          <cell r="F20" t="str">
            <v>All</v>
          </cell>
          <cell r="H20" t="str">
            <v>New</v>
          </cell>
          <cell r="I20">
            <v>0</v>
          </cell>
        </row>
        <row r="21">
          <cell r="B21" t="str">
            <v>Pumps and Fans</v>
          </cell>
          <cell r="C21" t="str">
            <v>Premium Fume Hood</v>
          </cell>
          <cell r="D21" t="str">
            <v>Premium Fume Hood</v>
          </cell>
          <cell r="E21" t="str">
            <v>CBSA 2014</v>
          </cell>
          <cell r="F21" t="str">
            <v>Some</v>
          </cell>
          <cell r="H21" t="str">
            <v>New</v>
          </cell>
          <cell r="I21">
            <v>0</v>
          </cell>
        </row>
        <row r="22">
          <cell r="B22" t="str">
            <v>Pumps and Fans</v>
          </cell>
          <cell r="C22" t="str">
            <v>DCV Restaurant Hood</v>
          </cell>
          <cell r="D22" t="str">
            <v>DCV Restaurant Hood</v>
          </cell>
          <cell r="E22" t="str">
            <v>CBSA 2014</v>
          </cell>
          <cell r="F22" t="str">
            <v>Restaurant</v>
          </cell>
          <cell r="H22" t="str">
            <v>Retro</v>
          </cell>
          <cell r="I22">
            <v>0</v>
          </cell>
        </row>
        <row r="23">
          <cell r="B23" t="str">
            <v>Pumps and Fans</v>
          </cell>
          <cell r="C23" t="str">
            <v>DCV Parking Garage</v>
          </cell>
          <cell r="D23" t="str">
            <v>DCV Parking Garage</v>
          </cell>
          <cell r="E23" t="str">
            <v>CBSA 2014</v>
          </cell>
          <cell r="F23" t="str">
            <v>All</v>
          </cell>
          <cell r="H23" t="str">
            <v>Retro</v>
          </cell>
          <cell r="I23" t="str">
            <v>x</v>
          </cell>
        </row>
        <row r="24">
          <cell r="B24" t="str">
            <v>Envelope</v>
          </cell>
          <cell r="C24" t="str">
            <v>Weatherization - School</v>
          </cell>
          <cell r="D24" t="str">
            <v>Weatherization - School</v>
          </cell>
          <cell r="E24" t="str">
            <v>CBSA 2014</v>
          </cell>
          <cell r="F24" t="str">
            <v>K-12</v>
          </cell>
          <cell r="H24" t="str">
            <v>Retro</v>
          </cell>
          <cell r="I24" t="str">
            <v>x</v>
          </cell>
        </row>
        <row r="25">
          <cell r="B25" t="str">
            <v>Heat Recovery</v>
          </cell>
          <cell r="C25" t="str">
            <v>Energy Recovery Ventilator</v>
          </cell>
          <cell r="D25" t="str">
            <v>Energy Recovery Ventilator</v>
          </cell>
          <cell r="E25" t="str">
            <v>CBSA 2014</v>
          </cell>
          <cell r="F25" t="str">
            <v>All</v>
          </cell>
          <cell r="H25" t="str">
            <v>NR</v>
          </cell>
          <cell r="I25" t="str">
            <v>x</v>
          </cell>
        </row>
        <row r="26">
          <cell r="B26" t="str">
            <v>Heat Recovery</v>
          </cell>
          <cell r="C26" t="str">
            <v>AC Heat Recovery for Water Heating</v>
          </cell>
          <cell r="D26" t="str">
            <v>AC Heat Recovery for Water Heating</v>
          </cell>
          <cell r="E26" t="str">
            <v>CBSA 2014</v>
          </cell>
          <cell r="F26" t="str">
            <v>All</v>
          </cell>
          <cell r="H26" t="str">
            <v>NR</v>
          </cell>
          <cell r="I26" t="str">
            <v>x</v>
          </cell>
        </row>
        <row r="27">
          <cell r="B27" t="str">
            <v>Whole Bldg/Meter Level System Improvements</v>
          </cell>
          <cell r="C27" t="str">
            <v>Room Occupancy Sensors in Lodging</v>
          </cell>
          <cell r="D27" t="str">
            <v>Room Occupancy Sensors in Lodging</v>
          </cell>
          <cell r="E27" t="str">
            <v>CBSA 2014</v>
          </cell>
          <cell r="F27" t="str">
            <v>Lodging</v>
          </cell>
          <cell r="H27" t="str">
            <v>Retro</v>
          </cell>
          <cell r="I27" t="str">
            <v>x</v>
          </cell>
        </row>
        <row r="28">
          <cell r="B28" t="str">
            <v>HVAC System Improvements</v>
          </cell>
          <cell r="C28" t="str">
            <v>Chiller - chilled water retrofit</v>
          </cell>
          <cell r="D28" t="str">
            <v>Chiller - chilled water retrofit</v>
          </cell>
          <cell r="E28" t="str">
            <v>CBSA 2014</v>
          </cell>
          <cell r="F28" t="str">
            <v>Some</v>
          </cell>
          <cell r="H28" t="str">
            <v>Retro</v>
          </cell>
          <cell r="I28" t="str">
            <v>x</v>
          </cell>
        </row>
        <row r="29">
          <cell r="B29" t="str">
            <v>HVAC System Improvements</v>
          </cell>
          <cell r="C29" t="str">
            <v>Chiller - equip retrofits</v>
          </cell>
          <cell r="D29" t="str">
            <v>Chiller - equip retrofits</v>
          </cell>
          <cell r="E29" t="str">
            <v>CBSA 2014</v>
          </cell>
          <cell r="F29" t="str">
            <v>Some</v>
          </cell>
          <cell r="H29" t="str">
            <v>Retro</v>
          </cell>
          <cell r="I29" t="str">
            <v>x</v>
          </cell>
        </row>
        <row r="30">
          <cell r="B30" t="str">
            <v>Pool System Improvements</v>
          </cell>
          <cell r="C30" t="str">
            <v>Pool Blankets</v>
          </cell>
          <cell r="D30" t="str">
            <v>Pool Blankets</v>
          </cell>
          <cell r="E30" t="str">
            <v>CBSA 2014</v>
          </cell>
          <cell r="F30" t="str">
            <v>Some</v>
          </cell>
          <cell r="H30" t="str">
            <v>Retro</v>
          </cell>
          <cell r="I30" t="str">
            <v>x</v>
          </cell>
        </row>
        <row r="31">
          <cell r="B31" t="str">
            <v>HVAC System Controls</v>
          </cell>
          <cell r="C31" t="str">
            <v>Web-Enabled Thermostats</v>
          </cell>
          <cell r="D31" t="str">
            <v>Web-Enabled Thermostats</v>
          </cell>
          <cell r="E31" t="str">
            <v>CBSA 2014</v>
          </cell>
          <cell r="F31" t="str">
            <v>Some</v>
          </cell>
          <cell r="H31" t="str">
            <v>Retro</v>
          </cell>
          <cell r="I31" t="str">
            <v>x</v>
          </cell>
        </row>
        <row r="32">
          <cell r="B32" t="str">
            <v>HVAC System Controls</v>
          </cell>
          <cell r="C32" t="str">
            <v>Garage CO2 ventilation</v>
          </cell>
          <cell r="D32" t="str">
            <v>Garage CO2 ventilation</v>
          </cell>
          <cell r="E32" t="str">
            <v>CBSA 2014</v>
          </cell>
          <cell r="F32" t="str">
            <v>Some</v>
          </cell>
          <cell r="H32" t="str">
            <v>Retro</v>
          </cell>
          <cell r="I32" t="str">
            <v>x</v>
          </cell>
        </row>
        <row r="33">
          <cell r="B33" t="str">
            <v>Pumps and Fans</v>
          </cell>
          <cell r="C33" t="str">
            <v>Circ Pump ECM and drive</v>
          </cell>
          <cell r="D33" t="str">
            <v>Circ Pump ECM and drive</v>
          </cell>
          <cell r="E33" t="str">
            <v>CBSA 2014</v>
          </cell>
          <cell r="F33" t="str">
            <v>Some</v>
          </cell>
          <cell r="H33" t="str">
            <v>Retro</v>
          </cell>
          <cell r="I33" t="str">
            <v>x</v>
          </cell>
        </row>
        <row r="34">
          <cell r="B34" t="e">
            <v>#N/A</v>
          </cell>
          <cell r="C34" t="str">
            <v>Variable Capacity Heat Pump</v>
          </cell>
          <cell r="D34" t="e">
            <v>#N/A</v>
          </cell>
          <cell r="E34" t="e">
            <v>#N/A</v>
          </cell>
          <cell r="F34" t="e">
            <v>#N/A</v>
          </cell>
          <cell r="H34" t="e">
            <v>#N/A</v>
          </cell>
          <cell r="I34" t="e">
            <v>#N/A</v>
          </cell>
        </row>
        <row r="35">
          <cell r="B35" t="str">
            <v>Envelope</v>
          </cell>
          <cell r="C35" t="str">
            <v>Cool Roofs</v>
          </cell>
          <cell r="D35" t="str">
            <v>Cool Roofs</v>
          </cell>
          <cell r="E35" t="str">
            <v>CBSA 2014</v>
          </cell>
          <cell r="F35" t="str">
            <v>All</v>
          </cell>
          <cell r="H35" t="str">
            <v>Retro</v>
          </cell>
          <cell r="I35" t="str">
            <v>x</v>
          </cell>
        </row>
        <row r="36">
          <cell r="B36" t="str">
            <v>HVAC System Improvements</v>
          </cell>
          <cell r="C36" t="str">
            <v>Evaporator Roof Top HVAC</v>
          </cell>
          <cell r="D36" t="str">
            <v>Evaporator Roof Top HVAC</v>
          </cell>
          <cell r="E36" t="str">
            <v>CBSA 2014</v>
          </cell>
          <cell r="F36" t="str">
            <v>Some</v>
          </cell>
          <cell r="H36" t="str">
            <v>Retro</v>
          </cell>
          <cell r="I36" t="str">
            <v>x</v>
          </cell>
        </row>
        <row r="37">
          <cell r="B37" t="str">
            <v>Envelope</v>
          </cell>
          <cell r="C37" t="str">
            <v>Secondary Glazing Systems</v>
          </cell>
          <cell r="D37" t="str">
            <v>Secondary Glazing Systems</v>
          </cell>
          <cell r="E37" t="str">
            <v>CBSA 2014</v>
          </cell>
          <cell r="F37" t="str">
            <v>All</v>
          </cell>
          <cell r="H37" t="str">
            <v>Retro</v>
          </cell>
          <cell r="I37" t="str">
            <v>x</v>
          </cell>
        </row>
        <row r="38">
          <cell r="B38" t="str">
            <v>Lamps/Ballasts/Fixtures</v>
          </cell>
          <cell r="C38" t="str">
            <v>LPD Package</v>
          </cell>
          <cell r="D38" t="str">
            <v>Lighting Power Density</v>
          </cell>
          <cell r="E38" t="str">
            <v>CBSA 2014</v>
          </cell>
          <cell r="F38" t="str">
            <v>All</v>
          </cell>
          <cell r="H38" t="str">
            <v>New</v>
          </cell>
          <cell r="I38">
            <v>0</v>
          </cell>
        </row>
        <row r="39">
          <cell r="B39" t="str">
            <v>Whole Bldg/Meter Level System Improvements</v>
          </cell>
          <cell r="C39" t="str">
            <v>Top Daylighting</v>
          </cell>
          <cell r="D39" t="str">
            <v>Daylighting with Skylights</v>
          </cell>
          <cell r="E39" t="str">
            <v>CBSA 2014</v>
          </cell>
          <cell r="F39" t="str">
            <v>All</v>
          </cell>
          <cell r="H39" t="str">
            <v>New</v>
          </cell>
          <cell r="I39">
            <v>0</v>
          </cell>
        </row>
        <row r="40">
          <cell r="B40" t="str">
            <v>Whole Bldg/Meter Level System Improvements</v>
          </cell>
          <cell r="C40" t="str">
            <v>Perimeter Daylighting Controls Advanced</v>
          </cell>
          <cell r="D40" t="str">
            <v>Daylighting with Windows</v>
          </cell>
          <cell r="E40" t="str">
            <v>CBSA 2014</v>
          </cell>
          <cell r="F40" t="str">
            <v>All</v>
          </cell>
          <cell r="H40" t="str">
            <v>New</v>
          </cell>
          <cell r="I40">
            <v>0</v>
          </cell>
        </row>
        <row r="41">
          <cell r="B41" t="str">
            <v>Lighting Controls</v>
          </cell>
          <cell r="C41" t="str">
            <v>Lighting Controls Interior</v>
          </cell>
          <cell r="D41" t="str">
            <v>Lighting Controls Interior</v>
          </cell>
          <cell r="E41" t="str">
            <v>CBSA 2014</v>
          </cell>
          <cell r="F41" t="str">
            <v>All</v>
          </cell>
          <cell r="H41" t="str">
            <v>New</v>
          </cell>
          <cell r="I41">
            <v>0</v>
          </cell>
        </row>
        <row r="42">
          <cell r="B42" t="str">
            <v>Lamps/Ballasts/Fixtures</v>
          </cell>
          <cell r="C42" t="str">
            <v>Exterior Building Lighting</v>
          </cell>
          <cell r="D42" t="str">
            <v>Exterior Building Lighting</v>
          </cell>
          <cell r="E42" t="str">
            <v>CBSA 2014</v>
          </cell>
          <cell r="F42" t="str">
            <v>All</v>
          </cell>
          <cell r="H42" t="str">
            <v>New</v>
          </cell>
          <cell r="I42">
            <v>0</v>
          </cell>
        </row>
        <row r="43">
          <cell r="B43" t="str">
            <v>Lamps/Ballasts/Fixtures</v>
          </cell>
          <cell r="C43" t="str">
            <v>Street and Roadway Lighting</v>
          </cell>
          <cell r="D43" t="str">
            <v>Street and Roadway Lighting</v>
          </cell>
          <cell r="E43" t="str">
            <v>Navigant 2014</v>
          </cell>
          <cell r="F43" t="str">
            <v>Non-Building</v>
          </cell>
          <cell r="H43" t="str">
            <v>New</v>
          </cell>
          <cell r="I43">
            <v>0</v>
          </cell>
        </row>
        <row r="44">
          <cell r="B44" t="str">
            <v>Lamps/Ballasts/Fixtures</v>
          </cell>
          <cell r="C44" t="str">
            <v>Parking Lighting</v>
          </cell>
          <cell r="D44" t="str">
            <v>Parking Lighting</v>
          </cell>
          <cell r="E44" t="str">
            <v>CBSA 2014</v>
          </cell>
          <cell r="F44" t="str">
            <v>All</v>
          </cell>
          <cell r="H44" t="str">
            <v>New</v>
          </cell>
          <cell r="I44">
            <v>0</v>
          </cell>
        </row>
        <row r="45">
          <cell r="B45" t="str">
            <v>Lighting Controls</v>
          </cell>
          <cell r="C45" t="str">
            <v>Luminaire Level Lighting Controls</v>
          </cell>
          <cell r="D45" t="str">
            <v>Luminaire Level Lighting Controls</v>
          </cell>
          <cell r="E45" t="str">
            <v>CBSA 2014</v>
          </cell>
          <cell r="F45" t="str">
            <v>All</v>
          </cell>
          <cell r="H45" t="str">
            <v>Retro</v>
          </cell>
          <cell r="I45" t="str">
            <v>x</v>
          </cell>
        </row>
        <row r="46">
          <cell r="B46" t="str">
            <v>Motors</v>
          </cell>
          <cell r="C46" t="str">
            <v>ECM on VAV Boxes</v>
          </cell>
          <cell r="D46" t="str">
            <v>ECM Motors on Variable Air Volume Boxes</v>
          </cell>
          <cell r="E46" t="str">
            <v>CBSA 2014</v>
          </cell>
          <cell r="F46" t="str">
            <v>All</v>
          </cell>
          <cell r="H46" t="str">
            <v>New</v>
          </cell>
          <cell r="I46">
            <v>0</v>
          </cell>
        </row>
        <row r="47">
          <cell r="B47" t="str">
            <v>Pool System Improvements</v>
          </cell>
          <cell r="C47" t="str">
            <v>Pool pumps</v>
          </cell>
          <cell r="D47" t="str">
            <v>Pool pumps</v>
          </cell>
          <cell r="E47" t="str">
            <v>CBSA 2014</v>
          </cell>
          <cell r="F47" t="str">
            <v>Some</v>
          </cell>
          <cell r="H47" t="str">
            <v>Retro</v>
          </cell>
          <cell r="I47" t="str">
            <v>x</v>
          </cell>
        </row>
        <row r="48">
          <cell r="B48" t="str">
            <v>Motors</v>
          </cell>
          <cell r="C48" t="str">
            <v>Switched Reluctance/Permanent Magnet Motors</v>
          </cell>
          <cell r="D48" t="str">
            <v>Switched Reluctance/Permanent Magnet Motors</v>
          </cell>
          <cell r="E48" t="str">
            <v>CBSA 2014</v>
          </cell>
          <cell r="F48" t="str">
            <v>All</v>
          </cell>
          <cell r="H48" t="str">
            <v>Retro</v>
          </cell>
          <cell r="I48" t="str">
            <v>x</v>
          </cell>
        </row>
        <row r="49">
          <cell r="B49" t="str">
            <v>Motors</v>
          </cell>
          <cell r="C49" t="str">
            <v>Motors - Rewind</v>
          </cell>
          <cell r="D49" t="str">
            <v>Motors - Rewind</v>
          </cell>
          <cell r="E49" t="str">
            <v>CBSA 2014</v>
          </cell>
          <cell r="F49" t="str">
            <v>All</v>
          </cell>
          <cell r="H49" t="str">
            <v>NR</v>
          </cell>
          <cell r="I49" t="str">
            <v>x</v>
          </cell>
        </row>
        <row r="50">
          <cell r="B50" t="str">
            <v>Process Loads System Improvements</v>
          </cell>
          <cell r="C50" t="str">
            <v>Municipal Sewage Treatment</v>
          </cell>
          <cell r="D50" t="str">
            <v>Municipal Sewage Treatment</v>
          </cell>
          <cell r="E50" t="str">
            <v>2013 EPA Flow rates</v>
          </cell>
          <cell r="F50" t="str">
            <v>Non-Building</v>
          </cell>
          <cell r="H50" t="str">
            <v>Retro</v>
          </cell>
          <cell r="I50">
            <v>0</v>
          </cell>
        </row>
        <row r="51">
          <cell r="B51" t="str">
            <v>Process Loads System Improvements</v>
          </cell>
          <cell r="C51" t="str">
            <v>Municipal Water Supply</v>
          </cell>
          <cell r="D51" t="str">
            <v>Municipal Water Supply</v>
          </cell>
          <cell r="E51" t="str">
            <v>2013 EPA Flow rates</v>
          </cell>
          <cell r="F51" t="str">
            <v>Non-Building</v>
          </cell>
          <cell r="H51" t="str">
            <v>Retro</v>
          </cell>
          <cell r="I51">
            <v>0</v>
          </cell>
        </row>
        <row r="52">
          <cell r="B52" t="str">
            <v>Process Loads System Controls</v>
          </cell>
          <cell r="C52" t="str">
            <v>Engine Generator Block Heaters</v>
          </cell>
          <cell r="D52" t="str">
            <v>Engine Generator Block Heaters</v>
          </cell>
          <cell r="E52" t="str">
            <v>No Control</v>
          </cell>
          <cell r="F52" t="str">
            <v>All</v>
          </cell>
          <cell r="H52" t="str">
            <v>Retro</v>
          </cell>
          <cell r="I52" t="str">
            <v>x</v>
          </cell>
        </row>
        <row r="53">
          <cell r="B53" t="str">
            <v>Refrigeration System Improvements</v>
          </cell>
          <cell r="C53" t="str">
            <v>Grocery Refrigeration Bundle</v>
          </cell>
          <cell r="D53" t="str">
            <v>Grocery Refrigeration Bundle</v>
          </cell>
          <cell r="E53" t="str">
            <v>CBSA 2014</v>
          </cell>
          <cell r="F53" t="str">
            <v>Grocery</v>
          </cell>
          <cell r="H53" t="str">
            <v>Retro</v>
          </cell>
          <cell r="I53">
            <v>0</v>
          </cell>
        </row>
        <row r="54">
          <cell r="B54" t="str">
            <v>Packaged Refrigeration</v>
          </cell>
          <cell r="C54" t="str">
            <v>Packaged Refrigeration Equipment</v>
          </cell>
          <cell r="D54" t="str">
            <v>Packaged Refrigeration Equipment</v>
          </cell>
          <cell r="E54" t="str">
            <v>CBSA 2014</v>
          </cell>
          <cell r="F54" t="str">
            <v>Grocery</v>
          </cell>
          <cell r="H54" t="str">
            <v>New</v>
          </cell>
          <cell r="I54">
            <v>0</v>
          </cell>
        </row>
        <row r="55">
          <cell r="B55" t="str">
            <v>Refrigeration System Improvements</v>
          </cell>
          <cell r="C55" t="str">
            <v>Appliances - Freezers</v>
          </cell>
          <cell r="D55" t="str">
            <v>Appliances - Freezers</v>
          </cell>
          <cell r="E55" t="str">
            <v>Fed Std 2014</v>
          </cell>
          <cell r="F55" t="str">
            <v>All</v>
          </cell>
          <cell r="H55" t="str">
            <v>NR</v>
          </cell>
          <cell r="I55" t="str">
            <v>x</v>
          </cell>
        </row>
        <row r="56">
          <cell r="B56" t="str">
            <v>Refrigeration System Improvements</v>
          </cell>
          <cell r="C56" t="str">
            <v>Appliances - Refrigerators</v>
          </cell>
          <cell r="D56" t="str">
            <v>Appliances - Refrigerators</v>
          </cell>
          <cell r="E56" t="str">
            <v>Fed Std 2014</v>
          </cell>
          <cell r="F56" t="str">
            <v>All</v>
          </cell>
          <cell r="H56" t="str">
            <v>NR</v>
          </cell>
          <cell r="I56" t="str">
            <v>x</v>
          </cell>
        </row>
        <row r="57">
          <cell r="B57" t="str">
            <v>Refrigeration System Controls</v>
          </cell>
          <cell r="C57" t="str">
            <v>Water Cooler Controls</v>
          </cell>
          <cell r="D57" t="str">
            <v>Water Cooler Controls</v>
          </cell>
          <cell r="E57" t="str">
            <v>Uncontrolled</v>
          </cell>
          <cell r="F57" t="str">
            <v>Some</v>
          </cell>
          <cell r="H57" t="str">
            <v>Retro</v>
          </cell>
          <cell r="I57" t="str">
            <v>x</v>
          </cell>
        </row>
        <row r="58">
          <cell r="B58" t="str">
            <v>Water Using Devices</v>
          </cell>
          <cell r="C58" t="str">
            <v>Commercial Clothes Washers</v>
          </cell>
          <cell r="D58" t="str">
            <v>Commercial Clothes Washers</v>
          </cell>
          <cell r="E58" t="str">
            <v>CBSA 2014</v>
          </cell>
          <cell r="F58" t="str">
            <v>Some</v>
          </cell>
          <cell r="H58" t="str">
            <v>New</v>
          </cell>
          <cell r="I58">
            <v>0</v>
          </cell>
        </row>
        <row r="59">
          <cell r="B59" t="str">
            <v>Water Heaters</v>
          </cell>
          <cell r="C59" t="str">
            <v>DHW - Efficient Tanks</v>
          </cell>
          <cell r="D59" t="str">
            <v>DHW - Efficient Tanks</v>
          </cell>
          <cell r="E59" t="str">
            <v>CBSA 2014</v>
          </cell>
          <cell r="F59" t="str">
            <v>All</v>
          </cell>
          <cell r="H59" t="str">
            <v>Retro</v>
          </cell>
          <cell r="I59" t="str">
            <v>x</v>
          </cell>
        </row>
        <row r="60">
          <cell r="B60" t="str">
            <v>Water Using Devices</v>
          </cell>
          <cell r="C60" t="str">
            <v>Appliances - Clothes Washers</v>
          </cell>
          <cell r="D60" t="str">
            <v>Appliances - Clothes Washers</v>
          </cell>
          <cell r="E60" t="str">
            <v>CBSA 2014</v>
          </cell>
          <cell r="F60" t="str">
            <v>Some</v>
          </cell>
          <cell r="H60" t="str">
            <v>NR</v>
          </cell>
          <cell r="I60" t="str">
            <v>x</v>
          </cell>
        </row>
        <row r="61">
          <cell r="B61" t="str">
            <v>Water Using Devices</v>
          </cell>
          <cell r="C61" t="str">
            <v>DHW - Showerheads</v>
          </cell>
          <cell r="D61" t="str">
            <v>DHW - Showerheads</v>
          </cell>
          <cell r="E61" t="str">
            <v>2.5 GPM</v>
          </cell>
          <cell r="F61" t="str">
            <v>Some</v>
          </cell>
          <cell r="H61" t="str">
            <v>Retro</v>
          </cell>
          <cell r="I61" t="str">
            <v>x</v>
          </cell>
        </row>
        <row r="62">
          <cell r="B62" t="str">
            <v>Water Using Devices</v>
          </cell>
          <cell r="C62" t="str">
            <v>Water Heating - GFHX</v>
          </cell>
          <cell r="D62" t="str">
            <v>Water Heating - GFHX</v>
          </cell>
          <cell r="E62" t="str">
            <v>No Heat Recovery</v>
          </cell>
          <cell r="F62" t="str">
            <v>All</v>
          </cell>
          <cell r="H62" t="str">
            <v>New</v>
          </cell>
          <cell r="I62" t="str">
            <v>x</v>
          </cell>
        </row>
        <row r="63">
          <cell r="B63" t="str">
            <v>Water Using Devices</v>
          </cell>
          <cell r="C63" t="str">
            <v>Demand Control Circulating system DHW</v>
          </cell>
          <cell r="D63" t="str">
            <v>Demand Control Circulating system DHW</v>
          </cell>
          <cell r="E63" t="str">
            <v>CBSA 2014</v>
          </cell>
          <cell r="F63" t="str">
            <v>Some</v>
          </cell>
          <cell r="H63" t="str">
            <v>Retro</v>
          </cell>
          <cell r="I63" t="str">
            <v>x</v>
          </cell>
        </row>
        <row r="64">
          <cell r="B64" t="str">
            <v>Water Heaters</v>
          </cell>
          <cell r="C64" t="str">
            <v>Central HPWH MF</v>
          </cell>
          <cell r="D64" t="str">
            <v>Central HPWH MF</v>
          </cell>
          <cell r="E64" t="str">
            <v>CBSA 2014</v>
          </cell>
          <cell r="F64" t="str">
            <v>Multifamily</v>
          </cell>
          <cell r="H64" t="str">
            <v>Retro</v>
          </cell>
          <cell r="I64" t="str">
            <v>x</v>
          </cell>
        </row>
        <row r="65">
          <cell r="B65" t="str">
            <v>Whole Bldg/Meter Level System Improvements</v>
          </cell>
          <cell r="C65" t="str">
            <v>Integrated Building Design</v>
          </cell>
          <cell r="D65" t="str">
            <v>Integrated Building Design</v>
          </cell>
          <cell r="E65" t="str">
            <v>Code</v>
          </cell>
          <cell r="F65" t="str">
            <v>Some</v>
          </cell>
          <cell r="H65" t="str">
            <v>New</v>
          </cell>
          <cell r="I65">
            <v>0</v>
          </cell>
        </row>
      </sheetData>
      <sheetData sheetId="18">
        <row r="11">
          <cell r="B11" t="str">
            <v>Retail/Service</v>
          </cell>
          <cell r="C11">
            <v>0.17516537112508487</v>
          </cell>
          <cell r="D11">
            <v>0.8248346288749151</v>
          </cell>
          <cell r="E11">
            <v>1</v>
          </cell>
          <cell r="G11" t="str">
            <v>Retail/Service</v>
          </cell>
          <cell r="H11">
            <v>0.63140923348225164</v>
          </cell>
          <cell r="I11">
            <v>0.3685907665177483</v>
          </cell>
          <cell r="J11">
            <v>1</v>
          </cell>
          <cell r="L11">
            <v>0.11060103271472398</v>
          </cell>
          <cell r="M11">
            <v>0.8248346288749151</v>
          </cell>
          <cell r="N11">
            <v>6.4564338410360883E-2</v>
          </cell>
          <cell r="O11">
            <v>1</v>
          </cell>
        </row>
        <row r="12">
          <cell r="B12" t="str">
            <v>School K-12</v>
          </cell>
          <cell r="C12">
            <v>0.15222217778811709</v>
          </cell>
          <cell r="D12">
            <v>0.84777782221188291</v>
          </cell>
          <cell r="E12">
            <v>1</v>
          </cell>
          <cell r="G12" t="str">
            <v>School K-12</v>
          </cell>
          <cell r="H12">
            <v>0.38344835656863396</v>
          </cell>
          <cell r="I12">
            <v>0.61655164343136604</v>
          </cell>
          <cell r="J12">
            <v>1</v>
          </cell>
          <cell r="L12">
            <v>5.8369343906151915E-2</v>
          </cell>
          <cell r="M12">
            <v>0.84777782221188291</v>
          </cell>
          <cell r="N12">
            <v>9.3852833881965178E-2</v>
          </cell>
          <cell r="O12">
            <v>1</v>
          </cell>
        </row>
        <row r="13">
          <cell r="B13" t="str">
            <v>Warehouse</v>
          </cell>
          <cell r="C13">
            <v>1.2996176702745714E-2</v>
          </cell>
          <cell r="D13">
            <v>0.98700382329725422</v>
          </cell>
          <cell r="E13">
            <v>1</v>
          </cell>
          <cell r="G13" t="str">
            <v>Warehouse</v>
          </cell>
          <cell r="H13">
            <v>0.49190726224873216</v>
          </cell>
          <cell r="I13">
            <v>0.50809273775126784</v>
          </cell>
          <cell r="J13">
            <v>1</v>
          </cell>
          <cell r="L13">
            <v>6.3929137015483993E-3</v>
          </cell>
          <cell r="M13">
            <v>0.98700382329725422</v>
          </cell>
          <cell r="N13">
            <v>6.6032630011973147E-3</v>
          </cell>
          <cell r="O13">
            <v>0.99999999999999989</v>
          </cell>
        </row>
        <row r="14">
          <cell r="B14" t="str">
            <v>Grand Total</v>
          </cell>
          <cell r="C14">
            <v>0.31549365790667433</v>
          </cell>
          <cell r="D14">
            <v>0.68450634209332561</v>
          </cell>
          <cell r="E14">
            <v>1</v>
          </cell>
          <cell r="G14" t="str">
            <v>Grand Total</v>
          </cell>
          <cell r="H14">
            <v>0.51592151636315642</v>
          </cell>
          <cell r="I14">
            <v>0.48407848363684358</v>
          </cell>
          <cell r="J14">
            <v>1</v>
          </cell>
          <cell r="L14">
            <v>0.16276996639017036</v>
          </cell>
          <cell r="M14">
            <v>0.68450634209332561</v>
          </cell>
          <cell r="N14">
            <v>0.15272369151650397</v>
          </cell>
          <cell r="O14">
            <v>1</v>
          </cell>
        </row>
        <row r="16">
          <cell r="C16" t="str">
            <v>Office</v>
          </cell>
        </row>
        <row r="17">
          <cell r="C17" t="str">
            <v>Office</v>
          </cell>
          <cell r="D17" t="str">
            <v>Office</v>
          </cell>
          <cell r="E17" t="str">
            <v>Office</v>
          </cell>
          <cell r="F17" t="str">
            <v>Retail/Service</v>
          </cell>
          <cell r="G17" t="str">
            <v>Retail/Service</v>
          </cell>
          <cell r="H17" t="str">
            <v>Retail/Service</v>
          </cell>
          <cell r="I17" t="str">
            <v>Retail/Service</v>
          </cell>
          <cell r="J17" t="str">
            <v>School K-12</v>
          </cell>
          <cell r="K17" t="str">
            <v>University</v>
          </cell>
          <cell r="L17" t="str">
            <v>Warehouse</v>
          </cell>
          <cell r="M17" t="str">
            <v>Grocery</v>
          </cell>
          <cell r="N17" t="str">
            <v>Grocery</v>
          </cell>
          <cell r="O17" t="str">
            <v>Restaurant</v>
          </cell>
          <cell r="P17" t="str">
            <v>Lodging</v>
          </cell>
          <cell r="Q17" t="str">
            <v>Hospital</v>
          </cell>
          <cell r="R17" t="str">
            <v>Residential Care</v>
          </cell>
          <cell r="S17" t="str">
            <v>Assembly</v>
          </cell>
          <cell r="T17" t="str">
            <v>Other</v>
          </cell>
        </row>
        <row r="18">
          <cell r="C18" t="str">
            <v>Large Off</v>
          </cell>
          <cell r="D18" t="str">
            <v>Medium Off</v>
          </cell>
          <cell r="E18" t="str">
            <v>Small Off</v>
          </cell>
          <cell r="F18" t="str">
            <v>Xlarge Ret</v>
          </cell>
          <cell r="G18" t="str">
            <v>Large Ret</v>
          </cell>
          <cell r="H18" t="str">
            <v>Medium Ret</v>
          </cell>
          <cell r="I18" t="str">
            <v>Small Ret</v>
          </cell>
          <cell r="J18" t="str">
            <v>School K-12</v>
          </cell>
          <cell r="K18" t="str">
            <v>University</v>
          </cell>
          <cell r="L18" t="str">
            <v>Warehouse</v>
          </cell>
          <cell r="M18" t="str">
            <v>Supermarket</v>
          </cell>
          <cell r="N18" t="str">
            <v>MiniMart</v>
          </cell>
          <cell r="O18" t="str">
            <v>Restaurant</v>
          </cell>
          <cell r="P18" t="str">
            <v>Lodging</v>
          </cell>
          <cell r="Q18" t="str">
            <v>Hospital</v>
          </cell>
          <cell r="R18" t="str">
            <v>Residential Care</v>
          </cell>
          <cell r="S18" t="str">
            <v>Assembly</v>
          </cell>
          <cell r="T18" t="str">
            <v>Other</v>
          </cell>
        </row>
        <row r="19">
          <cell r="B19" t="str">
            <v>Electric</v>
          </cell>
          <cell r="C19">
            <v>0.20943280302167308</v>
          </cell>
          <cell r="D19">
            <v>0.22131165109110185</v>
          </cell>
          <cell r="E19">
            <v>0.30640942705415353</v>
          </cell>
          <cell r="F19">
            <v>5.2995881766435368E-2</v>
          </cell>
          <cell r="G19">
            <v>1.0593107738682607E-2</v>
          </cell>
          <cell r="H19">
            <v>0.12006240959495594</v>
          </cell>
          <cell r="I19">
            <v>0.2732917310450087</v>
          </cell>
          <cell r="J19">
            <v>5.8369343906151915E-2</v>
          </cell>
          <cell r="K19">
            <v>5.8369343906151915E-2</v>
          </cell>
          <cell r="L19">
            <v>6.3929137015483993E-3</v>
          </cell>
          <cell r="M19">
            <v>3.9182634298973458E-2</v>
          </cell>
          <cell r="N19">
            <v>9.8940421863423066E-3</v>
          </cell>
          <cell r="O19">
            <v>3.0050555941853869E-2</v>
          </cell>
          <cell r="P19">
            <v>0.44679184687802564</v>
          </cell>
          <cell r="Q19">
            <v>0.33985691133471541</v>
          </cell>
          <cell r="R19">
            <v>0.33985691133471541</v>
          </cell>
          <cell r="S19">
            <v>0.10640191237323121</v>
          </cell>
          <cell r="T19">
            <v>0.16939513747697868</v>
          </cell>
        </row>
        <row r="20">
          <cell r="B20" t="str">
            <v>Gas</v>
          </cell>
          <cell r="C20">
            <v>0.54037060186620078</v>
          </cell>
          <cell r="D20">
            <v>0.51430081857580845</v>
          </cell>
          <cell r="E20">
            <v>0.3275419203320854</v>
          </cell>
          <cell r="F20">
            <v>0.91606730000738101</v>
          </cell>
          <cell r="G20">
            <v>0.98322307122393326</v>
          </cell>
          <cell r="H20">
            <v>0.80985008893074606</v>
          </cell>
          <cell r="I20">
            <v>0.56717178566142912</v>
          </cell>
          <cell r="J20">
            <v>0.84777782221188291</v>
          </cell>
          <cell r="K20">
            <v>0.84777782221188291</v>
          </cell>
          <cell r="L20">
            <v>0.98700382329725422</v>
          </cell>
          <cell r="M20">
            <v>0.46957192737561176</v>
          </cell>
          <cell r="N20">
            <v>0.86606113087441317</v>
          </cell>
          <cell r="O20">
            <v>0.79365284945968273</v>
          </cell>
          <cell r="P20">
            <v>0.24941748529786834</v>
          </cell>
          <cell r="Q20">
            <v>0.40556621261939335</v>
          </cell>
          <cell r="R20">
            <v>0.40556621261939335</v>
          </cell>
          <cell r="S20">
            <v>0.77815390025512432</v>
          </cell>
          <cell r="T20">
            <v>0.7257160432726234</v>
          </cell>
        </row>
        <row r="21">
          <cell r="B21" t="str">
            <v>HP</v>
          </cell>
          <cell r="C21">
            <v>0.25019659511212627</v>
          </cell>
          <cell r="D21">
            <v>0.26438753033308959</v>
          </cell>
          <cell r="E21">
            <v>0.36604865261376096</v>
          </cell>
          <cell r="F21">
            <v>3.0936818226183656E-2</v>
          </cell>
          <cell r="G21">
            <v>6.1838210373840949E-3</v>
          </cell>
          <cell r="H21">
            <v>7.0087501474297986E-2</v>
          </cell>
          <cell r="I21">
            <v>0.15953648329356207</v>
          </cell>
          <cell r="J21">
            <v>9.3852833881965178E-2</v>
          </cell>
          <cell r="K21">
            <v>9.3852833881965178E-2</v>
          </cell>
          <cell r="L21">
            <v>6.6032630011973147E-3</v>
          </cell>
          <cell r="M21">
            <v>6.234756715808213E-2</v>
          </cell>
          <cell r="N21">
            <v>1.5743440192688529E-2</v>
          </cell>
          <cell r="O21">
            <v>0.17629659459846331</v>
          </cell>
          <cell r="P21">
            <v>0.30379066782410608</v>
          </cell>
          <cell r="Q21">
            <v>0.25457687604589124</v>
          </cell>
          <cell r="R21">
            <v>0.25457687604589124</v>
          </cell>
          <cell r="S21">
            <v>0.11544418737164447</v>
          </cell>
          <cell r="T21">
            <v>0.104888819250398</v>
          </cell>
        </row>
        <row r="22">
          <cell r="B22" t="str">
            <v>Built-up share - for Com_Master -CHAR</v>
          </cell>
        </row>
        <row r="24">
          <cell r="B24" t="str">
            <v>Multizone Systems Only</v>
          </cell>
          <cell r="C24" t="str">
            <v>Everything But SZ ducted systems</v>
          </cell>
          <cell r="G24" t="str">
            <v>Custom work in this table</v>
          </cell>
          <cell r="K24" t="str">
            <v>Electric</v>
          </cell>
          <cell r="L24" t="str">
            <v>Gas</v>
          </cell>
          <cell r="M24" t="str">
            <v>HP</v>
          </cell>
          <cell r="N24" t="str">
            <v>Total</v>
          </cell>
          <cell r="P24" t="str">
            <v>Everything But SZ Ducted</v>
          </cell>
          <cell r="Q24" t="str">
            <v>MZ Only</v>
          </cell>
        </row>
        <row r="25">
          <cell r="B25">
            <v>0.13911514778937467</v>
          </cell>
          <cell r="C25">
            <v>0.27379566641599334</v>
          </cell>
          <cell r="G25" t="str">
            <v>Not all formulas are the same</v>
          </cell>
          <cell r="I25" t="str">
            <v>Large Off</v>
          </cell>
          <cell r="J25" t="str">
            <v>&gt;50,000</v>
          </cell>
          <cell r="K25">
            <v>0.20943280302167308</v>
          </cell>
          <cell r="L25">
            <v>0.54037060186620078</v>
          </cell>
          <cell r="M25">
            <v>0.25019659511212627</v>
          </cell>
          <cell r="N25">
            <v>1.0000000000000002</v>
          </cell>
          <cell r="P25">
            <v>0.72977881629252517</v>
          </cell>
        </row>
        <row r="26">
          <cell r="B26">
            <v>0</v>
          </cell>
          <cell r="C26">
            <v>0.20656505403266429</v>
          </cell>
          <cell r="G26" t="str">
            <v>Pulling from different parts of this worksheet</v>
          </cell>
          <cell r="I26" t="str">
            <v>Medium Off</v>
          </cell>
          <cell r="J26" t="str">
            <v>5,000 to 50,000</v>
          </cell>
          <cell r="K26">
            <v>0.22131165109110185</v>
          </cell>
          <cell r="L26">
            <v>0.51430081857580845</v>
          </cell>
          <cell r="M26">
            <v>0.26438753033308959</v>
          </cell>
          <cell r="N26">
            <v>0.99999999999999989</v>
          </cell>
          <cell r="P26">
            <v>0.46635610541382266</v>
          </cell>
        </row>
        <row r="27">
          <cell r="B27">
            <v>0.53</v>
          </cell>
          <cell r="C27">
            <v>0.53</v>
          </cell>
          <cell r="I27" t="str">
            <v>Small Off</v>
          </cell>
          <cell r="J27" t="str">
            <v>&lt;5,000</v>
          </cell>
          <cell r="K27">
            <v>0.30640942705415353</v>
          </cell>
          <cell r="L27">
            <v>0.3275419203320854</v>
          </cell>
          <cell r="M27">
            <v>0.36604865261376096</v>
          </cell>
          <cell r="N27">
            <v>0.99999999999999989</v>
          </cell>
          <cell r="P27">
            <v>0.18010901567330029</v>
          </cell>
        </row>
        <row r="28">
          <cell r="B28">
            <v>5.6924185465057203E-2</v>
          </cell>
          <cell r="C28">
            <v>0.68482020855141457</v>
          </cell>
          <cell r="I28" t="str">
            <v>Xlarge Ret</v>
          </cell>
          <cell r="J28" t="str">
            <v>&gt;100,000</v>
          </cell>
          <cell r="K28">
            <v>5.2995881766435368E-2</v>
          </cell>
          <cell r="L28">
            <v>0.91606730000738101</v>
          </cell>
          <cell r="M28">
            <v>3.0936818226183656E-2</v>
          </cell>
          <cell r="N28">
            <v>1</v>
          </cell>
          <cell r="P28">
            <v>0.2530928144049488</v>
          </cell>
        </row>
        <row r="29">
          <cell r="B29">
            <v>0.25506362599984067</v>
          </cell>
          <cell r="C29">
            <v>0.37830047353246543</v>
          </cell>
          <cell r="I29" t="str">
            <v>Large Ret</v>
          </cell>
          <cell r="J29" t="str">
            <v>50,000 - 100,000</v>
          </cell>
          <cell r="K29">
            <v>1.0593107738682607E-2</v>
          </cell>
          <cell r="L29">
            <v>0.98322307122393326</v>
          </cell>
          <cell r="M29">
            <v>6.1838210373840949E-3</v>
          </cell>
          <cell r="N29">
            <v>1</v>
          </cell>
          <cell r="P29">
            <v>0.2530928144049488</v>
          </cell>
        </row>
        <row r="30">
          <cell r="B30">
            <v>0.16716328428783481</v>
          </cell>
          <cell r="C30">
            <v>0.46120223430256424</v>
          </cell>
          <cell r="I30" t="str">
            <v>Medium Ret</v>
          </cell>
          <cell r="J30" t="str">
            <v>5000 - 50,000</v>
          </cell>
          <cell r="K30">
            <v>0.12006240959495594</v>
          </cell>
          <cell r="L30">
            <v>0.80985008893074606</v>
          </cell>
          <cell r="M30">
            <v>7.0087501474297986E-2</v>
          </cell>
          <cell r="N30">
            <v>1</v>
          </cell>
          <cell r="P30">
            <v>0.2530928144049488</v>
          </cell>
        </row>
        <row r="31">
          <cell r="B31">
            <v>2.8348285792584815E-2</v>
          </cell>
          <cell r="C31">
            <v>0.52265270042747103</v>
          </cell>
          <cell r="I31" t="str">
            <v>Small Ret</v>
          </cell>
          <cell r="J31" t="str">
            <v>&lt;5000</v>
          </cell>
          <cell r="K31">
            <v>0.2732917310450087</v>
          </cell>
          <cell r="L31">
            <v>0.56717178566142912</v>
          </cell>
          <cell r="M31">
            <v>0.15953648329356207</v>
          </cell>
          <cell r="N31">
            <v>0.99999999999999989</v>
          </cell>
          <cell r="P31">
            <v>0.2530928144049488</v>
          </cell>
        </row>
        <row r="32">
          <cell r="B32">
            <v>0</v>
          </cell>
          <cell r="C32">
            <v>5.8610362131589246E-2</v>
          </cell>
          <cell r="I32" t="str">
            <v>School K-12</v>
          </cell>
          <cell r="J32" t="str">
            <v>Any</v>
          </cell>
          <cell r="K32">
            <v>5.8369343906151915E-2</v>
          </cell>
          <cell r="L32">
            <v>0.84777782221188291</v>
          </cell>
          <cell r="M32">
            <v>9.3852833881965178E-2</v>
          </cell>
          <cell r="N32">
            <v>1</v>
          </cell>
          <cell r="P32">
            <v>0.45489304544728093</v>
          </cell>
        </row>
        <row r="33">
          <cell r="B33">
            <v>1.9041724473909054E-2</v>
          </cell>
          <cell r="C33">
            <v>0.2530928144049488</v>
          </cell>
          <cell r="I33" t="str">
            <v>University</v>
          </cell>
          <cell r="J33" t="str">
            <v>Any</v>
          </cell>
          <cell r="K33">
            <v>5.8369343906151915E-2</v>
          </cell>
          <cell r="L33">
            <v>0.84777782221188291</v>
          </cell>
          <cell r="M33">
            <v>9.3852833881965178E-2</v>
          </cell>
          <cell r="N33">
            <v>1</v>
          </cell>
          <cell r="P33">
            <v>0.45489304544728093</v>
          </cell>
        </row>
        <row r="34">
          <cell r="B34">
            <v>0.21392277044122734</v>
          </cell>
          <cell r="C34">
            <v>0.45489304544728093</v>
          </cell>
          <cell r="I34" t="str">
            <v>Warehouse</v>
          </cell>
          <cell r="J34" t="str">
            <v>Any</v>
          </cell>
          <cell r="K34">
            <v>6.3929137015483993E-3</v>
          </cell>
          <cell r="L34">
            <v>0.98700382329725422</v>
          </cell>
          <cell r="M34">
            <v>6.6032630011973147E-3</v>
          </cell>
          <cell r="N34">
            <v>0.99999999999999989</v>
          </cell>
          <cell r="P34">
            <v>0.68364721407456519</v>
          </cell>
        </row>
        <row r="35">
          <cell r="B35">
            <v>0.72</v>
          </cell>
          <cell r="C35">
            <v>0.72</v>
          </cell>
          <cell r="I35" t="str">
            <v>Supermarket</v>
          </cell>
          <cell r="J35" t="str">
            <v>&gt; 5000</v>
          </cell>
          <cell r="K35">
            <v>3.9182634298973458E-2</v>
          </cell>
          <cell r="L35">
            <v>0.46957192737561176</v>
          </cell>
          <cell r="M35">
            <v>6.234756715808213E-2</v>
          </cell>
          <cell r="N35">
            <v>0.57110212883266731</v>
          </cell>
          <cell r="P35">
            <v>0.20656505403266429</v>
          </cell>
        </row>
        <row r="36">
          <cell r="B36">
            <v>0</v>
          </cell>
          <cell r="C36">
            <v>0.68364721407456519</v>
          </cell>
          <cell r="I36" t="str">
            <v>MiniMart</v>
          </cell>
          <cell r="J36" t="str">
            <v>&lt; 5000</v>
          </cell>
          <cell r="K36">
            <v>9.8940421863423066E-3</v>
          </cell>
          <cell r="L36">
            <v>0.86606113087441317</v>
          </cell>
          <cell r="M36">
            <v>1.5743440192688529E-2</v>
          </cell>
          <cell r="N36">
            <v>0.89169861325344391</v>
          </cell>
          <cell r="P36">
            <v>0.20656505403266429</v>
          </cell>
        </row>
        <row r="37">
          <cell r="I37" t="str">
            <v>Restaurant</v>
          </cell>
          <cell r="J37" t="str">
            <v>Any</v>
          </cell>
          <cell r="K37">
            <v>3.0050555941853869E-2</v>
          </cell>
          <cell r="L37">
            <v>0.79365284945968273</v>
          </cell>
          <cell r="M37">
            <v>0.17629659459846331</v>
          </cell>
          <cell r="N37">
            <v>1</v>
          </cell>
          <cell r="P37">
            <v>5.8610362131589246E-2</v>
          </cell>
        </row>
        <row r="38">
          <cell r="I38" t="str">
            <v>Lodging</v>
          </cell>
          <cell r="J38" t="str">
            <v>Any</v>
          </cell>
          <cell r="K38">
            <v>0.44679184687802564</v>
          </cell>
          <cell r="L38">
            <v>0.24941748529786834</v>
          </cell>
          <cell r="M38">
            <v>0.30379066782410608</v>
          </cell>
          <cell r="N38">
            <v>1</v>
          </cell>
          <cell r="P38">
            <v>0.68482020855141457</v>
          </cell>
        </row>
        <row r="39">
          <cell r="I39" t="str">
            <v>Hospital</v>
          </cell>
          <cell r="J39" t="str">
            <v>Any</v>
          </cell>
          <cell r="K39">
            <v>0.33985691133471541</v>
          </cell>
          <cell r="L39">
            <v>0.40556621261939335</v>
          </cell>
          <cell r="M39">
            <v>0.25457687604589124</v>
          </cell>
          <cell r="N39">
            <v>1</v>
          </cell>
          <cell r="P39">
            <v>0.53</v>
          </cell>
        </row>
        <row r="40">
          <cell r="I40" t="str">
            <v>Residential Care</v>
          </cell>
          <cell r="J40" t="str">
            <v>Any</v>
          </cell>
          <cell r="K40">
            <v>0.33985691133471541</v>
          </cell>
          <cell r="L40">
            <v>0.40556621261939335</v>
          </cell>
          <cell r="M40">
            <v>0.25457687604589124</v>
          </cell>
          <cell r="N40">
            <v>1</v>
          </cell>
          <cell r="P40">
            <v>0.53</v>
          </cell>
        </row>
        <row r="41">
          <cell r="I41" t="str">
            <v>Assembly</v>
          </cell>
          <cell r="J41" t="str">
            <v>Any</v>
          </cell>
          <cell r="K41">
            <v>0.10640191237323121</v>
          </cell>
          <cell r="L41">
            <v>0.77815390025512432</v>
          </cell>
          <cell r="M41">
            <v>0.11544418737164447</v>
          </cell>
          <cell r="N41">
            <v>1</v>
          </cell>
          <cell r="P41">
            <v>0.27379566641599334</v>
          </cell>
        </row>
        <row r="42">
          <cell r="I42" t="str">
            <v>Other</v>
          </cell>
          <cell r="J42" t="str">
            <v>Any</v>
          </cell>
          <cell r="K42">
            <v>0.16939513747697868</v>
          </cell>
          <cell r="L42">
            <v>0.7257160432726234</v>
          </cell>
          <cell r="M42">
            <v>0.104888819250398</v>
          </cell>
          <cell r="N42">
            <v>1</v>
          </cell>
          <cell r="P42">
            <v>0.46120223430256424</v>
          </cell>
        </row>
        <row r="45">
          <cell r="B45" t="str">
            <v>Site_ID</v>
          </cell>
          <cell r="C45" t="str">
            <v>(All)</v>
          </cell>
        </row>
        <row r="46">
          <cell r="B46" t="str">
            <v>Fan_Ctr</v>
          </cell>
          <cell r="C46" t="str">
            <v>(All)</v>
          </cell>
        </row>
        <row r="47">
          <cell r="B47" t="str">
            <v>DistSys</v>
          </cell>
          <cell r="C47" t="str">
            <v>(All)</v>
          </cell>
        </row>
        <row r="48">
          <cell r="B48" t="str">
            <v>Equip_Type</v>
          </cell>
          <cell r="C48" t="str">
            <v>(All)</v>
          </cell>
        </row>
        <row r="49">
          <cell r="B49" t="str">
            <v>DistSys_Detail</v>
          </cell>
          <cell r="C49" t="str">
            <v>(All)</v>
          </cell>
        </row>
        <row r="51">
          <cell r="B51" t="str">
            <v>Sum of Heat_Frac_Sf_PNW_Heated</v>
          </cell>
          <cell r="D51" t="str">
            <v>Column Labels</v>
          </cell>
        </row>
        <row r="52">
          <cell r="B52" t="str">
            <v>Row Labels</v>
          </cell>
          <cell r="C52" t="str">
            <v>Size_Group</v>
          </cell>
          <cell r="D52" t="str">
            <v>Electricity</v>
          </cell>
          <cell r="E52" t="str">
            <v>Natural Gas</v>
          </cell>
          <cell r="F52" t="str">
            <v>Grand Total</v>
          </cell>
          <cell r="G52" t="str">
            <v>SF</v>
          </cell>
        </row>
        <row r="53">
          <cell r="B53" t="str">
            <v>Assembly</v>
          </cell>
          <cell r="C53" t="str">
            <v>&lt;5,001</v>
          </cell>
          <cell r="D53">
            <v>0.28968678369813988</v>
          </cell>
          <cell r="E53">
            <v>0.71031321630186006</v>
          </cell>
          <cell r="F53">
            <v>1</v>
          </cell>
          <cell r="G53">
            <v>10791889.418072201</v>
          </cell>
        </row>
        <row r="54">
          <cell r="C54" t="str">
            <v>100,001+</v>
          </cell>
          <cell r="D54">
            <v>0.18435982906228074</v>
          </cell>
          <cell r="E54">
            <v>0.81564017093771923</v>
          </cell>
          <cell r="F54">
            <v>1</v>
          </cell>
          <cell r="G54">
            <v>47585686.482744053</v>
          </cell>
        </row>
        <row r="55">
          <cell r="C55" t="str">
            <v>20,001-50,000</v>
          </cell>
          <cell r="D55">
            <v>0.20157557375693722</v>
          </cell>
          <cell r="E55">
            <v>0.79842442624306276</v>
          </cell>
          <cell r="F55">
            <v>1</v>
          </cell>
          <cell r="G55">
            <v>75093057.6555399</v>
          </cell>
        </row>
        <row r="56">
          <cell r="C56" t="str">
            <v>5,001-20,000</v>
          </cell>
          <cell r="D56">
            <v>0.28320940685422302</v>
          </cell>
          <cell r="E56">
            <v>0.71679059314577698</v>
          </cell>
          <cell r="F56">
            <v>1</v>
          </cell>
          <cell r="G56">
            <v>133312634.77726388</v>
          </cell>
        </row>
        <row r="57">
          <cell r="C57" t="str">
            <v>50,001-100,000</v>
          </cell>
          <cell r="D57">
            <v>0.12313805305365039</v>
          </cell>
          <cell r="E57">
            <v>0.87686194694634967</v>
          </cell>
          <cell r="F57">
            <v>1</v>
          </cell>
          <cell r="G57">
            <v>56800309.557055436</v>
          </cell>
          <cell r="O57" t="str">
            <v>Electric</v>
          </cell>
          <cell r="P57" t="str">
            <v>Gas</v>
          </cell>
        </row>
        <row r="58">
          <cell r="B58" t="str">
            <v>Grocery</v>
          </cell>
          <cell r="C58" t="str">
            <v>&lt;5,001</v>
          </cell>
          <cell r="D58">
            <v>0.53042807262438818</v>
          </cell>
          <cell r="E58">
            <v>0.46957192737561176</v>
          </cell>
          <cell r="F58">
            <v>1</v>
          </cell>
          <cell r="G58">
            <v>9815889.4471183456</v>
          </cell>
          <cell r="I58" t="str">
            <v>&lt;5,001</v>
          </cell>
          <cell r="J58">
            <v>0.53042807262438818</v>
          </cell>
          <cell r="K58">
            <v>0.46957192737561176</v>
          </cell>
          <cell r="L58">
            <v>1</v>
          </cell>
          <cell r="M58">
            <v>9815889.4471183456</v>
          </cell>
          <cell r="N58" t="str">
            <v>&gt; 5000</v>
          </cell>
          <cell r="O58">
            <v>0.53042807262438818</v>
          </cell>
          <cell r="P58">
            <v>0.46957192737561176</v>
          </cell>
        </row>
        <row r="59">
          <cell r="C59" t="str">
            <v>20,001-50,000</v>
          </cell>
          <cell r="D59">
            <v>3.5142286878275322E-2</v>
          </cell>
          <cell r="E59">
            <v>0.96485771312172464</v>
          </cell>
          <cell r="F59">
            <v>1</v>
          </cell>
          <cell r="G59">
            <v>23241500.137925949</v>
          </cell>
          <cell r="I59" t="str">
            <v>20,001-50,000</v>
          </cell>
          <cell r="J59">
            <v>3.5142286878275322E-2</v>
          </cell>
          <cell r="K59">
            <v>0.96485771312172464</v>
          </cell>
          <cell r="L59">
            <v>1</v>
          </cell>
          <cell r="M59">
            <v>23241500.137925949</v>
          </cell>
          <cell r="N59" t="str">
            <v>&lt; 5000</v>
          </cell>
          <cell r="O59">
            <v>0.13393886912558689</v>
          </cell>
          <cell r="P59">
            <v>0.86606113087441317</v>
          </cell>
        </row>
        <row r="60">
          <cell r="C60" t="str">
            <v>5,001-20,000</v>
          </cell>
          <cell r="D60">
            <v>0.24107220109261876</v>
          </cell>
          <cell r="E60">
            <v>0.75892779890738127</v>
          </cell>
          <cell r="F60">
            <v>1</v>
          </cell>
          <cell r="G60">
            <v>16084444.905748043</v>
          </cell>
          <cell r="I60" t="str">
            <v>5,001-20,000</v>
          </cell>
          <cell r="J60">
            <v>0.24107220109261876</v>
          </cell>
          <cell r="K60">
            <v>0.75892779890738127</v>
          </cell>
          <cell r="L60">
            <v>1</v>
          </cell>
          <cell r="M60">
            <v>16084444.905748043</v>
          </cell>
        </row>
        <row r="61">
          <cell r="C61" t="str">
            <v>50,001-100,000</v>
          </cell>
          <cell r="D61">
            <v>0.16478658283274414</v>
          </cell>
          <cell r="E61">
            <v>0.83521341716725583</v>
          </cell>
          <cell r="F61">
            <v>1</v>
          </cell>
          <cell r="G61">
            <v>18575140.114893399</v>
          </cell>
          <cell r="I61" t="str">
            <v>50,001-100,000</v>
          </cell>
          <cell r="J61">
            <v>0.16478658283274414</v>
          </cell>
          <cell r="K61">
            <v>0.83521341716725583</v>
          </cell>
          <cell r="L61">
            <v>1</v>
          </cell>
          <cell r="M61">
            <v>18575140.114893399</v>
          </cell>
        </row>
        <row r="62">
          <cell r="B62" t="str">
            <v>Lodging</v>
          </cell>
          <cell r="C62" t="str">
            <v>&lt;5,001</v>
          </cell>
          <cell r="D62">
            <v>1</v>
          </cell>
          <cell r="E62">
            <v>0</v>
          </cell>
          <cell r="F62">
            <v>1</v>
          </cell>
          <cell r="G62">
            <v>771154.95824772085</v>
          </cell>
        </row>
        <row r="63">
          <cell r="C63" t="str">
            <v>100,001+</v>
          </cell>
          <cell r="D63">
            <v>0.66932609944359711</v>
          </cell>
          <cell r="E63">
            <v>0.33067390055640283</v>
          </cell>
          <cell r="F63">
            <v>1</v>
          </cell>
          <cell r="G63">
            <v>37478802.645819291</v>
          </cell>
        </row>
        <row r="64">
          <cell r="C64" t="str">
            <v>20,001-50,000</v>
          </cell>
          <cell r="D64">
            <v>0.80938461207249257</v>
          </cell>
          <cell r="E64">
            <v>0.19061538792750743</v>
          </cell>
          <cell r="F64">
            <v>1</v>
          </cell>
          <cell r="G64">
            <v>44511439.869276322</v>
          </cell>
        </row>
        <row r="65">
          <cell r="C65" t="str">
            <v>5,001-20,000</v>
          </cell>
          <cell r="D65">
            <v>0.708233600439651</v>
          </cell>
          <cell r="E65">
            <v>0.29176639956034905</v>
          </cell>
          <cell r="F65">
            <v>1</v>
          </cell>
          <cell r="G65">
            <v>8867151.9690522291</v>
          </cell>
        </row>
        <row r="66">
          <cell r="C66" t="str">
            <v>50,001-100,000</v>
          </cell>
          <cell r="D66">
            <v>0.75967537196550394</v>
          </cell>
          <cell r="E66">
            <v>0.24032462803449609</v>
          </cell>
          <cell r="F66">
            <v>1</v>
          </cell>
          <cell r="G66">
            <v>67217799.666102752</v>
          </cell>
          <cell r="O66" t="str">
            <v>Electric</v>
          </cell>
          <cell r="P66" t="str">
            <v>Gas</v>
          </cell>
          <cell r="T66" t="str">
            <v>SZ Ducted</v>
          </cell>
          <cell r="V66" t="str">
            <v>SZ Ducted</v>
          </cell>
          <cell r="W66" t="str">
            <v>Everything but</v>
          </cell>
          <cell r="Y66" t="str">
            <v>Multizone systems</v>
          </cell>
        </row>
        <row r="67">
          <cell r="B67" t="str">
            <v>Office</v>
          </cell>
          <cell r="C67" t="str">
            <v>&lt;5,001</v>
          </cell>
          <cell r="D67">
            <v>0.67245807966791449</v>
          </cell>
          <cell r="E67">
            <v>0.3275419203320854</v>
          </cell>
          <cell r="F67">
            <v>1</v>
          </cell>
          <cell r="G67">
            <v>88922415.770519257</v>
          </cell>
          <cell r="I67" t="str">
            <v>100,001+</v>
          </cell>
          <cell r="J67">
            <v>0.56343603427674449</v>
          </cell>
          <cell r="K67">
            <v>0.43656396572325545</v>
          </cell>
          <cell r="L67">
            <v>1</v>
          </cell>
          <cell r="M67">
            <v>161400968.09734377</v>
          </cell>
          <cell r="N67" t="str">
            <v>&gt;50,000</v>
          </cell>
          <cell r="O67">
            <v>0.45962939813379933</v>
          </cell>
          <cell r="P67">
            <v>0.54037060186620078</v>
          </cell>
          <cell r="S67" t="str">
            <v>100,001+</v>
          </cell>
          <cell r="T67">
            <v>0.20317755500773604</v>
          </cell>
          <cell r="U67" t="str">
            <v>&gt;50,000</v>
          </cell>
          <cell r="V67">
            <v>0.27022118370747483</v>
          </cell>
          <cell r="W67">
            <v>0.72977881629252517</v>
          </cell>
          <cell r="Y67" t="str">
            <v>&lt;5,001</v>
          </cell>
        </row>
        <row r="68">
          <cell r="C68" t="str">
            <v>100,001+</v>
          </cell>
          <cell r="D68">
            <v>0.56343603427674449</v>
          </cell>
          <cell r="E68">
            <v>0.43656396572325545</v>
          </cell>
          <cell r="F68">
            <v>1</v>
          </cell>
          <cell r="G68">
            <v>161400968.09734377</v>
          </cell>
          <cell r="I68" t="str">
            <v>50,001-100,000</v>
          </cell>
          <cell r="J68">
            <v>0.25807624626210907</v>
          </cell>
          <cell r="K68">
            <v>0.74192375373789099</v>
          </cell>
          <cell r="L68">
            <v>1</v>
          </cell>
          <cell r="M68">
            <v>83126914.229880497</v>
          </cell>
          <cell r="N68" t="str">
            <v>5,000 to 50,000</v>
          </cell>
          <cell r="O68">
            <v>0.48569918142419144</v>
          </cell>
          <cell r="P68">
            <v>0.51430081857580845</v>
          </cell>
          <cell r="S68" t="str">
            <v>50,001-100,000</v>
          </cell>
          <cell r="T68">
            <v>0.40039450575540259</v>
          </cell>
          <cell r="U68" t="str">
            <v>5,000 to 50,000</v>
          </cell>
          <cell r="V68">
            <v>0.53364389458617734</v>
          </cell>
          <cell r="W68">
            <v>0.46635610541382266</v>
          </cell>
          <cell r="Y68" t="str">
            <v>100,001+</v>
          </cell>
        </row>
        <row r="69">
          <cell r="C69" t="str">
            <v>20,001-50,000</v>
          </cell>
          <cell r="D69">
            <v>0.34614420585949485</v>
          </cell>
          <cell r="E69">
            <v>0.6538557941405051</v>
          </cell>
          <cell r="F69">
            <v>1</v>
          </cell>
          <cell r="G69">
            <v>121088778.65134136</v>
          </cell>
          <cell r="I69" t="str">
            <v>20,001-50,000</v>
          </cell>
          <cell r="J69">
            <v>0.34614420585949485</v>
          </cell>
          <cell r="K69">
            <v>0.6538557941405051</v>
          </cell>
          <cell r="L69">
            <v>1</v>
          </cell>
          <cell r="M69">
            <v>121088778.65134136</v>
          </cell>
          <cell r="N69" t="str">
            <v>&lt;5,000</v>
          </cell>
          <cell r="O69">
            <v>0.67245807966791449</v>
          </cell>
          <cell r="P69">
            <v>0.3275419203320854</v>
          </cell>
          <cell r="S69" t="str">
            <v>20,001-50,000</v>
          </cell>
          <cell r="T69">
            <v>0.79236371541570771</v>
          </cell>
          <cell r="U69" t="str">
            <v>&lt;5,000</v>
          </cell>
          <cell r="V69">
            <v>0.81989098432669971</v>
          </cell>
          <cell r="W69">
            <v>0.18010901567330029</v>
          </cell>
          <cell r="Y69" t="str">
            <v>20,001-50,000</v>
          </cell>
        </row>
        <row r="70">
          <cell r="C70" t="str">
            <v>5,001-20,000</v>
          </cell>
          <cell r="D70">
            <v>0.59535158312648861</v>
          </cell>
          <cell r="E70">
            <v>0.40464841687351133</v>
          </cell>
          <cell r="F70">
            <v>1</v>
          </cell>
          <cell r="G70">
            <v>154110090.46318847</v>
          </cell>
          <cell r="I70" t="str">
            <v>5,001-20,000</v>
          </cell>
          <cell r="J70">
            <v>0.59535158312648861</v>
          </cell>
          <cell r="K70">
            <v>0.40464841687351133</v>
          </cell>
          <cell r="L70">
            <v>1</v>
          </cell>
          <cell r="M70">
            <v>154110090.46318847</v>
          </cell>
          <cell r="S70" t="str">
            <v>5,001-20,000</v>
          </cell>
          <cell r="T70">
            <v>0.87333850962546711</v>
          </cell>
          <cell r="Y70" t="str">
            <v>5,001-20,000</v>
          </cell>
        </row>
        <row r="71">
          <cell r="C71" t="str">
            <v>50,001-100,000</v>
          </cell>
          <cell r="D71">
            <v>0.25807624626210907</v>
          </cell>
          <cell r="E71">
            <v>0.74192375373789099</v>
          </cell>
          <cell r="F71">
            <v>1</v>
          </cell>
          <cell r="G71">
            <v>83126914.229880497</v>
          </cell>
          <cell r="I71" t="str">
            <v>&lt;5,001</v>
          </cell>
          <cell r="J71">
            <v>0.67245807966791449</v>
          </cell>
          <cell r="K71">
            <v>0.3275419203320854</v>
          </cell>
          <cell r="L71">
            <v>1</v>
          </cell>
          <cell r="M71">
            <v>88922415.770519257</v>
          </cell>
          <cell r="S71" t="str">
            <v>&lt;5,001</v>
          </cell>
          <cell r="T71">
            <v>0.86743113566731078</v>
          </cell>
          <cell r="Y71" t="str">
            <v>50,001-100,000</v>
          </cell>
        </row>
        <row r="72">
          <cell r="B72" t="str">
            <v>Other</v>
          </cell>
          <cell r="C72" t="str">
            <v>&lt;5,001</v>
          </cell>
          <cell r="D72">
            <v>0.36963108384061777</v>
          </cell>
          <cell r="E72">
            <v>0.63036891615938218</v>
          </cell>
          <cell r="F72">
            <v>1</v>
          </cell>
          <cell r="G72">
            <v>11401400.474691771</v>
          </cell>
        </row>
        <row r="73">
          <cell r="C73" t="str">
            <v>100,001+</v>
          </cell>
          <cell r="D73">
            <v>0.11927323464793231</v>
          </cell>
          <cell r="E73">
            <v>0.88072676535206773</v>
          </cell>
          <cell r="F73">
            <v>1</v>
          </cell>
          <cell r="G73">
            <v>60024943.803527087</v>
          </cell>
        </row>
        <row r="74">
          <cell r="C74" t="str">
            <v>20,001-50,000</v>
          </cell>
          <cell r="D74">
            <v>0.28972859528015749</v>
          </cell>
          <cell r="E74">
            <v>0.71027140471984251</v>
          </cell>
          <cell r="F74">
            <v>1</v>
          </cell>
          <cell r="G74">
            <v>67056749.230095625</v>
          </cell>
        </row>
        <row r="75">
          <cell r="C75" t="str">
            <v>5,001-20,000</v>
          </cell>
          <cell r="D75">
            <v>0.19665327325738066</v>
          </cell>
          <cell r="E75">
            <v>0.80334672674261942</v>
          </cell>
          <cell r="F75">
            <v>1</v>
          </cell>
          <cell r="G75">
            <v>90016986.964126915</v>
          </cell>
        </row>
        <row r="76">
          <cell r="C76" t="str">
            <v>50,001-100,000</v>
          </cell>
          <cell r="D76">
            <v>0.58009651662613548</v>
          </cell>
          <cell r="E76">
            <v>0.41990348337386446</v>
          </cell>
          <cell r="F76">
            <v>1</v>
          </cell>
          <cell r="G76">
            <v>46335023.23670388</v>
          </cell>
        </row>
        <row r="77">
          <cell r="B77" t="str">
            <v>Residential Care</v>
          </cell>
          <cell r="C77" t="str">
            <v>&lt;5,001</v>
          </cell>
          <cell r="D77">
            <v>1.3677517552166963E-2</v>
          </cell>
          <cell r="E77">
            <v>0.98632248244783316</v>
          </cell>
          <cell r="F77">
            <v>1</v>
          </cell>
          <cell r="G77">
            <v>617607.67825962591</v>
          </cell>
        </row>
        <row r="78">
          <cell r="C78" t="str">
            <v>100,001+</v>
          </cell>
          <cell r="D78">
            <v>0.65208373998713842</v>
          </cell>
          <cell r="E78">
            <v>0.34791626001286152</v>
          </cell>
          <cell r="F78">
            <v>1</v>
          </cell>
          <cell r="G78">
            <v>29481393.869044412</v>
          </cell>
        </row>
        <row r="79">
          <cell r="C79" t="str">
            <v>20,001-50,000</v>
          </cell>
          <cell r="D79">
            <v>0.58940370199270897</v>
          </cell>
          <cell r="E79">
            <v>0.41059629800729103</v>
          </cell>
          <cell r="F79">
            <v>1</v>
          </cell>
          <cell r="G79">
            <v>45870170.91031719</v>
          </cell>
        </row>
        <row r="80">
          <cell r="C80" t="str">
            <v>5,001-20,000</v>
          </cell>
          <cell r="D80">
            <v>0.43473317164785674</v>
          </cell>
          <cell r="E80">
            <v>0.56526682835214326</v>
          </cell>
          <cell r="F80">
            <v>1</v>
          </cell>
          <cell r="G80">
            <v>21950482.47130106</v>
          </cell>
        </row>
        <row r="81">
          <cell r="C81" t="str">
            <v>50,001-100,000</v>
          </cell>
          <cell r="D81">
            <v>0.7159490279733054</v>
          </cell>
          <cell r="E81">
            <v>0.28405097202669471</v>
          </cell>
          <cell r="F81">
            <v>1</v>
          </cell>
          <cell r="G81">
            <v>19712054.250720531</v>
          </cell>
        </row>
        <row r="82">
          <cell r="B82" t="str">
            <v>Restaurant</v>
          </cell>
          <cell r="C82" t="str">
            <v>&lt;5,001</v>
          </cell>
          <cell r="D82">
            <v>0.222372990309429</v>
          </cell>
          <cell r="E82">
            <v>0.77762700969057108</v>
          </cell>
          <cell r="F82">
            <v>1</v>
          </cell>
          <cell r="G82">
            <v>23327830.483758003</v>
          </cell>
        </row>
        <row r="83">
          <cell r="C83" t="str">
            <v>5,001-20,000</v>
          </cell>
          <cell r="D83">
            <v>0.19083743977042419</v>
          </cell>
          <cell r="E83">
            <v>0.80916256022957589</v>
          </cell>
          <cell r="F83">
            <v>1</v>
          </cell>
          <cell r="G83">
            <v>24104129.2800515</v>
          </cell>
          <cell r="O83" t="str">
            <v>Electric</v>
          </cell>
          <cell r="P83" t="str">
            <v>Gas</v>
          </cell>
        </row>
        <row r="84">
          <cell r="B84" t="str">
            <v>Retail/Service</v>
          </cell>
          <cell r="C84" t="str">
            <v>&lt;5,001</v>
          </cell>
          <cell r="D84">
            <v>0.43282821433857083</v>
          </cell>
          <cell r="E84">
            <v>0.56717178566142912</v>
          </cell>
          <cell r="F84">
            <v>1</v>
          </cell>
          <cell r="G84">
            <v>45229806.543296024</v>
          </cell>
          <cell r="H84">
            <v>0.01</v>
          </cell>
          <cell r="I84" t="str">
            <v>100,001+</v>
          </cell>
          <cell r="J84">
            <v>8.3932699992619028E-2</v>
          </cell>
          <cell r="K84">
            <v>0.91606730000738101</v>
          </cell>
          <cell r="L84">
            <v>1</v>
          </cell>
          <cell r="M84">
            <v>124562026.1368593</v>
          </cell>
          <cell r="N84" t="str">
            <v>&gt;100,000</v>
          </cell>
          <cell r="O84">
            <v>8.3932699992619028E-2</v>
          </cell>
          <cell r="P84">
            <v>0.91606730000738101</v>
          </cell>
        </row>
        <row r="85">
          <cell r="C85" t="str">
            <v>100,001+</v>
          </cell>
          <cell r="D85">
            <v>8.3932699992619028E-2</v>
          </cell>
          <cell r="E85">
            <v>0.91606730000738101</v>
          </cell>
          <cell r="F85">
            <v>1</v>
          </cell>
          <cell r="G85">
            <v>124562026.1368593</v>
          </cell>
          <cell r="H85">
            <v>0.02</v>
          </cell>
          <cell r="I85" t="str">
            <v>50,001-100,000</v>
          </cell>
          <cell r="J85">
            <v>1.6776928776066704E-2</v>
          </cell>
          <cell r="K85">
            <v>0.98322307122393326</v>
          </cell>
          <cell r="L85">
            <v>1</v>
          </cell>
          <cell r="M85">
            <v>29532449.302067615</v>
          </cell>
          <cell r="N85" t="str">
            <v>50,000 - 100,000</v>
          </cell>
          <cell r="O85">
            <v>1.6776928776066704E-2</v>
          </cell>
          <cell r="P85">
            <v>0.98322307122393326</v>
          </cell>
        </row>
        <row r="86">
          <cell r="C86" t="str">
            <v>20,001-50,000</v>
          </cell>
          <cell r="D86">
            <v>0.12300334486769968</v>
          </cell>
          <cell r="E86">
            <v>0.8769966551323003</v>
          </cell>
          <cell r="F86">
            <v>1</v>
          </cell>
          <cell r="G86">
            <v>150479652.53202388</v>
          </cell>
          <cell r="H86">
            <v>0.03</v>
          </cell>
          <cell r="I86" t="str">
            <v>20,001-50,000</v>
          </cell>
          <cell r="J86">
            <v>0.12300334486769968</v>
          </cell>
          <cell r="K86">
            <v>0.8769966551323003</v>
          </cell>
          <cell r="L86">
            <v>1</v>
          </cell>
          <cell r="M86">
            <v>150479652.53202388</v>
          </cell>
          <cell r="N86" t="str">
            <v>5000 - 50,000</v>
          </cell>
          <cell r="O86">
            <v>0.19014991106925394</v>
          </cell>
          <cell r="P86">
            <v>0.80985008893074606</v>
          </cell>
        </row>
        <row r="87">
          <cell r="C87" t="str">
            <v>5,001-20,000</v>
          </cell>
          <cell r="D87">
            <v>0.26113899837633403</v>
          </cell>
          <cell r="E87">
            <v>0.73886100162366586</v>
          </cell>
          <cell r="F87">
            <v>1</v>
          </cell>
          <cell r="G87">
            <v>142334439.47546965</v>
          </cell>
          <cell r="H87">
            <v>0.04</v>
          </cell>
          <cell r="I87" t="str">
            <v>5,001-20,000</v>
          </cell>
          <cell r="J87">
            <v>0.26113899837633403</v>
          </cell>
          <cell r="K87">
            <v>0.73886100162366586</v>
          </cell>
          <cell r="L87">
            <v>1</v>
          </cell>
          <cell r="M87">
            <v>142334439.47546965</v>
          </cell>
          <cell r="N87" t="str">
            <v>&lt;5000</v>
          </cell>
          <cell r="O87">
            <v>0.43282821433857083</v>
          </cell>
          <cell r="P87">
            <v>0.56717178566142912</v>
          </cell>
        </row>
        <row r="88">
          <cell r="C88" t="str">
            <v>50,001-100,000</v>
          </cell>
          <cell r="D88">
            <v>1.6776928776066704E-2</v>
          </cell>
          <cell r="E88">
            <v>0.98322307122393326</v>
          </cell>
          <cell r="F88">
            <v>1</v>
          </cell>
          <cell r="G88">
            <v>29532449.302067615</v>
          </cell>
          <cell r="H88">
            <v>0.05</v>
          </cell>
          <cell r="I88" t="str">
            <v>&lt;5,001</v>
          </cell>
          <cell r="J88">
            <v>0.43282821433857083</v>
          </cell>
          <cell r="K88">
            <v>0.56717178566142912</v>
          </cell>
          <cell r="L88">
            <v>1</v>
          </cell>
          <cell r="M88">
            <v>45229806.543296024</v>
          </cell>
        </row>
        <row r="89">
          <cell r="B89" t="str">
            <v>School K-12</v>
          </cell>
          <cell r="C89" t="str">
            <v>&lt;5,001</v>
          </cell>
          <cell r="D89">
            <v>6.8260893508024292E-2</v>
          </cell>
          <cell r="E89">
            <v>0.93173910649197567</v>
          </cell>
          <cell r="F89">
            <v>1</v>
          </cell>
          <cell r="G89">
            <v>2868722.4248554921</v>
          </cell>
        </row>
        <row r="90">
          <cell r="C90" t="str">
            <v>100,001+</v>
          </cell>
          <cell r="D90">
            <v>0.16029926138119366</v>
          </cell>
          <cell r="E90">
            <v>0.83970073861880623</v>
          </cell>
          <cell r="F90">
            <v>1</v>
          </cell>
          <cell r="G90">
            <v>70407779.68745172</v>
          </cell>
        </row>
        <row r="91">
          <cell r="C91" t="str">
            <v>20,001-50,000</v>
          </cell>
          <cell r="D91">
            <v>0.14157569383085569</v>
          </cell>
          <cell r="E91">
            <v>0.85842430616914434</v>
          </cell>
          <cell r="F91">
            <v>1</v>
          </cell>
          <cell r="G91">
            <v>84555158.13868171</v>
          </cell>
        </row>
        <row r="92">
          <cell r="C92" t="str">
            <v>5,001-20,000</v>
          </cell>
          <cell r="D92">
            <v>0.24053328228867543</v>
          </cell>
          <cell r="E92">
            <v>0.75946671771132457</v>
          </cell>
          <cell r="F92">
            <v>1</v>
          </cell>
          <cell r="G92">
            <v>8452418.6872956287</v>
          </cell>
        </row>
        <row r="93">
          <cell r="C93" t="str">
            <v>50,001-100,000</v>
          </cell>
          <cell r="D93">
            <v>0.14934373572795726</v>
          </cell>
          <cell r="E93">
            <v>0.85065626427204277</v>
          </cell>
          <cell r="F93">
            <v>1</v>
          </cell>
          <cell r="G93">
            <v>60468543.335515603</v>
          </cell>
        </row>
        <row r="94">
          <cell r="B94" t="str">
            <v>Warehouse</v>
          </cell>
          <cell r="C94" t="str">
            <v>&lt;5,001</v>
          </cell>
          <cell r="D94">
            <v>0.12838801779438211</v>
          </cell>
          <cell r="E94">
            <v>0.87161198220561797</v>
          </cell>
          <cell r="F94">
            <v>1</v>
          </cell>
          <cell r="G94">
            <v>8938801.4812825639</v>
          </cell>
        </row>
        <row r="95">
          <cell r="C95" t="str">
            <v>100,001+</v>
          </cell>
          <cell r="D95">
            <v>0</v>
          </cell>
          <cell r="E95">
            <v>1</v>
          </cell>
          <cell r="F95">
            <v>1</v>
          </cell>
          <cell r="G95">
            <v>28824886.069673002</v>
          </cell>
        </row>
        <row r="96">
          <cell r="C96" t="str">
            <v>20,001-50,000</v>
          </cell>
          <cell r="D96">
            <v>5.1437746035443866E-3</v>
          </cell>
          <cell r="E96">
            <v>0.99485622539645557</v>
          </cell>
          <cell r="F96">
            <v>1</v>
          </cell>
          <cell r="G96">
            <v>99863887.212485299</v>
          </cell>
        </row>
        <row r="97">
          <cell r="C97" t="str">
            <v>5,001-20,000</v>
          </cell>
          <cell r="D97">
            <v>1.4492053425769444E-2</v>
          </cell>
          <cell r="E97">
            <v>0.98550794657423046</v>
          </cell>
          <cell r="F97">
            <v>1</v>
          </cell>
          <cell r="G97">
            <v>49025622.289909087</v>
          </cell>
        </row>
        <row r="98">
          <cell r="C98" t="str">
            <v>50,001-100,000</v>
          </cell>
          <cell r="D98">
            <v>1.8182350443928772E-2</v>
          </cell>
          <cell r="E98">
            <v>0.9818176495560712</v>
          </cell>
          <cell r="F98">
            <v>1</v>
          </cell>
          <cell r="G98">
            <v>10409150.518417275</v>
          </cell>
        </row>
        <row r="99">
          <cell r="B99" t="str">
            <v>Grand Total</v>
          </cell>
          <cell r="D99">
            <v>0.31344565584888812</v>
          </cell>
          <cell r="E99">
            <v>0.68655434415111194</v>
          </cell>
          <cell r="F99">
            <v>1</v>
          </cell>
          <cell r="G99">
            <v>2514648185.3050141</v>
          </cell>
        </row>
        <row r="103">
          <cell r="B103" t="str">
            <v>Site_ID</v>
          </cell>
          <cell r="C103" t="str">
            <v>(All)</v>
          </cell>
        </row>
        <row r="104">
          <cell r="B104" t="str">
            <v>Fan_Ctr</v>
          </cell>
          <cell r="C104" t="str">
            <v>(All)</v>
          </cell>
        </row>
        <row r="105">
          <cell r="B105" t="str">
            <v>DistSys</v>
          </cell>
          <cell r="C105" t="str">
            <v>(All)</v>
          </cell>
        </row>
        <row r="106">
          <cell r="B106" t="str">
            <v>DistSys_Detail</v>
          </cell>
          <cell r="C106" t="str">
            <v>(All)</v>
          </cell>
        </row>
        <row r="107">
          <cell r="B107" t="str">
            <v>HeatSys_PrimFuel</v>
          </cell>
          <cell r="C107" t="str">
            <v>Electricity</v>
          </cell>
        </row>
        <row r="108">
          <cell r="B108" t="str">
            <v>Equip_Type</v>
          </cell>
          <cell r="C108" t="str">
            <v>(All)</v>
          </cell>
        </row>
        <row r="110">
          <cell r="B110" t="str">
            <v>Sum of Heat_Frac_Sf_PNW_Heated</v>
          </cell>
          <cell r="C110" t="str">
            <v>Column Labels</v>
          </cell>
        </row>
        <row r="111">
          <cell r="B111" t="str">
            <v>Row Labels</v>
          </cell>
          <cell r="C111" t="str">
            <v>CE</v>
          </cell>
          <cell r="D111" t="str">
            <v>HP</v>
          </cell>
          <cell r="E111" t="str">
            <v>HWC</v>
          </cell>
          <cell r="F111" t="str">
            <v>NA</v>
          </cell>
          <cell r="G111" t="str">
            <v>OT</v>
          </cell>
          <cell r="H111" t="str">
            <v>SC</v>
          </cell>
          <cell r="I111" t="str">
            <v>SE</v>
          </cell>
          <cell r="J111" t="str">
            <v>Grand Total</v>
          </cell>
        </row>
        <row r="112">
          <cell r="B112" t="str">
            <v>Assembly</v>
          </cell>
          <cell r="C112">
            <v>2.1933371064227269E-2</v>
          </cell>
          <cell r="D112">
            <v>0.52037961228259577</v>
          </cell>
          <cell r="E112">
            <v>8.4869959933207936E-2</v>
          </cell>
          <cell r="F112">
            <v>0.37281705671996906</v>
          </cell>
          <cell r="G112">
            <v>0</v>
          </cell>
          <cell r="H112">
            <v>0</v>
          </cell>
          <cell r="I112">
            <v>0</v>
          </cell>
          <cell r="J112">
            <v>1</v>
          </cell>
          <cell r="K112">
            <v>0.47962038771740423</v>
          </cell>
        </row>
        <row r="113">
          <cell r="B113" t="str">
            <v>Grocery</v>
          </cell>
          <cell r="C113">
            <v>0</v>
          </cell>
          <cell r="D113">
            <v>0.61407902538687853</v>
          </cell>
          <cell r="E113">
            <v>0</v>
          </cell>
          <cell r="F113">
            <v>0.38592097461312153</v>
          </cell>
          <cell r="G113">
            <v>0</v>
          </cell>
          <cell r="H113">
            <v>0</v>
          </cell>
          <cell r="I113">
            <v>0</v>
          </cell>
          <cell r="J113">
            <v>1</v>
          </cell>
          <cell r="K113">
            <v>0.38592097461312147</v>
          </cell>
        </row>
        <row r="114">
          <cell r="B114" t="str">
            <v>Lodging</v>
          </cell>
          <cell r="C114">
            <v>0</v>
          </cell>
          <cell r="D114">
            <v>0.40473986786737931</v>
          </cell>
          <cell r="E114">
            <v>1.9101566005885497E-2</v>
          </cell>
          <cell r="F114">
            <v>0.56637390858008696</v>
          </cell>
          <cell r="G114">
            <v>0</v>
          </cell>
          <cell r="H114">
            <v>0</v>
          </cell>
          <cell r="I114">
            <v>9.7846575466481386E-3</v>
          </cell>
          <cell r="J114">
            <v>1</v>
          </cell>
          <cell r="K114">
            <v>0.59526013213262075</v>
          </cell>
        </row>
        <row r="115">
          <cell r="B115" t="str">
            <v>Office</v>
          </cell>
          <cell r="C115">
            <v>0</v>
          </cell>
          <cell r="D115">
            <v>0.54434419584121851</v>
          </cell>
          <cell r="E115">
            <v>1.3163924041996011E-2</v>
          </cell>
          <cell r="F115">
            <v>0.29977798762598179</v>
          </cell>
          <cell r="G115">
            <v>5.6989236417166553E-3</v>
          </cell>
          <cell r="H115">
            <v>1.8553743341665496E-2</v>
          </cell>
          <cell r="I115">
            <v>0.11846122550742165</v>
          </cell>
          <cell r="J115">
            <v>1</v>
          </cell>
          <cell r="K115">
            <v>0.45565580415878149</v>
          </cell>
        </row>
        <row r="116">
          <cell r="B116" t="str">
            <v>Other</v>
          </cell>
          <cell r="C116">
            <v>1.8656133921888154E-2</v>
          </cell>
          <cell r="D116">
            <v>0.38240960390786466</v>
          </cell>
          <cell r="E116">
            <v>3.4723225987817435E-2</v>
          </cell>
          <cell r="F116">
            <v>0.39770544205545494</v>
          </cell>
          <cell r="G116">
            <v>0</v>
          </cell>
          <cell r="H116">
            <v>0</v>
          </cell>
          <cell r="I116">
            <v>0.1665055941269748</v>
          </cell>
          <cell r="J116">
            <v>1</v>
          </cell>
          <cell r="K116">
            <v>0.6175903960921354</v>
          </cell>
        </row>
        <row r="117">
          <cell r="B117" t="str">
            <v>Residential Care</v>
          </cell>
          <cell r="C117">
            <v>0</v>
          </cell>
          <cell r="D117">
            <v>0.42826784319863981</v>
          </cell>
          <cell r="E117">
            <v>0</v>
          </cell>
          <cell r="F117">
            <v>0.57173215680136014</v>
          </cell>
          <cell r="G117">
            <v>0</v>
          </cell>
          <cell r="H117">
            <v>0</v>
          </cell>
          <cell r="I117">
            <v>0</v>
          </cell>
          <cell r="J117">
            <v>1</v>
          </cell>
          <cell r="K117">
            <v>0.57173215680136025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OG"/>
      <sheetName val="Pop Forecast (Base Case)"/>
      <sheetName val="Res Forecast (Base Case)"/>
      <sheetName val="Com Forecast (Base Case)"/>
      <sheetName val="Ind Forecast (Base Case)"/>
      <sheetName val="Ag Forecast (Base Case)"/>
      <sheetName val="DEI (Base Case)"/>
      <sheetName val="Pop Forecast (High Case)"/>
      <sheetName val="Pop Forecast (Low Case)"/>
      <sheetName val="7P Forecasts D2"/>
      <sheetName val="ProCost 6th Plan Inputs"/>
    </sheetNames>
    <definedNames>
      <definedName name="ComRegionExistBase" refersTo="='Com Forecast (Base Case)'!$AJ$187:$BC$204"/>
      <definedName name="ComRegionNewBase" refersTo="='Com Forecast (Base Case)'!$AJ$169:$BC$186"/>
    </definedNames>
    <sheetDataSet>
      <sheetData sheetId="0"/>
      <sheetData sheetId="1">
        <row r="5">
          <cell r="B5" t="str">
            <v>Abrev</v>
          </cell>
        </row>
      </sheetData>
      <sheetData sheetId="2">
        <row r="12">
          <cell r="AK12">
            <v>2016</v>
          </cell>
        </row>
      </sheetData>
      <sheetData sheetId="3">
        <row r="169">
          <cell r="AJ169">
            <v>7.8066550111953834</v>
          </cell>
          <cell r="AK169">
            <v>5.9496992573140863</v>
          </cell>
          <cell r="AL169">
            <v>5.890903545908837</v>
          </cell>
          <cell r="AM169">
            <v>6.8915688291332424</v>
          </cell>
          <cell r="AN169">
            <v>6.6410191533148355</v>
          </cell>
          <cell r="AO169">
            <v>5.4382226791221893</v>
          </cell>
          <cell r="AP169">
            <v>6.9236851515846078</v>
          </cell>
          <cell r="AQ169">
            <v>6.040566884985755</v>
          </cell>
          <cell r="AR169">
            <v>5.8620040343764588</v>
          </cell>
          <cell r="AS169">
            <v>6.6048352977963205</v>
          </cell>
          <cell r="AT169">
            <v>6.6081856774849808</v>
          </cell>
          <cell r="AU169">
            <v>7.2276230030590352</v>
          </cell>
          <cell r="AV169">
            <v>7.9321378463678132</v>
          </cell>
          <cell r="AW169">
            <v>7.2590370336019197</v>
          </cell>
          <cell r="AX169">
            <v>7.9122271387396417</v>
          </cell>
          <cell r="AY169">
            <v>7.7623340380974311</v>
          </cell>
          <cell r="AZ169">
            <v>7.6402299023279152</v>
          </cell>
          <cell r="BA169">
            <v>7.1724831299946894</v>
          </cell>
          <cell r="BB169">
            <v>7.0810470955732994</v>
          </cell>
          <cell r="BC169">
            <v>7.4281005850341701</v>
          </cell>
        </row>
        <row r="170">
          <cell r="AJ170">
            <v>6.3306892326899415</v>
          </cell>
          <cell r="AK170">
            <v>4.6245517962703104</v>
          </cell>
          <cell r="AL170">
            <v>4.6954401235311058</v>
          </cell>
          <cell r="AM170">
            <v>5.5561738496820645</v>
          </cell>
          <cell r="AN170">
            <v>5.2903315868283292</v>
          </cell>
          <cell r="AO170">
            <v>4.0954748538564614</v>
          </cell>
          <cell r="AP170">
            <v>5.6166455086822502</v>
          </cell>
          <cell r="AQ170">
            <v>4.8928421056079552</v>
          </cell>
          <cell r="AR170">
            <v>4.6489885594062974</v>
          </cell>
          <cell r="AS170">
            <v>5.3600762751998365</v>
          </cell>
          <cell r="AT170">
            <v>5.3451061612370649</v>
          </cell>
          <cell r="AU170">
            <v>5.7169042762389006</v>
          </cell>
          <cell r="AV170">
            <v>6.1644080859749115</v>
          </cell>
          <cell r="AW170">
            <v>5.8003829082546376</v>
          </cell>
          <cell r="AX170">
            <v>6.4331999103991837</v>
          </cell>
          <cell r="AY170">
            <v>6.1077443299386847</v>
          </cell>
          <cell r="AZ170">
            <v>6.3133258324543373</v>
          </cell>
          <cell r="BA170">
            <v>5.5403053352108875</v>
          </cell>
          <cell r="BB170">
            <v>5.5266028757425794</v>
          </cell>
          <cell r="BC170">
            <v>5.9833355534459063</v>
          </cell>
        </row>
        <row r="171">
          <cell r="AJ171">
            <v>1.6621196768024407</v>
          </cell>
          <cell r="AK171">
            <v>1.2170657423442173</v>
          </cell>
          <cell r="AL171">
            <v>1.2444333527444498</v>
          </cell>
          <cell r="AM171">
            <v>1.4586094503549032</v>
          </cell>
          <cell r="AN171">
            <v>1.4004070058555529</v>
          </cell>
          <cell r="AO171">
            <v>1.0787722980410579</v>
          </cell>
          <cell r="AP171">
            <v>1.4747976167420549</v>
          </cell>
          <cell r="AQ171">
            <v>1.2896357804774434</v>
          </cell>
          <cell r="AR171">
            <v>1.2239291307589197</v>
          </cell>
          <cell r="AS171">
            <v>1.4012443744673324</v>
          </cell>
          <cell r="AT171">
            <v>1.3991315932028052</v>
          </cell>
          <cell r="AU171">
            <v>1.4996248899933684</v>
          </cell>
          <cell r="AV171">
            <v>1.6197763904689295</v>
          </cell>
          <cell r="AW171">
            <v>1.5187400891362097</v>
          </cell>
          <cell r="AX171">
            <v>1.6890757136254622</v>
          </cell>
          <cell r="AY171">
            <v>1.5972356158259797</v>
          </cell>
          <cell r="AZ171">
            <v>1.640465747141107</v>
          </cell>
          <cell r="BA171">
            <v>1.4565955217811706</v>
          </cell>
          <cell r="BB171">
            <v>1.4531741906643101</v>
          </cell>
          <cell r="BC171">
            <v>1.5648660344158036</v>
          </cell>
        </row>
        <row r="172">
          <cell r="AJ172">
            <v>1.799418169017593</v>
          </cell>
          <cell r="AK172">
            <v>1.485755176968429</v>
          </cell>
          <cell r="AL172">
            <v>0.89794362681754358</v>
          </cell>
          <cell r="AM172">
            <v>0.91201694404352718</v>
          </cell>
          <cell r="AN172">
            <v>0.85125423267540556</v>
          </cell>
          <cell r="AO172">
            <v>0.73204497427617965</v>
          </cell>
          <cell r="AP172">
            <v>0.73428349109996394</v>
          </cell>
          <cell r="AQ172">
            <v>0.71341173425108251</v>
          </cell>
          <cell r="AR172">
            <v>0.89455902577447755</v>
          </cell>
          <cell r="AS172">
            <v>1.032083805968905</v>
          </cell>
          <cell r="AT172">
            <v>1.0963398187475875</v>
          </cell>
          <cell r="AU172">
            <v>1.617287860192538</v>
          </cell>
          <cell r="AV172">
            <v>1.8239074921539626</v>
          </cell>
          <cell r="AW172">
            <v>1.6267354909009817</v>
          </cell>
          <cell r="AX172">
            <v>1.5970323938843554</v>
          </cell>
          <cell r="AY172">
            <v>1.5393396581386409</v>
          </cell>
          <cell r="AZ172">
            <v>1.2960530677092543</v>
          </cell>
          <cell r="BA172">
            <v>1.3176455108269955</v>
          </cell>
          <cell r="BB172">
            <v>1.2469979474733393</v>
          </cell>
          <cell r="BC172">
            <v>1.3540449607593745</v>
          </cell>
        </row>
        <row r="173">
          <cell r="AJ173">
            <v>0.71960427219664069</v>
          </cell>
          <cell r="AK173">
            <v>0.59647847099566831</v>
          </cell>
          <cell r="AL173">
            <v>0.36611838042447359</v>
          </cell>
          <cell r="AM173">
            <v>0.3731768350638246</v>
          </cell>
          <cell r="AN173">
            <v>0.34504559304633386</v>
          </cell>
          <cell r="AO173">
            <v>0.2928623587115301</v>
          </cell>
          <cell r="AP173">
            <v>0.29376294298921468</v>
          </cell>
          <cell r="AQ173">
            <v>0.28416308329236456</v>
          </cell>
          <cell r="AR173">
            <v>0.36455471421578001</v>
          </cell>
          <cell r="AS173">
            <v>0.42646627810709853</v>
          </cell>
          <cell r="AT173">
            <v>0.44956380488737768</v>
          </cell>
          <cell r="AU173">
            <v>0.65213839834683018</v>
          </cell>
          <cell r="AV173">
            <v>0.73353807331773047</v>
          </cell>
          <cell r="AW173">
            <v>0.65560780242911365</v>
          </cell>
          <cell r="AX173">
            <v>0.64604928436358278</v>
          </cell>
          <cell r="AY173">
            <v>0.62178261445398098</v>
          </cell>
          <cell r="AZ173">
            <v>0.52554853465709617</v>
          </cell>
          <cell r="BA173">
            <v>0.53266253778165396</v>
          </cell>
          <cell r="BB173">
            <v>0.50454130308386236</v>
          </cell>
          <cell r="BC173">
            <v>0.54553111610891503</v>
          </cell>
        </row>
        <row r="174">
          <cell r="AJ174">
            <v>2.7275899469990224</v>
          </cell>
          <cell r="AK174">
            <v>2.2451802625726844</v>
          </cell>
          <cell r="AL174">
            <v>1.3846551620328988</v>
          </cell>
          <cell r="AM174">
            <v>1.414332931216091</v>
          </cell>
          <cell r="AN174">
            <v>1.3048976182463843</v>
          </cell>
          <cell r="AO174">
            <v>1.1035456427042536</v>
          </cell>
          <cell r="AP174">
            <v>1.0932193385059683</v>
          </cell>
          <cell r="AQ174">
            <v>1.0602010304011045</v>
          </cell>
          <cell r="AR174">
            <v>1.3687417218066935</v>
          </cell>
          <cell r="AS174">
            <v>1.6102119957699914</v>
          </cell>
          <cell r="AT174">
            <v>1.7014476793012303</v>
          </cell>
          <cell r="AU174">
            <v>2.4475448442766612</v>
          </cell>
          <cell r="AV174">
            <v>2.7642584104961641</v>
          </cell>
          <cell r="AW174">
            <v>2.4645092385842489</v>
          </cell>
          <cell r="AX174">
            <v>2.435211674558635</v>
          </cell>
          <cell r="AY174">
            <v>2.3436666024455817</v>
          </cell>
          <cell r="AZ174">
            <v>1.9970991421399598</v>
          </cell>
          <cell r="BA174">
            <v>2.0220850932468024</v>
          </cell>
          <cell r="BB174">
            <v>1.9074632582746243</v>
          </cell>
          <cell r="BC174">
            <v>2.0633846520749657</v>
          </cell>
        </row>
        <row r="175">
          <cell r="AJ175">
            <v>0.86249938561661099</v>
          </cell>
          <cell r="AK175">
            <v>0.71243811393533818</v>
          </cell>
          <cell r="AL175">
            <v>0.43988135050703958</v>
          </cell>
          <cell r="AM175">
            <v>0.44879648252082133</v>
          </cell>
          <cell r="AN175">
            <v>0.41374173801952452</v>
          </cell>
          <cell r="AO175">
            <v>0.34301620014224921</v>
          </cell>
          <cell r="AP175">
            <v>0.33946657261656726</v>
          </cell>
          <cell r="AQ175">
            <v>0.32965754978673117</v>
          </cell>
          <cell r="AR175">
            <v>0.43689232903555525</v>
          </cell>
          <cell r="AS175">
            <v>0.51886957722704219</v>
          </cell>
          <cell r="AT175">
            <v>0.54817313334918127</v>
          </cell>
          <cell r="AU175">
            <v>0.77969532117377649</v>
          </cell>
          <cell r="AV175">
            <v>0.87858644381951334</v>
          </cell>
          <cell r="AW175">
            <v>0.78420074698109388</v>
          </cell>
          <cell r="AX175">
            <v>0.77728841592354081</v>
          </cell>
          <cell r="AY175">
            <v>0.74886674252534069</v>
          </cell>
          <cell r="AZ175">
            <v>0.63964179951326661</v>
          </cell>
          <cell r="BA175">
            <v>0.64714740319049269</v>
          </cell>
          <cell r="BB175">
            <v>0.61166389038687663</v>
          </cell>
          <cell r="BC175">
            <v>0.66242443593788758</v>
          </cell>
        </row>
        <row r="176">
          <cell r="AJ176">
            <v>0.49337113702797691</v>
          </cell>
          <cell r="AK176">
            <v>1.1029723159217257</v>
          </cell>
          <cell r="AL176">
            <v>0.94992456965043459</v>
          </cell>
          <cell r="AM176">
            <v>0.71720701164062661</v>
          </cell>
          <cell r="AN176">
            <v>0.7442281187428561</v>
          </cell>
          <cell r="AO176">
            <v>0.85140099810585501</v>
          </cell>
          <cell r="AP176">
            <v>0.99139466996200198</v>
          </cell>
          <cell r="AQ176">
            <v>1.5014629353162949</v>
          </cell>
          <cell r="AR176">
            <v>1.8697826256608596</v>
          </cell>
          <cell r="AS176">
            <v>1.6452707482432332</v>
          </cell>
          <cell r="AT176">
            <v>1.6753181172445872</v>
          </cell>
          <cell r="AU176">
            <v>1.7943041099264481</v>
          </cell>
          <cell r="AV176">
            <v>1.8624299937819393</v>
          </cell>
          <cell r="AW176">
            <v>1.7489264522150836</v>
          </cell>
          <cell r="AX176">
            <v>1.7975598556031414</v>
          </cell>
          <cell r="AY176">
            <v>1.6195220459723754</v>
          </cell>
          <cell r="AZ176">
            <v>1.8221433074925411</v>
          </cell>
          <cell r="BA176">
            <v>1.6336676691608698</v>
          </cell>
          <cell r="BB176">
            <v>1.7826242149357872</v>
          </cell>
          <cell r="BC176">
            <v>1.6891002859244486</v>
          </cell>
        </row>
        <row r="177">
          <cell r="AJ177">
            <v>0.2800209986196866</v>
          </cell>
          <cell r="AK177">
            <v>0.29719871383536939</v>
          </cell>
          <cell r="AL177">
            <v>0.58203115602335975</v>
          </cell>
          <cell r="AM177">
            <v>0.83189457735737737</v>
          </cell>
          <cell r="AN177">
            <v>0.66610454718876777</v>
          </cell>
          <cell r="AO177">
            <v>0.73648247778559484</v>
          </cell>
          <cell r="AP177">
            <v>0.64334185638367225</v>
          </cell>
          <cell r="AQ177">
            <v>0.97289424291238524</v>
          </cell>
          <cell r="AR177">
            <v>1.1820978013224126</v>
          </cell>
          <cell r="AS177">
            <v>1.1785313924254113</v>
          </cell>
          <cell r="AT177">
            <v>1.2952038876416079</v>
          </cell>
          <cell r="AU177">
            <v>1.3229243736280945</v>
          </cell>
          <cell r="AV177">
            <v>1.422909455419719</v>
          </cell>
          <cell r="AW177">
            <v>1.4430187909981058</v>
          </cell>
          <cell r="AX177">
            <v>1.2923971403480323</v>
          </cell>
          <cell r="AY177">
            <v>1.1785050733908478</v>
          </cell>
          <cell r="AZ177">
            <v>1.3433889489273994</v>
          </cell>
          <cell r="BA177">
            <v>1.2265545990556588</v>
          </cell>
          <cell r="BB177">
            <v>1.2571458643971927</v>
          </cell>
          <cell r="BC177">
            <v>1.2979913333963795</v>
          </cell>
        </row>
        <row r="178">
          <cell r="AJ178">
            <v>7.6586609772993617</v>
          </cell>
          <cell r="AK178">
            <v>7.5774552212762423</v>
          </cell>
          <cell r="AL178">
            <v>5.6453939930651131</v>
          </cell>
          <cell r="AM178">
            <v>4.800793231843981</v>
          </cell>
          <cell r="AN178">
            <v>3.5881391412601156</v>
          </cell>
          <cell r="AO178">
            <v>3.1529819033971824</v>
          </cell>
          <cell r="AP178">
            <v>4.0691744688008198</v>
          </cell>
          <cell r="AQ178">
            <v>4.5400289951106014</v>
          </cell>
          <cell r="AR178">
            <v>4.8555474587969272</v>
          </cell>
          <cell r="AS178">
            <v>4.6966359797376018</v>
          </cell>
          <cell r="AT178">
            <v>4.8557170740974245</v>
          </cell>
          <cell r="AU178">
            <v>4.451750056135543</v>
          </cell>
          <cell r="AV178">
            <v>3.8657972013430704</v>
          </cell>
          <cell r="AW178">
            <v>3.9817445148405937</v>
          </cell>
          <cell r="AX178">
            <v>3.9951806948216846</v>
          </cell>
          <cell r="AY178">
            <v>4.4738164673360306</v>
          </cell>
          <cell r="AZ178">
            <v>4.2737219736102183</v>
          </cell>
          <cell r="BA178">
            <v>4.0870251812551333</v>
          </cell>
          <cell r="BB178">
            <v>4.137725578117939</v>
          </cell>
          <cell r="BC178">
            <v>3.6922064696454697</v>
          </cell>
        </row>
        <row r="179">
          <cell r="AJ179">
            <v>0.38924897939746522</v>
          </cell>
          <cell r="AK179">
            <v>0.34341311895347121</v>
          </cell>
          <cell r="AL179">
            <v>0.29927348040561341</v>
          </cell>
          <cell r="AM179">
            <v>0.29688874456634085</v>
          </cell>
          <cell r="AN179">
            <v>0.29379933994281465</v>
          </cell>
          <cell r="AO179">
            <v>0.29041766271303127</v>
          </cell>
          <cell r="AP179">
            <v>0.28614144770449462</v>
          </cell>
          <cell r="AQ179">
            <v>0.28163861967746157</v>
          </cell>
          <cell r="AR179">
            <v>0.27688800876616482</v>
          </cell>
          <cell r="AS179">
            <v>0.27357754310134663</v>
          </cell>
          <cell r="AT179">
            <v>0.27063184585003941</v>
          </cell>
          <cell r="AU179">
            <v>0.26801411864303953</v>
          </cell>
          <cell r="AV179">
            <v>0.26660240614409092</v>
          </cell>
          <cell r="AW179">
            <v>0.25138198684402913</v>
          </cell>
          <cell r="AX179">
            <v>0.26455339135243683</v>
          </cell>
          <cell r="AY179">
            <v>0.26299167309250365</v>
          </cell>
          <cell r="AZ179">
            <v>0.26140909607327911</v>
          </cell>
          <cell r="BA179">
            <v>0.25947687815142023</v>
          </cell>
          <cell r="BB179">
            <v>0.25750619496776178</v>
          </cell>
          <cell r="BC179">
            <v>0.25562560804995926</v>
          </cell>
        </row>
        <row r="180">
          <cell r="AJ180">
            <v>0.19765540078516197</v>
          </cell>
          <cell r="AK180">
            <v>0.18600542935034625</v>
          </cell>
          <cell r="AL180">
            <v>9.5760802585072302E-2</v>
          </cell>
          <cell r="AM180">
            <v>0.10062051473914659</v>
          </cell>
          <cell r="AN180">
            <v>8.5646792534183808E-2</v>
          </cell>
          <cell r="AO180">
            <v>6.5415041923045286E-2</v>
          </cell>
          <cell r="AP180">
            <v>5.7242996146950373E-2</v>
          </cell>
          <cell r="AQ180">
            <v>5.5087150941189433E-2</v>
          </cell>
          <cell r="AR180">
            <v>7.3916214299540497E-2</v>
          </cell>
          <cell r="AS180">
            <v>9.2056169088318471E-2</v>
          </cell>
          <cell r="AT180">
            <v>0.10393709432109566</v>
          </cell>
          <cell r="AU180">
            <v>0.15172170448022598</v>
          </cell>
          <cell r="AV180">
            <v>0.15706997726929292</v>
          </cell>
          <cell r="AW180">
            <v>0.14510580631504899</v>
          </cell>
          <cell r="AX180">
            <v>0.15272706829792246</v>
          </cell>
          <cell r="AY180">
            <v>0.14104647748606622</v>
          </cell>
          <cell r="AZ180">
            <v>0.11700741064540764</v>
          </cell>
          <cell r="BA180">
            <v>0.1200067315077773</v>
          </cell>
          <cell r="BB180">
            <v>0.11457442878633581</v>
          </cell>
          <cell r="BC180">
            <v>0.1211768182439132</v>
          </cell>
        </row>
        <row r="181">
          <cell r="AJ181">
            <v>0.46894871790011039</v>
          </cell>
          <cell r="AK181">
            <v>0.47387410836125871</v>
          </cell>
          <cell r="AL181">
            <v>0.45144590813821411</v>
          </cell>
          <cell r="AM181">
            <v>0.4505136151455652</v>
          </cell>
          <cell r="AN181">
            <v>0.44778046039172248</v>
          </cell>
          <cell r="AO181">
            <v>0.44523396067124349</v>
          </cell>
          <cell r="AP181">
            <v>0.44273536313864043</v>
          </cell>
          <cell r="AQ181">
            <v>0.4399078135546039</v>
          </cell>
          <cell r="AR181">
            <v>0.43708606600163591</v>
          </cell>
          <cell r="AS181">
            <v>0.43513915585550955</v>
          </cell>
          <cell r="AT181">
            <v>0.43580404899906589</v>
          </cell>
          <cell r="AU181">
            <v>0.59161866303702282</v>
          </cell>
          <cell r="AV181">
            <v>0.66467702134516005</v>
          </cell>
          <cell r="AW181">
            <v>0.65353995366480533</v>
          </cell>
          <cell r="AX181">
            <v>0.676060915960916</v>
          </cell>
          <cell r="AY181">
            <v>0.70559825286541389</v>
          </cell>
          <cell r="AZ181">
            <v>0.63206878506691044</v>
          </cell>
          <cell r="BA181">
            <v>0.63726309269471215</v>
          </cell>
          <cell r="BB181">
            <v>0.5828366650853003</v>
          </cell>
          <cell r="BC181">
            <v>0.63928201324113043</v>
          </cell>
        </row>
        <row r="182">
          <cell r="AJ182">
            <v>1.0326774321313152</v>
          </cell>
          <cell r="AK182">
            <v>1.0158776160943388</v>
          </cell>
          <cell r="AL182">
            <v>0.74304915446037911</v>
          </cell>
          <cell r="AM182">
            <v>0.76054102414226543</v>
          </cell>
          <cell r="AN182">
            <v>0.65616402459427536</v>
          </cell>
          <cell r="AO182">
            <v>0.62755023267601961</v>
          </cell>
          <cell r="AP182">
            <v>0.61023293273354484</v>
          </cell>
          <cell r="AQ182">
            <v>0.60571699788717037</v>
          </cell>
          <cell r="AR182">
            <v>0.65097903457434547</v>
          </cell>
          <cell r="AS182">
            <v>0.69319811486407867</v>
          </cell>
          <cell r="AT182">
            <v>0.78843795894088464</v>
          </cell>
          <cell r="AU182">
            <v>1.3645659476947984</v>
          </cell>
          <cell r="AV182">
            <v>1.6032227373726178</v>
          </cell>
          <cell r="AW182">
            <v>1.6412696995684901</v>
          </cell>
          <cell r="AX182">
            <v>1.670283030615213</v>
          </cell>
          <cell r="AY182">
            <v>1.755661848186447</v>
          </cell>
          <cell r="AZ182">
            <v>1.4871375295645746</v>
          </cell>
          <cell r="BA182">
            <v>1.4400033906080374</v>
          </cell>
          <cell r="BB182">
            <v>1.3499648074414823</v>
          </cell>
          <cell r="BC182">
            <v>1.4487057151095009</v>
          </cell>
        </row>
        <row r="183">
          <cell r="AJ183">
            <v>4.1336070304911159</v>
          </cell>
          <cell r="AK183">
            <v>3.5601449453189118</v>
          </cell>
          <cell r="AL183">
            <v>3.2007770264658664</v>
          </cell>
          <cell r="AM183">
            <v>2.6531465767673241</v>
          </cell>
          <cell r="AN183">
            <v>1.8730082465149496</v>
          </cell>
          <cell r="AO183">
            <v>1.6467285324389391</v>
          </cell>
          <cell r="AP183">
            <v>1.5196240263467067</v>
          </cell>
          <cell r="AQ183">
            <v>1.3328145698119136</v>
          </cell>
          <cell r="AR183">
            <v>1.3372342578617185</v>
          </cell>
          <cell r="AS183">
            <v>1.4086686461757902</v>
          </cell>
          <cell r="AT183">
            <v>1.6725933548501446</v>
          </cell>
          <cell r="AU183">
            <v>2.0158466086985318</v>
          </cell>
          <cell r="AV183">
            <v>2.3033709594417431</v>
          </cell>
          <cell r="AW183">
            <v>2.063930246052466</v>
          </cell>
          <cell r="AX183">
            <v>1.9880083370090949</v>
          </cell>
          <cell r="AY183">
            <v>1.9342270452860566</v>
          </cell>
          <cell r="AZ183">
            <v>1.774507966199161</v>
          </cell>
          <cell r="BA183">
            <v>1.6723841845019074</v>
          </cell>
          <cell r="BB183">
            <v>1.5414284807799123</v>
          </cell>
          <cell r="BC183">
            <v>1.5563040522680198</v>
          </cell>
        </row>
        <row r="184">
          <cell r="AJ184">
            <v>4.5029406937179912</v>
          </cell>
          <cell r="AK184">
            <v>4.0786070344439063</v>
          </cell>
          <cell r="AL184">
            <v>3.5919834720533679</v>
          </cell>
          <cell r="AM184">
            <v>3.0400934926407626</v>
          </cell>
          <cell r="AN184">
            <v>2.3018670718031324</v>
          </cell>
          <cell r="AO184">
            <v>2.1321468422073435</v>
          </cell>
          <cell r="AP184">
            <v>1.9771504564110642</v>
          </cell>
          <cell r="AQ184">
            <v>1.8096072137015302</v>
          </cell>
          <cell r="AR184">
            <v>1.9023478055732992</v>
          </cell>
          <cell r="AS184">
            <v>2.0129777404511922</v>
          </cell>
          <cell r="AT184">
            <v>2.304026079874093</v>
          </cell>
          <cell r="AU184">
            <v>2.7992417645016405</v>
          </cell>
          <cell r="AV184">
            <v>3.0682339807477179</v>
          </cell>
          <cell r="AW184">
            <v>2.7441690138981158</v>
          </cell>
          <cell r="AX184">
            <v>2.8046561391012603</v>
          </cell>
          <cell r="AY184">
            <v>2.7282838662201567</v>
          </cell>
          <cell r="AZ184">
            <v>2.4959637785038216</v>
          </cell>
          <cell r="BA184">
            <v>2.4392052334479857</v>
          </cell>
          <cell r="BB184">
            <v>2.3386950979959957</v>
          </cell>
          <cell r="BC184">
            <v>2.3103955399373803</v>
          </cell>
        </row>
        <row r="185">
          <cell r="AJ185">
            <v>3.1854829351393543</v>
          </cell>
          <cell r="AK185">
            <v>3.1699057451518957</v>
          </cell>
          <cell r="AL185">
            <v>2.2628528186826316</v>
          </cell>
          <cell r="AM185">
            <v>2.6023617076700645</v>
          </cell>
          <cell r="AN185">
            <v>2.2919684786454506</v>
          </cell>
          <cell r="AO185">
            <v>2.1556450092355899</v>
          </cell>
          <cell r="AP185">
            <v>1.4820394508668711</v>
          </cell>
          <cell r="AQ185">
            <v>1.5603361472368396</v>
          </cell>
          <cell r="AR185">
            <v>2.3546097038898557</v>
          </cell>
          <cell r="AS185">
            <v>3.2740386396924066</v>
          </cell>
          <cell r="AT185">
            <v>3.6241751874536021</v>
          </cell>
          <cell r="AU185">
            <v>4.4420137300219826</v>
          </cell>
          <cell r="AV185">
            <v>5.8224273473135861</v>
          </cell>
          <cell r="AW185">
            <v>6.4604400946422142</v>
          </cell>
          <cell r="AX185">
            <v>6.9014803298142597</v>
          </cell>
          <cell r="AY185">
            <v>6.748515751490312</v>
          </cell>
          <cell r="AZ185">
            <v>6.4364694734288266</v>
          </cell>
          <cell r="BA185">
            <v>6.3053235195290611</v>
          </cell>
          <cell r="BB185">
            <v>6.2236620394663484</v>
          </cell>
          <cell r="BC185">
            <v>6.0386522880717726</v>
          </cell>
        </row>
        <row r="186">
          <cell r="AJ186">
            <v>12.863107129152304</v>
          </cell>
          <cell r="AK186">
            <v>10.7220378193485</v>
          </cell>
          <cell r="AL186">
            <v>10.142128438066296</v>
          </cell>
          <cell r="AM186">
            <v>9.4611923499879236</v>
          </cell>
          <cell r="AN186">
            <v>7.3638556881373223</v>
          </cell>
          <cell r="AO186">
            <v>8.1591439254269407</v>
          </cell>
          <cell r="AP186">
            <v>7.9603673258815011</v>
          </cell>
          <cell r="AQ186">
            <v>8.6026166911432824</v>
          </cell>
          <cell r="AR186">
            <v>9.3207800366095146</v>
          </cell>
          <cell r="AS186">
            <v>9.0572786632714859</v>
          </cell>
          <cell r="AT186">
            <v>10.184423730877143</v>
          </cell>
          <cell r="AU186">
            <v>10.787657533789663</v>
          </cell>
          <cell r="AV186">
            <v>11.005378574708409</v>
          </cell>
          <cell r="AW186">
            <v>10.267063981307951</v>
          </cell>
          <cell r="AX186">
            <v>11.027475862918971</v>
          </cell>
          <cell r="AY186">
            <v>9.9609233822623686</v>
          </cell>
          <cell r="AZ186">
            <v>10.340047869658916</v>
          </cell>
          <cell r="BA186">
            <v>9.8383849729989699</v>
          </cell>
          <cell r="BB186">
            <v>9.3282989614436094</v>
          </cell>
          <cell r="BC186">
            <v>9.0355729282982153</v>
          </cell>
        </row>
        <row r="187">
          <cell r="AJ187">
            <v>295.32776918347713</v>
          </cell>
          <cell r="AK187">
            <v>294.44178587592666</v>
          </cell>
          <cell r="AL187">
            <v>293.55846051829889</v>
          </cell>
          <cell r="AM187">
            <v>292.67778513674403</v>
          </cell>
          <cell r="AN187">
            <v>291.79975178133378</v>
          </cell>
          <cell r="AO187">
            <v>290.92435252598978</v>
          </cell>
          <cell r="AP187">
            <v>290.05157946841183</v>
          </cell>
          <cell r="AQ187">
            <v>289.1814247300066</v>
          </cell>
          <cell r="AR187">
            <v>288.31388045581656</v>
          </cell>
          <cell r="AS187">
            <v>287.44893881444909</v>
          </cell>
          <cell r="AT187">
            <v>286.58659199800576</v>
          </cell>
          <cell r="AU187">
            <v>285.72683222201175</v>
          </cell>
          <cell r="AV187">
            <v>284.86965172534576</v>
          </cell>
          <cell r="AW187">
            <v>284.01504277016966</v>
          </cell>
          <cell r="AX187">
            <v>283.16299764185914</v>
          </cell>
          <cell r="AY187">
            <v>282.31350864893358</v>
          </cell>
          <cell r="AZ187">
            <v>281.46656812298681</v>
          </cell>
          <cell r="BA187">
            <v>280.62216841861789</v>
          </cell>
          <cell r="BB187">
            <v>279.780301913362</v>
          </cell>
          <cell r="BC187">
            <v>278.94096100762192</v>
          </cell>
        </row>
        <row r="188">
          <cell r="AJ188">
            <v>152.01591386685044</v>
          </cell>
          <cell r="AK188">
            <v>151.55986612524987</v>
          </cell>
          <cell r="AL188">
            <v>151.10518652687412</v>
          </cell>
          <cell r="AM188">
            <v>150.65187096729346</v>
          </cell>
          <cell r="AN188">
            <v>150.19991535439161</v>
          </cell>
          <cell r="AO188">
            <v>149.74931560832843</v>
          </cell>
          <cell r="AP188">
            <v>149.30006766150345</v>
          </cell>
          <cell r="AQ188">
            <v>148.85216745851892</v>
          </cell>
          <cell r="AR188">
            <v>148.40561095614336</v>
          </cell>
          <cell r="AS188">
            <v>147.96039412327491</v>
          </cell>
          <cell r="AT188">
            <v>147.5165129409051</v>
          </cell>
          <cell r="AU188">
            <v>147.0739634020824</v>
          </cell>
          <cell r="AV188">
            <v>146.63274151187616</v>
          </cell>
          <cell r="AW188">
            <v>146.19284328734051</v>
          </cell>
          <cell r="AX188">
            <v>145.7542647574785</v>
          </cell>
          <cell r="AY188">
            <v>145.31700196320602</v>
          </cell>
          <cell r="AZ188">
            <v>144.8810509573164</v>
          </cell>
          <cell r="BA188">
            <v>144.4464078044445</v>
          </cell>
          <cell r="BB188">
            <v>144.01306858103112</v>
          </cell>
          <cell r="BC188">
            <v>143.58102937528807</v>
          </cell>
        </row>
        <row r="189">
          <cell r="AJ189">
            <v>139.8090937652878</v>
          </cell>
          <cell r="AK189">
            <v>139.3896664839919</v>
          </cell>
          <cell r="AL189">
            <v>138.97149748453992</v>
          </cell>
          <cell r="AM189">
            <v>138.55458299208632</v>
          </cell>
          <cell r="AN189">
            <v>138.13891924311005</v>
          </cell>
          <cell r="AO189">
            <v>137.72450248538073</v>
          </cell>
          <cell r="AP189">
            <v>137.31132897792457</v>
          </cell>
          <cell r="AQ189">
            <v>136.8993949909908</v>
          </cell>
          <cell r="AR189">
            <v>136.48869680601783</v>
          </cell>
          <cell r="AS189">
            <v>136.07923071559978</v>
          </cell>
          <cell r="AT189">
            <v>135.67099302345298</v>
          </cell>
          <cell r="AU189">
            <v>135.26398004438261</v>
          </cell>
          <cell r="AV189">
            <v>134.85818810424951</v>
          </cell>
          <cell r="AW189">
            <v>134.45361353993673</v>
          </cell>
          <cell r="AX189">
            <v>134.0502526993169</v>
          </cell>
          <cell r="AY189">
            <v>133.64810194121895</v>
          </cell>
          <cell r="AZ189">
            <v>133.2471576353953</v>
          </cell>
          <cell r="BA189">
            <v>132.84741616248911</v>
          </cell>
          <cell r="BB189">
            <v>132.44887391400164</v>
          </cell>
          <cell r="BC189">
            <v>132.05152729225964</v>
          </cell>
        </row>
        <row r="190">
          <cell r="AJ190">
            <v>145.31748571570353</v>
          </cell>
          <cell r="AK190">
            <v>144.6490252814113</v>
          </cell>
          <cell r="AL190">
            <v>143.98363976511678</v>
          </cell>
          <cell r="AM190">
            <v>143.32131502219721</v>
          </cell>
          <cell r="AN190">
            <v>142.66203697309513</v>
          </cell>
          <cell r="AO190">
            <v>142.00579160301888</v>
          </cell>
          <cell r="AP190">
            <v>141.35256496164499</v>
          </cell>
          <cell r="AQ190">
            <v>140.70234316282142</v>
          </cell>
          <cell r="AR190">
            <v>140.05511238427243</v>
          </cell>
          <cell r="AS190">
            <v>139.41085886730474</v>
          </cell>
          <cell r="AT190">
            <v>138.76956891651517</v>
          </cell>
          <cell r="AU190">
            <v>138.13122889949918</v>
          </cell>
          <cell r="AV190">
            <v>137.49582524656148</v>
          </cell>
          <cell r="AW190">
            <v>136.86334445042729</v>
          </cell>
          <cell r="AX190">
            <v>136.23377306595532</v>
          </cell>
          <cell r="AY190">
            <v>135.6070977098519</v>
          </cell>
          <cell r="AZ190">
            <v>134.98330506038658</v>
          </cell>
          <cell r="BA190">
            <v>134.36238185710877</v>
          </cell>
          <cell r="BB190">
            <v>133.74431490056608</v>
          </cell>
          <cell r="BC190">
            <v>133.12909105202345</v>
          </cell>
        </row>
        <row r="191">
          <cell r="AJ191">
            <v>222.59784606545909</v>
          </cell>
          <cell r="AK191">
            <v>221.57389597355794</v>
          </cell>
          <cell r="AL191">
            <v>220.55465605207957</v>
          </cell>
          <cell r="AM191">
            <v>219.54010463423998</v>
          </cell>
          <cell r="AN191">
            <v>218.53022015292248</v>
          </cell>
          <cell r="AO191">
            <v>217.52498114021907</v>
          </cell>
          <cell r="AP191">
            <v>216.524366226974</v>
          </cell>
          <cell r="AQ191">
            <v>215.52835414232993</v>
          </cell>
          <cell r="AR191">
            <v>214.53692371327523</v>
          </cell>
          <cell r="AS191">
            <v>213.55005386419413</v>
          </cell>
          <cell r="AT191">
            <v>212.56772361641885</v>
          </cell>
          <cell r="AU191">
            <v>211.58991208778329</v>
          </cell>
          <cell r="AV191">
            <v>210.61659849217949</v>
          </cell>
          <cell r="AW191">
            <v>209.64776213911549</v>
          </cell>
          <cell r="AX191">
            <v>208.68338243327554</v>
          </cell>
          <cell r="AY191">
            <v>207.72343887408246</v>
          </cell>
          <cell r="AZ191">
            <v>206.76791105526164</v>
          </cell>
          <cell r="BA191">
            <v>205.81677866440742</v>
          </cell>
          <cell r="BB191">
            <v>204.87002148255115</v>
          </cell>
          <cell r="BC191">
            <v>203.92761938373141</v>
          </cell>
        </row>
        <row r="192">
          <cell r="AJ192">
            <v>99.800466695311329</v>
          </cell>
          <cell r="AK192">
            <v>99.341384548512892</v>
          </cell>
          <cell r="AL192">
            <v>98.884414179589726</v>
          </cell>
          <cell r="AM192">
            <v>98.429545874363612</v>
          </cell>
          <cell r="AN192">
            <v>97.976769963341553</v>
          </cell>
          <cell r="AO192">
            <v>97.526076821510159</v>
          </cell>
          <cell r="AP192">
            <v>97.077456868131208</v>
          </cell>
          <cell r="AQ192">
            <v>96.630900566537804</v>
          </cell>
          <cell r="AR192">
            <v>96.186398423931706</v>
          </cell>
          <cell r="AS192">
            <v>95.743940991181645</v>
          </cell>
          <cell r="AT192">
            <v>95.303518862622184</v>
          </cell>
          <cell r="AU192">
            <v>94.865122675854124</v>
          </cell>
          <cell r="AV192">
            <v>94.428743111545188</v>
          </cell>
          <cell r="AW192">
            <v>93.994370893232059</v>
          </cell>
          <cell r="AX192">
            <v>93.561996787123206</v>
          </cell>
          <cell r="AY192">
            <v>93.131611601902435</v>
          </cell>
          <cell r="AZ192">
            <v>92.70320618853367</v>
          </cell>
          <cell r="BA192">
            <v>92.276771440066412</v>
          </cell>
          <cell r="BB192">
            <v>91.852298291442111</v>
          </cell>
          <cell r="BC192">
            <v>91.429777719301455</v>
          </cell>
        </row>
        <row r="193">
          <cell r="AJ193">
            <v>115.92460375407767</v>
          </cell>
          <cell r="AK193">
            <v>115.39135057680888</v>
          </cell>
          <cell r="AL193">
            <v>114.86055036415554</v>
          </cell>
          <cell r="AM193">
            <v>114.33219183248042</v>
          </cell>
          <cell r="AN193">
            <v>113.80626375005102</v>
          </cell>
          <cell r="AO193">
            <v>113.28275493680079</v>
          </cell>
          <cell r="AP193">
            <v>112.76165426409149</v>
          </cell>
          <cell r="AQ193">
            <v>112.24295065447666</v>
          </cell>
          <cell r="AR193">
            <v>111.72663308146606</v>
          </cell>
          <cell r="AS193">
            <v>111.21269056929131</v>
          </cell>
          <cell r="AT193">
            <v>110.70111219267257</v>
          </cell>
          <cell r="AU193">
            <v>110.19188707658627</v>
          </cell>
          <cell r="AV193">
            <v>109.68500439603396</v>
          </cell>
          <cell r="AW193">
            <v>109.18045337581221</v>
          </cell>
          <cell r="AX193">
            <v>108.67822329028347</v>
          </cell>
          <cell r="AY193">
            <v>108.17830346314815</v>
          </cell>
          <cell r="AZ193">
            <v>107.68068326721767</v>
          </cell>
          <cell r="BA193">
            <v>107.18535212418847</v>
          </cell>
          <cell r="BB193">
            <v>106.69229950441719</v>
          </cell>
          <cell r="BC193">
            <v>106.20151492669685</v>
          </cell>
        </row>
        <row r="194">
          <cell r="AJ194">
            <v>262.07534540648163</v>
          </cell>
          <cell r="AK194">
            <v>261.00083649031507</v>
          </cell>
          <cell r="AL194">
            <v>259.93073306070477</v>
          </cell>
          <cell r="AM194">
            <v>258.86501705515593</v>
          </cell>
          <cell r="AN194">
            <v>257.80367048522976</v>
          </cell>
          <cell r="AO194">
            <v>256.74667543624031</v>
          </cell>
          <cell r="AP194">
            <v>255.69401406695175</v>
          </cell>
          <cell r="AQ194">
            <v>254.64566860927721</v>
          </cell>
          <cell r="AR194">
            <v>253.60162136797919</v>
          </cell>
          <cell r="AS194">
            <v>252.56185472037046</v>
          </cell>
          <cell r="AT194">
            <v>251.52635111601697</v>
          </cell>
          <cell r="AU194">
            <v>250.49509307644126</v>
          </cell>
          <cell r="AV194">
            <v>249.46806319482789</v>
          </cell>
          <cell r="AW194">
            <v>248.44524413572907</v>
          </cell>
          <cell r="AX194">
            <v>247.42661863477261</v>
          </cell>
          <cell r="AY194">
            <v>246.41216949837002</v>
          </cell>
          <cell r="AZ194">
            <v>245.40187960342669</v>
          </cell>
          <cell r="BA194">
            <v>244.39573189705266</v>
          </cell>
          <cell r="BB194">
            <v>243.39370939627474</v>
          </cell>
          <cell r="BC194">
            <v>242.39579518775</v>
          </cell>
        </row>
        <row r="195">
          <cell r="AJ195">
            <v>131.13568898994578</v>
          </cell>
          <cell r="AK195">
            <v>130.598032665087</v>
          </cell>
          <cell r="AL195">
            <v>130.06258073116015</v>
          </cell>
          <cell r="AM195">
            <v>129.52932415016238</v>
          </cell>
          <cell r="AN195">
            <v>128.99825392114673</v>
          </cell>
          <cell r="AO195">
            <v>128.46936108007003</v>
          </cell>
          <cell r="AP195">
            <v>127.94263669964174</v>
          </cell>
          <cell r="AQ195">
            <v>127.41807188917321</v>
          </cell>
          <cell r="AR195">
            <v>126.89565779442758</v>
          </cell>
          <cell r="AS195">
            <v>126.37538559747043</v>
          </cell>
          <cell r="AT195">
            <v>125.8572465165208</v>
          </cell>
          <cell r="AU195">
            <v>125.34123180580308</v>
          </cell>
          <cell r="AV195">
            <v>124.82733275539928</v>
          </cell>
          <cell r="AW195">
            <v>124.31554069110216</v>
          </cell>
          <cell r="AX195">
            <v>123.80584697426863</v>
          </cell>
          <cell r="AY195">
            <v>123.29824300167412</v>
          </cell>
          <cell r="AZ195">
            <v>122.79272020536726</v>
          </cell>
          <cell r="BA195">
            <v>122.28927005252525</v>
          </cell>
          <cell r="BB195">
            <v>121.78788404530991</v>
          </cell>
          <cell r="BC195">
            <v>121.28855372072414</v>
          </cell>
        </row>
        <row r="196">
          <cell r="AJ196">
            <v>388.53904086795518</v>
          </cell>
          <cell r="AK196">
            <v>387.10144641674378</v>
          </cell>
          <cell r="AL196">
            <v>385.66917106500182</v>
          </cell>
          <cell r="AM196">
            <v>384.24219513206134</v>
          </cell>
          <cell r="AN196">
            <v>382.82049901007264</v>
          </cell>
          <cell r="AO196">
            <v>381.40406316373543</v>
          </cell>
          <cell r="AP196">
            <v>379.99286813002959</v>
          </cell>
          <cell r="AQ196">
            <v>378.58689451794845</v>
          </cell>
          <cell r="AR196">
            <v>377.18612300823202</v>
          </cell>
          <cell r="AS196">
            <v>375.79053435310158</v>
          </cell>
          <cell r="AT196">
            <v>374.40010937599504</v>
          </cell>
          <cell r="AU196">
            <v>373.01482897130381</v>
          </cell>
          <cell r="AV196">
            <v>371.63467410410999</v>
          </cell>
          <cell r="AW196">
            <v>370.25962580992484</v>
          </cell>
          <cell r="AX196">
            <v>368.88966519442806</v>
          </cell>
          <cell r="AY196">
            <v>367.52477343320868</v>
          </cell>
          <cell r="AZ196">
            <v>366.16493177150574</v>
          </cell>
          <cell r="BA196">
            <v>364.81012152395118</v>
          </cell>
          <cell r="BB196">
            <v>363.46032407431255</v>
          </cell>
          <cell r="BC196">
            <v>362.11552087523751</v>
          </cell>
        </row>
        <row r="197">
          <cell r="AJ197">
            <v>59.370531105967878</v>
          </cell>
          <cell r="AK197">
            <v>58.836196326014168</v>
          </cell>
          <cell r="AL197">
            <v>58.306670559080032</v>
          </cell>
          <cell r="AM197">
            <v>57.781910524048321</v>
          </cell>
          <cell r="AN197">
            <v>57.261873329331884</v>
          </cell>
          <cell r="AO197">
            <v>56.74651646936789</v>
          </cell>
          <cell r="AP197">
            <v>56.235797821143585</v>
          </cell>
          <cell r="AQ197">
            <v>55.729675640753292</v>
          </cell>
          <cell r="AR197">
            <v>55.228108559986509</v>
          </cell>
          <cell r="AS197">
            <v>54.731055582946638</v>
          </cell>
          <cell r="AT197">
            <v>54.23847608270011</v>
          </cell>
          <cell r="AU197">
            <v>53.7503297979558</v>
          </cell>
          <cell r="AV197">
            <v>53.266576829774195</v>
          </cell>
          <cell r="AW197">
            <v>52.787177638306233</v>
          </cell>
          <cell r="AX197">
            <v>52.312093039561482</v>
          </cell>
          <cell r="AY197">
            <v>51.841284202205422</v>
          </cell>
          <cell r="AZ197">
            <v>51.374712644385568</v>
          </cell>
          <cell r="BA197">
            <v>50.912340230586103</v>
          </cell>
          <cell r="BB197">
            <v>50.454129168510818</v>
          </cell>
          <cell r="BC197">
            <v>50.000042005994224</v>
          </cell>
        </row>
        <row r="198">
          <cell r="AJ198">
            <v>24.999651305130403</v>
          </cell>
          <cell r="AK198">
            <v>24.881652950970185</v>
          </cell>
          <cell r="AL198">
            <v>24.764211549041608</v>
          </cell>
          <cell r="AM198">
            <v>24.647324470530133</v>
          </cell>
          <cell r="AN198">
            <v>24.530989099029235</v>
          </cell>
          <cell r="AO198">
            <v>24.415202830481817</v>
          </cell>
          <cell r="AP198">
            <v>24.299963073121944</v>
          </cell>
          <cell r="AQ198">
            <v>24.185267247416814</v>
          </cell>
          <cell r="AR198">
            <v>24.071112786009007</v>
          </cell>
          <cell r="AS198">
            <v>23.957497133659047</v>
          </cell>
          <cell r="AT198">
            <v>23.844417747188178</v>
          </cell>
          <cell r="AU198">
            <v>23.731872095421448</v>
          </cell>
          <cell r="AV198">
            <v>23.619857659131061</v>
          </cell>
          <cell r="AW198">
            <v>23.508371930979962</v>
          </cell>
          <cell r="AX198">
            <v>23.397412415465737</v>
          </cell>
          <cell r="AY198">
            <v>23.286976628864743</v>
          </cell>
          <cell r="AZ198">
            <v>23.177062099176499</v>
          </cell>
          <cell r="BA198">
            <v>23.067666366068391</v>
          </cell>
          <cell r="BB198">
            <v>22.958786980820545</v>
          </cell>
          <cell r="BC198">
            <v>22.850421506271072</v>
          </cell>
        </row>
        <row r="199">
          <cell r="AJ199">
            <v>123.18546526916165</v>
          </cell>
          <cell r="AK199">
            <v>122.60402987309122</v>
          </cell>
          <cell r="AL199">
            <v>122.02533885209023</v>
          </cell>
          <cell r="AM199">
            <v>121.44937925270838</v>
          </cell>
          <cell r="AN199">
            <v>120.87613818263561</v>
          </cell>
          <cell r="AO199">
            <v>120.30560281041356</v>
          </cell>
          <cell r="AP199">
            <v>119.73776036514843</v>
          </cell>
          <cell r="AQ199">
            <v>119.17259813622491</v>
          </cell>
          <cell r="AR199">
            <v>118.61010347302195</v>
          </cell>
          <cell r="AS199">
            <v>118.05026378462928</v>
          </cell>
          <cell r="AT199">
            <v>117.49306653956585</v>
          </cell>
          <cell r="AU199">
            <v>116.9384992654991</v>
          </cell>
          <cell r="AV199">
            <v>116.38654954896595</v>
          </cell>
          <cell r="AW199">
            <v>115.83720503509484</v>
          </cell>
          <cell r="AX199">
            <v>115.2904534273292</v>
          </cell>
          <cell r="AY199">
            <v>114.74628248715221</v>
          </cell>
          <cell r="AZ199">
            <v>114.20468003381286</v>
          </cell>
          <cell r="BA199">
            <v>113.66563394405327</v>
          </cell>
          <cell r="BB199">
            <v>113.12913215183734</v>
          </cell>
          <cell r="BC199">
            <v>112.59516264808069</v>
          </cell>
        </row>
        <row r="200">
          <cell r="AJ200">
            <v>173.75626356504489</v>
          </cell>
          <cell r="AK200">
            <v>173.3392485324888</v>
          </cell>
          <cell r="AL200">
            <v>172.92323433601084</v>
          </cell>
          <cell r="AM200">
            <v>172.50821857360444</v>
          </cell>
          <cell r="AN200">
            <v>172.09419884902775</v>
          </cell>
          <cell r="AO200">
            <v>171.6811727717901</v>
          </cell>
          <cell r="AP200">
            <v>171.26913795713781</v>
          </cell>
          <cell r="AQ200">
            <v>170.85809202604071</v>
          </cell>
          <cell r="AR200">
            <v>170.44803260517821</v>
          </cell>
          <cell r="AS200">
            <v>170.03895732692578</v>
          </cell>
          <cell r="AT200">
            <v>169.63086382934119</v>
          </cell>
          <cell r="AU200">
            <v>169.2237497561508</v>
          </cell>
          <cell r="AV200">
            <v>168.817612756736</v>
          </cell>
          <cell r="AW200">
            <v>168.41245048611989</v>
          </cell>
          <cell r="AX200">
            <v>168.00826060495319</v>
          </cell>
          <cell r="AY200">
            <v>167.60504077950128</v>
          </cell>
          <cell r="AZ200">
            <v>167.20278868163052</v>
          </cell>
          <cell r="BA200">
            <v>166.80150198879463</v>
          </cell>
          <cell r="BB200">
            <v>166.40117838402151</v>
          </cell>
          <cell r="BC200">
            <v>166.00181555589987</v>
          </cell>
        </row>
        <row r="201">
          <cell r="AJ201">
            <v>102.60715800935309</v>
          </cell>
          <cell r="AK201">
            <v>102.39168297753343</v>
          </cell>
          <cell r="AL201">
            <v>102.17666044328062</v>
          </cell>
          <cell r="AM201">
            <v>101.96208945634974</v>
          </cell>
          <cell r="AN201">
            <v>101.7479690684914</v>
          </cell>
          <cell r="AO201">
            <v>101.53429833344757</v>
          </cell>
          <cell r="AP201">
            <v>101.32107630694733</v>
          </cell>
          <cell r="AQ201">
            <v>101.10830204670275</v>
          </cell>
          <cell r="AR201">
            <v>100.89597461240467</v>
          </cell>
          <cell r="AS201">
            <v>100.68409306571861</v>
          </cell>
          <cell r="AT201">
            <v>100.47265647028061</v>
          </cell>
          <cell r="AU201">
            <v>100.26166389169303</v>
          </cell>
          <cell r="AV201">
            <v>100.05111439752048</v>
          </cell>
          <cell r="AW201">
            <v>99.84100705728568</v>
          </cell>
          <cell r="AX201">
            <v>99.631340942465386</v>
          </cell>
          <cell r="AY201">
            <v>99.422115126486204</v>
          </cell>
          <cell r="AZ201">
            <v>99.213328684720594</v>
          </cell>
          <cell r="BA201">
            <v>99.004980694482683</v>
          </cell>
          <cell r="BB201">
            <v>98.797070235024265</v>
          </cell>
          <cell r="BC201">
            <v>98.58959638753069</v>
          </cell>
        </row>
        <row r="202">
          <cell r="AJ202">
            <v>172.7988115869812</v>
          </cell>
          <cell r="AK202">
            <v>172.38409443917243</v>
          </cell>
          <cell r="AL202">
            <v>171.97037261251842</v>
          </cell>
          <cell r="AM202">
            <v>171.55764371824836</v>
          </cell>
          <cell r="AN202">
            <v>171.14590537332458</v>
          </cell>
          <cell r="AO202">
            <v>170.73515520042861</v>
          </cell>
          <cell r="AP202">
            <v>170.32539082794759</v>
          </cell>
          <cell r="AQ202">
            <v>169.91660988996051</v>
          </cell>
          <cell r="AR202">
            <v>169.50881002622461</v>
          </cell>
          <cell r="AS202">
            <v>169.10198888216169</v>
          </cell>
          <cell r="AT202">
            <v>168.69614410884452</v>
          </cell>
          <cell r="AU202">
            <v>168.29127336298328</v>
          </cell>
          <cell r="AV202">
            <v>167.88737430691214</v>
          </cell>
          <cell r="AW202">
            <v>167.48444460857556</v>
          </cell>
          <cell r="AX202">
            <v>167.08248194151497</v>
          </cell>
          <cell r="AY202">
            <v>166.68148398485533</v>
          </cell>
          <cell r="AZ202">
            <v>166.28144842329169</v>
          </cell>
          <cell r="BA202">
            <v>165.88237294707582</v>
          </cell>
          <cell r="BB202">
            <v>165.48425525200287</v>
          </cell>
          <cell r="BC202">
            <v>165.08709303939804</v>
          </cell>
        </row>
        <row r="203">
          <cell r="AJ203">
            <v>240.81093419092821</v>
          </cell>
          <cell r="AK203">
            <v>239.73049579952487</v>
          </cell>
          <cell r="AL203">
            <v>238.65490497503768</v>
          </cell>
          <cell r="AM203">
            <v>237.58413996804973</v>
          </cell>
          <cell r="AN203">
            <v>236.51817912672641</v>
          </cell>
          <cell r="AO203">
            <v>235.45700089637785</v>
          </cell>
          <cell r="AP203">
            <v>234.40058381902278</v>
          </cell>
          <cell r="AQ203">
            <v>233.34890653295474</v>
          </cell>
          <cell r="AR203">
            <v>232.30194777231026</v>
          </cell>
          <cell r="AS203">
            <v>231.25968636663848</v>
          </cell>
          <cell r="AT203">
            <v>230.22210124047351</v>
          </cell>
          <cell r="AU203">
            <v>229.18917141290791</v>
          </cell>
          <cell r="AV203">
            <v>228.16087599716866</v>
          </cell>
          <cell r="AW203">
            <v>227.1371942001947</v>
          </cell>
          <cell r="AX203">
            <v>226.11810532221651</v>
          </cell>
          <cell r="AY203">
            <v>225.1035887563375</v>
          </cell>
          <cell r="AZ203">
            <v>224.09362398811743</v>
          </cell>
          <cell r="BA203">
            <v>223.08819059515741</v>
          </cell>
          <cell r="BB203">
            <v>222.08726824668713</v>
          </cell>
          <cell r="BC203">
            <v>221.09083670315366</v>
          </cell>
        </row>
        <row r="204">
          <cell r="AJ204">
            <v>431.76412702890548</v>
          </cell>
          <cell r="AK204">
            <v>427.87824988564535</v>
          </cell>
          <cell r="AL204">
            <v>424.02734563667457</v>
          </cell>
          <cell r="AM204">
            <v>420.21109952594452</v>
          </cell>
          <cell r="AN204">
            <v>416.42919963021097</v>
          </cell>
          <cell r="AO204">
            <v>412.68133683353904</v>
          </cell>
          <cell r="AP204">
            <v>408.96720480203726</v>
          </cell>
          <cell r="AQ204">
            <v>405.28649995881892</v>
          </cell>
          <cell r="AR204">
            <v>401.63892145918953</v>
          </cell>
          <cell r="AS204">
            <v>398.02417116605687</v>
          </cell>
          <cell r="AT204">
            <v>394.44195362556229</v>
          </cell>
          <cell r="AU204">
            <v>390.89197604293219</v>
          </cell>
          <cell r="AV204">
            <v>387.37394825854579</v>
          </cell>
          <cell r="AW204">
            <v>383.88758272421893</v>
          </cell>
          <cell r="AX204">
            <v>380.43259447970092</v>
          </cell>
          <cell r="AY204">
            <v>377.00870112938355</v>
          </cell>
          <cell r="AZ204">
            <v>373.61562281921914</v>
          </cell>
          <cell r="BA204">
            <v>370.2530822138462</v>
          </cell>
          <cell r="BB204">
            <v>366.92080447392152</v>
          </cell>
          <cell r="BC204">
            <v>363.61851723365623</v>
          </cell>
        </row>
      </sheetData>
      <sheetData sheetId="4"/>
      <sheetData sheetId="5"/>
      <sheetData sheetId="6"/>
      <sheetData sheetId="7"/>
      <sheetData sheetId="8"/>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Efficacy"/>
      <sheetName val="Prices"/>
    </sheetNames>
    <sheetDataSet>
      <sheetData sheetId="0">
        <row r="8">
          <cell r="R8">
            <v>76</v>
          </cell>
          <cell r="U8">
            <v>90</v>
          </cell>
        </row>
        <row r="16">
          <cell r="R16">
            <v>62</v>
          </cell>
          <cell r="U16">
            <v>75</v>
          </cell>
        </row>
        <row r="25">
          <cell r="R25">
            <v>85</v>
          </cell>
          <cell r="U25">
            <v>98</v>
          </cell>
        </row>
      </sheetData>
      <sheetData sheetId="1">
        <row r="21">
          <cell r="U21">
            <v>0.81005788606478368</v>
          </cell>
        </row>
        <row r="22">
          <cell r="U22">
            <v>0.61169856272276224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1000bulbs.com/product/88360/LEDF-71130.html" TargetMode="External"/><Relationship Id="rId18" Type="http://schemas.openxmlformats.org/officeDocument/2006/relationships/hyperlink" Target="https://www.platt.com/platt-electric-supply/Wallpacks-LED-Wallpack-LED/Lumark/XTOR3A/product.aspx?zpid=887100" TargetMode="External"/><Relationship Id="rId26" Type="http://schemas.openxmlformats.org/officeDocument/2006/relationships/hyperlink" Target="https://www.platt.com/platt-electric-supply/Wallpacks-H-I-D-CFL-Wallpack-High-Pressure-Sodium/Lumark/WPS15/product.aspx?zpid=842182" TargetMode="External"/><Relationship Id="rId39" Type="http://schemas.openxmlformats.org/officeDocument/2006/relationships/hyperlink" Target="http://www.nwcouncil.org/energy/powerplan/7/technical" TargetMode="External"/><Relationship Id="rId3" Type="http://schemas.openxmlformats.org/officeDocument/2006/relationships/hyperlink" Target="https://www.1000bulbs.com/product/64532/RAB-WP4CH400PSQ.html" TargetMode="External"/><Relationship Id="rId21" Type="http://schemas.openxmlformats.org/officeDocument/2006/relationships/hyperlink" Target="http://www.cesco.com/b2c/product/Cooper-Lighting-AL2050LPCGY-All-Pro-1-Light-LED/3228" TargetMode="External"/><Relationship Id="rId34" Type="http://schemas.openxmlformats.org/officeDocument/2006/relationships/hyperlink" Target="https://www.platt.com/platt-electric-supply/HID-Metal-Halide-Traditional/Philips-Lighting/MH400-U-E/product.aspx?zpid=882680" TargetMode="External"/><Relationship Id="rId42" Type="http://schemas.openxmlformats.org/officeDocument/2006/relationships/hyperlink" Target="http://www.nwcouncil.org/energy/powerplan/7/technical" TargetMode="External"/><Relationship Id="rId47" Type="http://schemas.openxmlformats.org/officeDocument/2006/relationships/hyperlink" Target="http://www.nwcouncil.org/energy/powerplan/7/technical" TargetMode="External"/><Relationship Id="rId50" Type="http://schemas.openxmlformats.org/officeDocument/2006/relationships/hyperlink" Target="http://rtf.nwcouncil.org/measures/res/ResLightingCFLandLEDLamps_v3_3.xlsm" TargetMode="External"/><Relationship Id="rId7" Type="http://schemas.openxmlformats.org/officeDocument/2006/relationships/hyperlink" Target="https://www.1000bulbs.com/product/64874/RAB-WP2SN150.html" TargetMode="External"/><Relationship Id="rId12" Type="http://schemas.openxmlformats.org/officeDocument/2006/relationships/hyperlink" Target="http://www.cesco.com/b2c/product/Cooper-Lighting-AL2050LPCGY-All-Pro-1-Light-LED/3228" TargetMode="External"/><Relationship Id="rId17" Type="http://schemas.openxmlformats.org/officeDocument/2006/relationships/hyperlink" Target="https://www.1000bulbs.com/product/96043/RAB-WPLEDC104.html" TargetMode="External"/><Relationship Id="rId25" Type="http://schemas.openxmlformats.org/officeDocument/2006/relationships/hyperlink" Target="https://www.1000bulbs.com/product/101092/LED-8033E57.html" TargetMode="External"/><Relationship Id="rId33" Type="http://schemas.openxmlformats.org/officeDocument/2006/relationships/hyperlink" Target="https://www.platt.com/platt-electric-supply/HID-Metal-Halide-Pulse-Start-Traditional/Philips-Lighting/MHC150-U-M-4K-ALTO/product.aspx?zpid=528210" TargetMode="External"/><Relationship Id="rId38" Type="http://schemas.openxmlformats.org/officeDocument/2006/relationships/hyperlink" Target="https://www.platt.com/platt-electric-supply/HID-Metal-Halide-Pulse-Start-Traditional/Philips-Lighting/MHC150-U-M-4K-ALTO/product.aspx?zpid=528210" TargetMode="External"/><Relationship Id="rId46" Type="http://schemas.openxmlformats.org/officeDocument/2006/relationships/hyperlink" Target="http://www.nwcouncil.org/energy/powerplan/7/technical" TargetMode="External"/><Relationship Id="rId2" Type="http://schemas.openxmlformats.org/officeDocument/2006/relationships/hyperlink" Target="https://www.platt.com/platt-electric-supply/Wallpacks-H-I-D-CFL-Wallpack-High-Pressure-Sodium/Lithonia-Lighting/TWH-400S-TB-LPI/product.aspx?zpid=25999" TargetMode="External"/><Relationship Id="rId16" Type="http://schemas.openxmlformats.org/officeDocument/2006/relationships/hyperlink" Target="http://www.cesco.com/b2c/product/Cooper-Lighting-XTOR9A-PC2-Lumark-Crosstour-Full/119370" TargetMode="External"/><Relationship Id="rId20" Type="http://schemas.openxmlformats.org/officeDocument/2006/relationships/hyperlink" Target="http://www.cesco.com/b2c/product/Cooper-Lighting-XTOR3A-Crosstour-Junction-Box/587235" TargetMode="External"/><Relationship Id="rId29" Type="http://schemas.openxmlformats.org/officeDocument/2006/relationships/hyperlink" Target="https://www.1000bulbs.com/product/112102/TF-DC150150MHMTLP.html" TargetMode="External"/><Relationship Id="rId41" Type="http://schemas.openxmlformats.org/officeDocument/2006/relationships/hyperlink" Target="http://www.nwcouncil.org/energy/powerplan/7/technical" TargetMode="External"/><Relationship Id="rId54" Type="http://schemas.openxmlformats.org/officeDocument/2006/relationships/comments" Target="../comments9.xml"/><Relationship Id="rId1" Type="http://schemas.openxmlformats.org/officeDocument/2006/relationships/hyperlink" Target="https://www.platt.com/platt-electric-supply/Wallpacks-H-I-D-CFL-Wallpack-Metal-Halide/Lumark/WPP40/product.aspx?zpid=819040" TargetMode="External"/><Relationship Id="rId6" Type="http://schemas.openxmlformats.org/officeDocument/2006/relationships/hyperlink" Target="https://www.platt.com/platt-electric-supply/Wallpacks-H-I-D-CFL-Wallpack-Metal-Halide/Lithonia-Lighting/TWR1-150M-TB/product.aspx?zpid=794785" TargetMode="External"/><Relationship Id="rId11" Type="http://schemas.openxmlformats.org/officeDocument/2006/relationships/hyperlink" Target="http://www.cesco.com/b2c/product/Cooper-Lighting-XTOR3A-Crosstour-Junction-Box/587235" TargetMode="External"/><Relationship Id="rId24" Type="http://schemas.openxmlformats.org/officeDocument/2006/relationships/hyperlink" Target="https://www.platt.com/platt-electric-supply/LED-Post-Top-Site-Wall-Pack-Lamps-Pack/Light-Efficient-Design/LED-8033E30/Product.aspx?zpid=70941" TargetMode="External"/><Relationship Id="rId32" Type="http://schemas.openxmlformats.org/officeDocument/2006/relationships/hyperlink" Target="https://www.platt.com/platt-electric-supply/HID-Metal-Halide-Traditional/Philips-Lighting/MH150-U-M/product.aspx?zpid=267260" TargetMode="External"/><Relationship Id="rId37" Type="http://schemas.openxmlformats.org/officeDocument/2006/relationships/hyperlink" Target="https://www.platt.com/platt-electric-supply/HID-Metal-Halide-Traditional/Philips-Lighting/MH150-U-M/product.aspx?zpid=267260" TargetMode="External"/><Relationship Id="rId40" Type="http://schemas.openxmlformats.org/officeDocument/2006/relationships/hyperlink" Target="http://www.nwcouncil.org/energy/powerplan/7/technical" TargetMode="External"/><Relationship Id="rId45" Type="http://schemas.openxmlformats.org/officeDocument/2006/relationships/hyperlink" Target="http://www.nwcouncil.org/energy/powerplan/7/technical" TargetMode="External"/><Relationship Id="rId53" Type="http://schemas.openxmlformats.org/officeDocument/2006/relationships/vmlDrawing" Target="../drawings/vmlDrawing9.vml"/><Relationship Id="rId5" Type="http://schemas.openxmlformats.org/officeDocument/2006/relationships/hyperlink" Target="https://www.platt.com/platt-electric-supply/Wallpacks-H-I-D-CFL-Wallpack-High-Pressure-Sodium/Lumark/WPS15/product.aspx?zpid=842182" TargetMode="External"/><Relationship Id="rId15" Type="http://schemas.openxmlformats.org/officeDocument/2006/relationships/hyperlink" Target="https://www.platt.com/platt-electric-supply/Wallpacks-LED-Wallpack-LED/Lithonia-Lighting/TWH-LED-30C-50K/product.aspx?zpid=21321" TargetMode="External"/><Relationship Id="rId23" Type="http://schemas.openxmlformats.org/officeDocument/2006/relationships/hyperlink" Target="http://lppenergy.com/led-flood/10-led-down-light-iris/32w-led-10-down-light-iris-120-277v-4431-nominal-lumens-75-175w-hid-replace-usa-made-fits-1-75-od-tube/" TargetMode="External"/><Relationship Id="rId28" Type="http://schemas.openxmlformats.org/officeDocument/2006/relationships/hyperlink" Target="https://www.1000bulbs.com/product/64874/RAB-WP2SN150.html" TargetMode="External"/><Relationship Id="rId36" Type="http://schemas.openxmlformats.org/officeDocument/2006/relationships/hyperlink" Target="https://www.platt.com/platt-electric-supply/HID-High-Pressure-Sodium-Lamps-Standard/Philips-Lighting/C150S55-M/product.aspx?zpid=48763" TargetMode="External"/><Relationship Id="rId49" Type="http://schemas.openxmlformats.org/officeDocument/2006/relationships/hyperlink" Target="http://rtf.nwcouncil.org/measures/support/files/RTFStandardInformationWorkbook_v2_0.xlsx" TargetMode="External"/><Relationship Id="rId10" Type="http://schemas.openxmlformats.org/officeDocument/2006/relationships/hyperlink" Target="https://www.platt.com/platt-electric-supply/Wallpacks-LED-Wallpack-LED/Cree-Lighting/BXSPWA03FG-UZ/product.aspx?zpid=119585" TargetMode="External"/><Relationship Id="rId19" Type="http://schemas.openxmlformats.org/officeDocument/2006/relationships/hyperlink" Target="https://www.platt.com/platt-electric-supply/Wallpacks-LED-Wallpack-LED/Cree-Lighting/BXSPWA03FG-UZ/product.aspx?zpid=119585" TargetMode="External"/><Relationship Id="rId31" Type="http://schemas.openxmlformats.org/officeDocument/2006/relationships/hyperlink" Target="https://www.platt.com/platt-electric-supply/HID-High-Pressure-Sodium-Lamps-Standard/Philips-Lighting/C150S55-M/product.aspx?zpid=48763" TargetMode="External"/><Relationship Id="rId44" Type="http://schemas.openxmlformats.org/officeDocument/2006/relationships/hyperlink" Target="http://www.nwcouncil.org/energy/powerplan/7/technical" TargetMode="External"/><Relationship Id="rId52" Type="http://schemas.openxmlformats.org/officeDocument/2006/relationships/hyperlink" Target="http://www.nwcouncil.org/energy/powerplan/7/technical" TargetMode="External"/><Relationship Id="rId4" Type="http://schemas.openxmlformats.org/officeDocument/2006/relationships/hyperlink" Target="https://www.1000bulbs.com/product/59402/PLT-79084.html" TargetMode="External"/><Relationship Id="rId9" Type="http://schemas.openxmlformats.org/officeDocument/2006/relationships/hyperlink" Target="https://www.platt.com/platt-electric-supply/Wallpacks-LED-Wallpack-LED/Lumark/XTOR3A/product.aspx?zpid=887100" TargetMode="External"/><Relationship Id="rId14" Type="http://schemas.openxmlformats.org/officeDocument/2006/relationships/hyperlink" Target="https://www.platt.com/platt-electric-supply/Wallpacks-LED-Wallpack-LED/Lumark/XTOR9ARL/product.aspx?zpid=17772" TargetMode="External"/><Relationship Id="rId22" Type="http://schemas.openxmlformats.org/officeDocument/2006/relationships/hyperlink" Target="https://www.1000bulbs.com/product/88360/LEDF-71130.html" TargetMode="External"/><Relationship Id="rId27" Type="http://schemas.openxmlformats.org/officeDocument/2006/relationships/hyperlink" Target="https://www.platt.com/platt-electric-supply/Wallpacks-H-I-D-CFL-Wallpack-Metal-Halide/Lithonia-Lighting/TWR1-150M-TB/product.aspx?zpid=794785" TargetMode="External"/><Relationship Id="rId30" Type="http://schemas.openxmlformats.org/officeDocument/2006/relationships/hyperlink" Target="http://www.cesco.com/b2c/product/Cooper-Lighting-WPS40-Lumark-WP-Series-High/86119" TargetMode="External"/><Relationship Id="rId35" Type="http://schemas.openxmlformats.org/officeDocument/2006/relationships/hyperlink" Target="https://www.platt.com/platt-electric-supply/HID-Metal-Halide-Pulse-Start-Traditional/Philips-Lighting/MS400-U-PS/product.aspx?zpid=786890" TargetMode="External"/><Relationship Id="rId43" Type="http://schemas.openxmlformats.org/officeDocument/2006/relationships/hyperlink" Target="http://www.nwcouncil.org/energy/powerplan/7/technical" TargetMode="External"/><Relationship Id="rId48" Type="http://schemas.openxmlformats.org/officeDocument/2006/relationships/hyperlink" Target="http://rtf.nwcouncil.org/measures/res/ResLightingCFLandLEDLamps_v3_3.xlsm" TargetMode="External"/><Relationship Id="rId8" Type="http://schemas.openxmlformats.org/officeDocument/2006/relationships/hyperlink" Target="https://www.1000bulbs.com/product/112102/TF-DC150150MHMTLP.html" TargetMode="External"/><Relationship Id="rId51" Type="http://schemas.openxmlformats.org/officeDocument/2006/relationships/hyperlink" Target="http://rtf.nwcouncil.org/measures/support/files/RTFStandardInformationWorkbook_v2_0.xlsx"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AppData/CG/Main/CBSA/CBSA%202013/Data%20and%20Reports/CBSA%20Raw%20Data%20CONFIDENTIAL/CBSA%20Oct%2031%202014/GRISTv3_CBSA%20Public%20Site%20Summary%20Table%202014-10-31.xlsx" TargetMode="External"/><Relationship Id="rId1" Type="http://schemas.openxmlformats.org/officeDocument/2006/relationships/hyperlink" Target="../../../../../AppData/CG/Main/CBSA/CBSA%202013/Data%20and%20Reports/CBSA%20Raw%20Data%20CONFIDENTIAL/CBSA%20Oct%2031%202014/GRISTv1_CBSA%20Public%20Detailed%20Lighting%20Table%202014-10-31.xlsx" TargetMode="External"/><Relationship Id="rId4"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package" Target="../embeddings/Microsoft_Office_Word_Document1.docx"/><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sheetPr codeName="Sheet5"/>
  <dimension ref="C1:F14"/>
  <sheetViews>
    <sheetView tabSelected="1" zoomScaleNormal="100" zoomScaleSheetLayoutView="90" workbookViewId="0">
      <selection activeCell="C20" sqref="C20"/>
    </sheetView>
  </sheetViews>
  <sheetFormatPr defaultRowHeight="15"/>
  <cols>
    <col min="1" max="1" width="4" style="1" customWidth="1"/>
    <col min="2" max="2" width="4.28515625" style="1" customWidth="1"/>
    <col min="3" max="3" width="28.140625" style="1" customWidth="1"/>
    <col min="4" max="4" width="73.42578125" style="1" customWidth="1"/>
    <col min="5" max="5" width="55.140625" style="1" customWidth="1"/>
    <col min="6" max="6" width="61.42578125" style="1" customWidth="1"/>
    <col min="7" max="16384" width="9.140625" style="1"/>
  </cols>
  <sheetData>
    <row r="1" spans="3:6" ht="15.75" thickBot="1"/>
    <row r="2" spans="3:6" ht="19.5" thickBot="1">
      <c r="C2" s="2" t="s">
        <v>0</v>
      </c>
      <c r="D2" s="52" t="s">
        <v>969</v>
      </c>
      <c r="E2" s="3"/>
      <c r="F2" s="4"/>
    </row>
    <row r="3" spans="3:6">
      <c r="C3" s="5" t="s">
        <v>1</v>
      </c>
      <c r="D3" s="5" t="s">
        <v>2</v>
      </c>
      <c r="E3" s="5" t="s">
        <v>3</v>
      </c>
      <c r="F3" s="5" t="s">
        <v>4</v>
      </c>
    </row>
    <row r="4" spans="3:6" ht="45">
      <c r="C4" s="6" t="s">
        <v>5</v>
      </c>
      <c r="D4" s="7" t="s">
        <v>970</v>
      </c>
      <c r="E4" s="8"/>
      <c r="F4" s="9" t="s">
        <v>961</v>
      </c>
    </row>
    <row r="5" spans="3:6" ht="75">
      <c r="C5" s="6" t="s">
        <v>6</v>
      </c>
      <c r="D5" s="10" t="s">
        <v>972</v>
      </c>
      <c r="E5" s="11" t="s">
        <v>971</v>
      </c>
      <c r="F5" s="9" t="s">
        <v>41</v>
      </c>
    </row>
    <row r="6" spans="3:6">
      <c r="C6" s="6" t="s">
        <v>43</v>
      </c>
      <c r="D6" s="10" t="s">
        <v>962</v>
      </c>
      <c r="E6" s="11"/>
      <c r="F6" s="9" t="s">
        <v>41</v>
      </c>
    </row>
    <row r="7" spans="3:6">
      <c r="C7" s="6" t="s">
        <v>7</v>
      </c>
      <c r="D7" s="10" t="s">
        <v>963</v>
      </c>
      <c r="E7" s="10"/>
      <c r="F7" s="9" t="s">
        <v>41</v>
      </c>
    </row>
    <row r="8" spans="3:6" ht="30">
      <c r="C8" s="6" t="s">
        <v>8</v>
      </c>
      <c r="D8" s="10" t="s">
        <v>964</v>
      </c>
      <c r="E8" s="10"/>
      <c r="F8" s="9" t="s">
        <v>41</v>
      </c>
    </row>
    <row r="9" spans="3:6" ht="30">
      <c r="C9" s="6" t="s">
        <v>44</v>
      </c>
      <c r="D9" s="10" t="s">
        <v>965</v>
      </c>
      <c r="E9" s="12" t="s">
        <v>966</v>
      </c>
      <c r="F9" s="9" t="s">
        <v>41</v>
      </c>
    </row>
    <row r="10" spans="3:6" ht="75">
      <c r="C10" s="6" t="s">
        <v>9</v>
      </c>
      <c r="D10" s="10" t="s">
        <v>973</v>
      </c>
      <c r="E10" s="12"/>
      <c r="F10" s="9" t="s">
        <v>41</v>
      </c>
    </row>
    <row r="11" spans="3:6" ht="45">
      <c r="C11" s="6" t="s">
        <v>10</v>
      </c>
      <c r="D11" s="10" t="s">
        <v>974</v>
      </c>
      <c r="E11" s="10"/>
      <c r="F11" s="9" t="s">
        <v>41</v>
      </c>
    </row>
    <row r="12" spans="3:6">
      <c r="C12" s="6" t="s">
        <v>11</v>
      </c>
      <c r="D12" s="13" t="s">
        <v>967</v>
      </c>
      <c r="E12" s="12"/>
      <c r="F12" s="9" t="s">
        <v>41</v>
      </c>
    </row>
    <row r="13" spans="3:6">
      <c r="C13" s="6" t="s">
        <v>12</v>
      </c>
      <c r="D13" s="13" t="s">
        <v>968</v>
      </c>
      <c r="E13" s="14"/>
      <c r="F13" s="9" t="s">
        <v>41</v>
      </c>
    </row>
    <row r="14" spans="3:6" ht="30">
      <c r="C14" s="6" t="s">
        <v>13</v>
      </c>
      <c r="D14" s="13" t="s">
        <v>975</v>
      </c>
      <c r="E14" s="12"/>
      <c r="F14" s="9" t="s">
        <v>41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tabColor rgb="FFFFFF00"/>
  </sheetPr>
  <dimension ref="A1:EA28"/>
  <sheetViews>
    <sheetView zoomScale="90" zoomScaleNormal="90" workbookViewId="0">
      <selection activeCell="A7" sqref="A7"/>
    </sheetView>
  </sheetViews>
  <sheetFormatPr defaultRowHeight="12.75"/>
  <cols>
    <col min="1" max="1" width="44.28515625" customWidth="1"/>
    <col min="9" max="9" width="17" customWidth="1"/>
    <col min="10" max="10" width="20.42578125" customWidth="1"/>
    <col min="13" max="13" width="12" customWidth="1"/>
  </cols>
  <sheetData>
    <row r="1" spans="1:131" ht="13.5" thickBot="1">
      <c r="A1" s="187" t="s">
        <v>385</v>
      </c>
      <c r="B1" s="188"/>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row>
    <row r="2" spans="1:131" ht="13.5" thickBot="1">
      <c r="A2" s="189"/>
      <c r="B2" s="190"/>
      <c r="C2" s="191"/>
      <c r="D2" s="191"/>
      <c r="E2" s="191"/>
      <c r="F2" s="191"/>
      <c r="G2" s="191"/>
      <c r="H2" s="191"/>
      <c r="I2" s="191"/>
      <c r="J2" s="191"/>
      <c r="K2" s="191"/>
      <c r="L2" s="191"/>
      <c r="M2" s="191"/>
      <c r="N2" s="191"/>
      <c r="O2" s="192" t="s">
        <v>386</v>
      </c>
      <c r="P2" s="193"/>
      <c r="Q2" s="193"/>
      <c r="R2" s="193"/>
      <c r="S2" s="193"/>
      <c r="T2" s="193"/>
      <c r="U2" s="193"/>
      <c r="V2" s="193"/>
      <c r="W2" s="193"/>
      <c r="X2" s="193"/>
      <c r="Y2" s="193"/>
      <c r="Z2" s="194"/>
      <c r="AA2" s="191"/>
      <c r="AB2" s="192" t="s">
        <v>387</v>
      </c>
      <c r="AC2" s="193"/>
      <c r="AD2" s="193"/>
      <c r="AE2" s="193"/>
      <c r="AF2" s="193"/>
      <c r="AG2" s="193"/>
      <c r="AH2" s="193"/>
      <c r="AI2" s="193"/>
      <c r="AJ2" s="193"/>
      <c r="AK2" s="193"/>
      <c r="AL2" s="193"/>
      <c r="AM2" s="194"/>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row>
    <row r="3" spans="1:131" ht="102">
      <c r="A3" s="195" t="s">
        <v>388</v>
      </c>
      <c r="B3" s="196" t="s">
        <v>389</v>
      </c>
      <c r="C3" s="197" t="s">
        <v>390</v>
      </c>
      <c r="D3" s="197" t="s">
        <v>391</v>
      </c>
      <c r="E3" s="197" t="s">
        <v>392</v>
      </c>
      <c r="F3" s="197" t="s">
        <v>393</v>
      </c>
      <c r="G3" s="197" t="s">
        <v>394</v>
      </c>
      <c r="H3" s="197" t="s">
        <v>395</v>
      </c>
      <c r="I3" s="197" t="s">
        <v>396</v>
      </c>
      <c r="J3" s="197" t="s">
        <v>397</v>
      </c>
      <c r="K3" s="197" t="s">
        <v>398</v>
      </c>
      <c r="L3" s="197" t="s">
        <v>399</v>
      </c>
      <c r="M3" s="197" t="s">
        <v>400</v>
      </c>
      <c r="N3" s="197" t="s">
        <v>401</v>
      </c>
      <c r="O3" s="197" t="s">
        <v>402</v>
      </c>
      <c r="P3" s="197" t="s">
        <v>403</v>
      </c>
      <c r="Q3" s="197" t="s">
        <v>404</v>
      </c>
      <c r="R3" s="197" t="s">
        <v>405</v>
      </c>
      <c r="S3" s="197" t="s">
        <v>406</v>
      </c>
      <c r="T3" s="197" t="s">
        <v>407</v>
      </c>
      <c r="U3" s="197" t="s">
        <v>408</v>
      </c>
      <c r="V3" s="197" t="s">
        <v>409</v>
      </c>
      <c r="W3" s="197" t="s">
        <v>410</v>
      </c>
      <c r="X3" s="197" t="s">
        <v>411</v>
      </c>
      <c r="Y3" s="197" t="s">
        <v>412</v>
      </c>
      <c r="Z3" s="197" t="s">
        <v>413</v>
      </c>
      <c r="AA3" s="197"/>
      <c r="AB3" s="197" t="s">
        <v>402</v>
      </c>
      <c r="AC3" s="197" t="s">
        <v>403</v>
      </c>
      <c r="AD3" s="197" t="s">
        <v>404</v>
      </c>
      <c r="AE3" s="197" t="s">
        <v>405</v>
      </c>
      <c r="AF3" s="197" t="s">
        <v>406</v>
      </c>
      <c r="AG3" s="197" t="s">
        <v>407</v>
      </c>
      <c r="AH3" s="197" t="s">
        <v>408</v>
      </c>
      <c r="AI3" s="197" t="s">
        <v>409</v>
      </c>
      <c r="AJ3" s="197" t="s">
        <v>410</v>
      </c>
      <c r="AK3" s="197" t="s">
        <v>411</v>
      </c>
      <c r="AL3" s="197" t="s">
        <v>412</v>
      </c>
      <c r="AM3" s="197" t="s">
        <v>413</v>
      </c>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row>
    <row r="4" spans="1:131">
      <c r="A4" s="24" t="s">
        <v>414</v>
      </c>
      <c r="B4" s="24"/>
      <c r="C4" s="198">
        <v>841.23057955103127</v>
      </c>
      <c r="D4" s="198">
        <v>2.0115772129567233</v>
      </c>
      <c r="E4" s="198">
        <v>0.40231544259134466</v>
      </c>
      <c r="F4" s="198">
        <v>2.413892655548068</v>
      </c>
      <c r="G4" s="198">
        <v>2.9118370633748616</v>
      </c>
      <c r="H4" s="198">
        <v>606.70407853410973</v>
      </c>
      <c r="I4" s="198">
        <v>25.136627432025396</v>
      </c>
      <c r="J4" s="198">
        <v>-17.719494446739034</v>
      </c>
      <c r="K4" s="198">
        <v>-17.521768965801172</v>
      </c>
      <c r="L4" s="199">
        <v>208.35783916800992</v>
      </c>
      <c r="M4" s="198">
        <v>7.991727493705282</v>
      </c>
      <c r="N4" s="198">
        <v>0.1966317209355842</v>
      </c>
      <c r="O4" s="198">
        <v>34.957254535353464</v>
      </c>
      <c r="P4" s="198">
        <v>25.704867055863577</v>
      </c>
      <c r="Q4" s="198">
        <v>23.796958941043552</v>
      </c>
      <c r="R4" s="198">
        <v>13.608440301877943</v>
      </c>
      <c r="S4" s="198">
        <v>10.930836734771145</v>
      </c>
      <c r="T4" s="198">
        <v>8.4834454952136387</v>
      </c>
      <c r="U4" s="198">
        <v>8.8852922762987756</v>
      </c>
      <c r="V4" s="198">
        <v>12.902473192417036</v>
      </c>
      <c r="W4" s="198">
        <v>16.27219894121399</v>
      </c>
      <c r="X4" s="198">
        <v>26.520965611818589</v>
      </c>
      <c r="Y4" s="198">
        <v>30.919587484908899</v>
      </c>
      <c r="Z4" s="198">
        <v>36.679926114933892</v>
      </c>
      <c r="AA4" s="198"/>
      <c r="AB4" s="198">
        <v>57.397802925275748</v>
      </c>
      <c r="AC4" s="198">
        <v>49.653412120724148</v>
      </c>
      <c r="AD4" s="198">
        <v>49.896672219427458</v>
      </c>
      <c r="AE4" s="198">
        <v>47.27840988309088</v>
      </c>
      <c r="AF4" s="198">
        <v>43.538911289139342</v>
      </c>
      <c r="AG4" s="198">
        <v>39.546984749321552</v>
      </c>
      <c r="AH4" s="198">
        <v>43.234964332077062</v>
      </c>
      <c r="AI4" s="198">
        <v>46.726230758976754</v>
      </c>
      <c r="AJ4" s="198">
        <v>50.162783322259806</v>
      </c>
      <c r="AK4" s="198">
        <v>51.923254489999579</v>
      </c>
      <c r="AL4" s="198">
        <v>54.741256731866265</v>
      </c>
      <c r="AM4" s="45">
        <v>57.467650043157988</v>
      </c>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row>
    <row r="5" spans="1:131">
      <c r="A5" s="24" t="s">
        <v>415</v>
      </c>
      <c r="B5" s="24"/>
      <c r="C5" s="198">
        <v>733.02980952261714</v>
      </c>
      <c r="D5" s="198">
        <v>6.6707622506870052</v>
      </c>
      <c r="E5" s="198">
        <v>1.3341524501374011</v>
      </c>
      <c r="F5" s="198">
        <v>8.0049147008244059</v>
      </c>
      <c r="G5" s="198">
        <v>9.4780536996956233</v>
      </c>
      <c r="H5" s="198">
        <v>528.66857902598895</v>
      </c>
      <c r="I5" s="198">
        <v>95.661938802856014</v>
      </c>
      <c r="J5" s="198">
        <v>-17.559653435812884</v>
      </c>
      <c r="K5" s="198">
        <v>-16.825055120942302</v>
      </c>
      <c r="L5" s="199">
        <v>55.778179336857576</v>
      </c>
      <c r="M5" s="198">
        <v>6.9638154209681566</v>
      </c>
      <c r="N5" s="198">
        <v>0.17134055328854339</v>
      </c>
      <c r="O5" s="198">
        <v>30.460982109280696</v>
      </c>
      <c r="P5" s="198">
        <v>22.398655326842935</v>
      </c>
      <c r="Q5" s="198">
        <v>20.736146193212065</v>
      </c>
      <c r="R5" s="198">
        <v>11.858095324719899</v>
      </c>
      <c r="S5" s="198">
        <v>9.5248905168051508</v>
      </c>
      <c r="T5" s="198">
        <v>7.3922876635926205</v>
      </c>
      <c r="U5" s="198">
        <v>7.7424481030209229</v>
      </c>
      <c r="V5" s="198">
        <v>11.242931125561149</v>
      </c>
      <c r="W5" s="198">
        <v>14.179235967335206</v>
      </c>
      <c r="X5" s="198">
        <v>23.109785644219961</v>
      </c>
      <c r="Y5" s="198">
        <v>26.94264792023737</v>
      </c>
      <c r="Z5" s="198">
        <v>31.962080203603197</v>
      </c>
      <c r="AA5" s="198"/>
      <c r="AB5" s="198">
        <v>50.015182006087862</v>
      </c>
      <c r="AC5" s="198">
        <v>43.266890331575816</v>
      </c>
      <c r="AD5" s="198">
        <v>43.478861826848977</v>
      </c>
      <c r="AE5" s="198">
        <v>41.197365661184904</v>
      </c>
      <c r="AF5" s="198">
        <v>37.938848901728342</v>
      </c>
      <c r="AG5" s="198">
        <v>34.460371986787088</v>
      </c>
      <c r="AH5" s="198">
        <v>37.67399621394415</v>
      </c>
      <c r="AI5" s="198">
        <v>40.71620892721576</v>
      </c>
      <c r="AJ5" s="198">
        <v>43.710745184114899</v>
      </c>
      <c r="AK5" s="198">
        <v>45.244781007500059</v>
      </c>
      <c r="AL5" s="198">
        <v>47.700326130089771</v>
      </c>
      <c r="AM5" s="45">
        <v>50.076045247108233</v>
      </c>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row>
    <row r="6" spans="1:131">
      <c r="A6" s="24" t="s">
        <v>416</v>
      </c>
      <c r="B6" s="24"/>
      <c r="C6" s="198">
        <v>734.71773160610712</v>
      </c>
      <c r="D6" s="198">
        <v>7.3019593555087283</v>
      </c>
      <c r="E6" s="198">
        <v>1.4603918711017458</v>
      </c>
      <c r="F6" s="198">
        <v>8.7623512266104733</v>
      </c>
      <c r="G6" s="198">
        <v>10.374880753302065</v>
      </c>
      <c r="H6" s="198">
        <v>529.88592565745375</v>
      </c>
      <c r="I6" s="198">
        <v>104.47304242584816</v>
      </c>
      <c r="J6" s="198">
        <v>-17.539683645065445</v>
      </c>
      <c r="K6" s="198">
        <v>-16.737423917990586</v>
      </c>
      <c r="L6" s="199">
        <v>51.073929258300566</v>
      </c>
      <c r="M6" s="198">
        <v>6.9798507549773587</v>
      </c>
      <c r="N6" s="198">
        <v>0.17173509318301433</v>
      </c>
      <c r="O6" s="198">
        <v>30.531123546530743</v>
      </c>
      <c r="P6" s="198">
        <v>22.4502319264239</v>
      </c>
      <c r="Q6" s="198">
        <v>20.783894591205311</v>
      </c>
      <c r="R6" s="198">
        <v>11.88540054574462</v>
      </c>
      <c r="S6" s="198">
        <v>9.5468231487899384</v>
      </c>
      <c r="T6" s="198">
        <v>7.4093096256367206</v>
      </c>
      <c r="U6" s="198">
        <v>7.7602763672519153</v>
      </c>
      <c r="V6" s="198">
        <v>11.268819829517609</v>
      </c>
      <c r="W6" s="198">
        <v>14.211885997668714</v>
      </c>
      <c r="X6" s="198">
        <v>23.162999738690417</v>
      </c>
      <c r="Y6" s="198">
        <v>27.004687812505704</v>
      </c>
      <c r="Z6" s="198">
        <v>32.035678166890762</v>
      </c>
      <c r="AA6" s="198"/>
      <c r="AB6" s="198">
        <v>50.130350214967144</v>
      </c>
      <c r="AC6" s="198">
        <v>43.36651948543269</v>
      </c>
      <c r="AD6" s="198">
        <v>43.578979080048185</v>
      </c>
      <c r="AE6" s="198">
        <v>41.292229393024691</v>
      </c>
      <c r="AF6" s="198">
        <v>38.026209361086899</v>
      </c>
      <c r="AG6" s="198">
        <v>34.539722679113851</v>
      </c>
      <c r="AH6" s="198">
        <v>37.760746806289426</v>
      </c>
      <c r="AI6" s="198">
        <v>40.809964716286594</v>
      </c>
      <c r="AJ6" s="198">
        <v>43.811396387004066</v>
      </c>
      <c r="AK6" s="198">
        <v>45.348964580982511</v>
      </c>
      <c r="AL6" s="198">
        <v>47.810164001372364</v>
      </c>
      <c r="AM6" s="45">
        <v>50.19135360364217</v>
      </c>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row>
    <row r="7" spans="1:131">
      <c r="A7" s="24" t="s">
        <v>419</v>
      </c>
      <c r="B7" s="24"/>
      <c r="C7" s="198">
        <v>1818.1320336264869</v>
      </c>
      <c r="D7" s="198">
        <v>51.863052062075326</v>
      </c>
      <c r="E7" s="198">
        <v>10.372610412415066</v>
      </c>
      <c r="F7" s="198">
        <v>62.23566247449039</v>
      </c>
      <c r="G7" s="198">
        <v>73.688849040277987</v>
      </c>
      <c r="H7" s="198">
        <v>1311.255376264872</v>
      </c>
      <c r="I7" s="198">
        <v>299.85963241024842</v>
      </c>
      <c r="J7" s="198">
        <v>-17.096852703131638</v>
      </c>
      <c r="K7" s="198">
        <v>-14.794198341084517</v>
      </c>
      <c r="L7" s="199">
        <v>17.794488492392464</v>
      </c>
      <c r="M7" s="198">
        <v>17.27233426068965</v>
      </c>
      <c r="N7" s="198">
        <v>0.42497555289881439</v>
      </c>
      <c r="O7" s="198">
        <v>75.552299004966684</v>
      </c>
      <c r="P7" s="198">
        <v>55.555329716281044</v>
      </c>
      <c r="Q7" s="198">
        <v>51.431812401181134</v>
      </c>
      <c r="R7" s="198">
        <v>29.411604668178942</v>
      </c>
      <c r="S7" s="198">
        <v>23.624562521770496</v>
      </c>
      <c r="T7" s="198">
        <v>18.335072910216969</v>
      </c>
      <c r="U7" s="198">
        <v>19.203574986889581</v>
      </c>
      <c r="V7" s="198">
        <v>27.885814418040145</v>
      </c>
      <c r="W7" s="198">
        <v>35.168724095067745</v>
      </c>
      <c r="X7" s="198">
        <v>57.319144493401986</v>
      </c>
      <c r="Y7" s="198">
        <v>66.825783369444537</v>
      </c>
      <c r="Z7" s="198">
        <v>79.275468916270555</v>
      </c>
      <c r="AA7" s="198"/>
      <c r="AB7" s="198">
        <v>124.05253291424525</v>
      </c>
      <c r="AC7" s="198">
        <v>107.3147616717966</v>
      </c>
      <c r="AD7" s="198">
        <v>107.84051405016552</v>
      </c>
      <c r="AE7" s="198">
        <v>102.18172472195081</v>
      </c>
      <c r="AF7" s="198">
        <v>94.099633617995565</v>
      </c>
      <c r="AG7" s="198">
        <v>85.471975881397356</v>
      </c>
      <c r="AH7" s="198">
        <v>93.44272014790613</v>
      </c>
      <c r="AI7" s="198">
        <v>100.98831285812209</v>
      </c>
      <c r="AJ7" s="198">
        <v>108.41565377086063</v>
      </c>
      <c r="AK7" s="198">
        <v>112.22051905054623</v>
      </c>
      <c r="AL7" s="198">
        <v>118.31100157853935</v>
      </c>
      <c r="AM7" s="45">
        <v>124.20349186125115</v>
      </c>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row>
    <row r="8" spans="1:131">
      <c r="A8" s="24" t="s">
        <v>417</v>
      </c>
      <c r="B8" s="24"/>
      <c r="C8" s="198">
        <v>315.58847519429145</v>
      </c>
      <c r="D8" s="198">
        <v>4.7789999869194872</v>
      </c>
      <c r="E8" s="198">
        <v>0.95579999738389754</v>
      </c>
      <c r="F8" s="198">
        <v>5.7347999843033843</v>
      </c>
      <c r="G8" s="198">
        <v>13.665787165461603</v>
      </c>
      <c r="H8" s="198">
        <v>227.60562881692306</v>
      </c>
      <c r="I8" s="198">
        <v>159.18467184699767</v>
      </c>
      <c r="J8" s="198">
        <v>-17.415683311197924</v>
      </c>
      <c r="K8" s="198">
        <v>-14.590187212489989</v>
      </c>
      <c r="L8" s="199">
        <v>16.655142222042283</v>
      </c>
      <c r="M8" s="198">
        <v>2.9981043904191012</v>
      </c>
      <c r="N8" s="198">
        <v>7.3766582543883921E-2</v>
      </c>
      <c r="O8" s="198">
        <v>13.114248250080038</v>
      </c>
      <c r="P8" s="198">
        <v>9.6432060322408404</v>
      </c>
      <c r="Q8" s="198">
        <v>8.9274524357795482</v>
      </c>
      <c r="R8" s="198">
        <v>5.1052196972372155</v>
      </c>
      <c r="S8" s="198">
        <v>4.1007140985831319</v>
      </c>
      <c r="T8" s="198">
        <v>3.1825728799079429</v>
      </c>
      <c r="U8" s="198">
        <v>3.333326093101971</v>
      </c>
      <c r="V8" s="198">
        <v>4.8403754452237004</v>
      </c>
      <c r="W8" s="198">
        <v>6.1045313576886739</v>
      </c>
      <c r="X8" s="198">
        <v>9.9493662041874682</v>
      </c>
      <c r="Y8" s="198">
        <v>11.59951350461691</v>
      </c>
      <c r="Z8" s="198">
        <v>13.760510179063267</v>
      </c>
      <c r="AA8" s="198"/>
      <c r="AB8" s="198">
        <v>21.532841940146529</v>
      </c>
      <c r="AC8" s="198">
        <v>18.627526150721078</v>
      </c>
      <c r="AD8" s="198">
        <v>18.718785414817688</v>
      </c>
      <c r="AE8" s="198">
        <v>17.73654173696173</v>
      </c>
      <c r="AF8" s="198">
        <v>16.333665179756437</v>
      </c>
      <c r="AG8" s="198">
        <v>14.836090031619189</v>
      </c>
      <c r="AH8" s="198">
        <v>16.219639181354879</v>
      </c>
      <c r="AI8" s="198">
        <v>17.529391198156659</v>
      </c>
      <c r="AJ8" s="198">
        <v>18.818617255476585</v>
      </c>
      <c r="AK8" s="198">
        <v>19.479059736950603</v>
      </c>
      <c r="AL8" s="198">
        <v>20.536236035842926</v>
      </c>
      <c r="AM8" s="45">
        <v>21.559045154776381</v>
      </c>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row>
    <row r="9" spans="1:131">
      <c r="A9" s="24" t="s">
        <v>418</v>
      </c>
      <c r="B9" s="24"/>
      <c r="C9" s="198">
        <v>315.58847519429145</v>
      </c>
      <c r="D9" s="198">
        <v>4.7789999869194872</v>
      </c>
      <c r="E9" s="198">
        <v>0.95579999738389754</v>
      </c>
      <c r="F9" s="198">
        <v>5.7347999843033843</v>
      </c>
      <c r="G9" s="198">
        <v>13.665787165461603</v>
      </c>
      <c r="H9" s="198">
        <v>227.60562881692306</v>
      </c>
      <c r="I9" s="198">
        <v>159.18467184699767</v>
      </c>
      <c r="J9" s="198">
        <v>-17.415683311197924</v>
      </c>
      <c r="K9" s="198">
        <v>-14.590187212489989</v>
      </c>
      <c r="L9" s="199">
        <v>16.655142222042283</v>
      </c>
      <c r="M9" s="198">
        <v>2.9981043904191012</v>
      </c>
      <c r="N9" s="198">
        <v>7.3766582543883921E-2</v>
      </c>
      <c r="O9" s="198">
        <v>13.114248250080038</v>
      </c>
      <c r="P9" s="198">
        <v>9.6432060322408404</v>
      </c>
      <c r="Q9" s="198">
        <v>8.9274524357795482</v>
      </c>
      <c r="R9" s="198">
        <v>5.1052196972372155</v>
      </c>
      <c r="S9" s="198">
        <v>4.1007140985831319</v>
      </c>
      <c r="T9" s="198">
        <v>3.1825728799079429</v>
      </c>
      <c r="U9" s="198">
        <v>3.333326093101971</v>
      </c>
      <c r="V9" s="198">
        <v>4.8403754452237004</v>
      </c>
      <c r="W9" s="198">
        <v>6.1045313576886739</v>
      </c>
      <c r="X9" s="198">
        <v>9.9493662041874682</v>
      </c>
      <c r="Y9" s="198">
        <v>11.59951350461691</v>
      </c>
      <c r="Z9" s="198">
        <v>13.760510179063267</v>
      </c>
      <c r="AA9" s="198"/>
      <c r="AB9" s="198">
        <v>21.532841940146529</v>
      </c>
      <c r="AC9" s="198">
        <v>18.627526150721078</v>
      </c>
      <c r="AD9" s="198">
        <v>18.718785414817688</v>
      </c>
      <c r="AE9" s="198">
        <v>17.73654173696173</v>
      </c>
      <c r="AF9" s="198">
        <v>16.333665179756437</v>
      </c>
      <c r="AG9" s="198">
        <v>14.836090031619189</v>
      </c>
      <c r="AH9" s="198">
        <v>16.219639181354879</v>
      </c>
      <c r="AI9" s="198">
        <v>17.529391198156659</v>
      </c>
      <c r="AJ9" s="198">
        <v>18.818617255476585</v>
      </c>
      <c r="AK9" s="198">
        <v>19.479059736950603</v>
      </c>
      <c r="AL9" s="198">
        <v>20.536236035842926</v>
      </c>
      <c r="AM9" s="45">
        <v>21.559045154776381</v>
      </c>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row>
    <row r="10" spans="1:131">
      <c r="A10" s="24" t="s">
        <v>424</v>
      </c>
      <c r="B10" s="24"/>
      <c r="C10" s="198">
        <v>1468.6907917047924</v>
      </c>
      <c r="D10" s="198">
        <v>134.02315442591345</v>
      </c>
      <c r="E10" s="198">
        <v>26.804630885182689</v>
      </c>
      <c r="F10" s="198">
        <v>160.82778531109614</v>
      </c>
      <c r="G10" s="198">
        <v>194.00378265081457</v>
      </c>
      <c r="H10" s="198">
        <v>1059.2347866245555</v>
      </c>
      <c r="I10" s="198">
        <v>959.25664359199027</v>
      </c>
      <c r="J10" s="198">
        <v>-15.602372454547242</v>
      </c>
      <c r="K10" s="198">
        <v>-8.0568303284218423</v>
      </c>
      <c r="L10" s="199">
        <v>5.4598666693579956</v>
      </c>
      <c r="M10" s="198">
        <v>13.952627097891837</v>
      </c>
      <c r="N10" s="198">
        <v>0.34329612464787984</v>
      </c>
      <c r="O10" s="198">
        <v>61.031302341333543</v>
      </c>
      <c r="P10" s="198">
        <v>44.87770947067974</v>
      </c>
      <c r="Q10" s="198">
        <v>41.546723712707731</v>
      </c>
      <c r="R10" s="198">
        <v>23.75875467044893</v>
      </c>
      <c r="S10" s="198">
        <v>19.083970136410123</v>
      </c>
      <c r="T10" s="198">
        <v>14.811109562136343</v>
      </c>
      <c r="U10" s="198">
        <v>15.512687323813692</v>
      </c>
      <c r="V10" s="198">
        <v>22.526218171995609</v>
      </c>
      <c r="W10" s="198">
        <v>28.409367570190302</v>
      </c>
      <c r="X10" s="198">
        <v>46.302522670996822</v>
      </c>
      <c r="Y10" s="198">
        <v>53.982005084304802</v>
      </c>
      <c r="Z10" s="198">
        <v>64.038886644095854</v>
      </c>
      <c r="AA10" s="198"/>
      <c r="AB10" s="198">
        <v>100.20989092601698</v>
      </c>
      <c r="AC10" s="198">
        <v>86.689084932399126</v>
      </c>
      <c r="AD10" s="198">
        <v>87.113788783684981</v>
      </c>
      <c r="AE10" s="198">
        <v>82.54260713964949</v>
      </c>
      <c r="AF10" s="198">
        <v>76.013877343045039</v>
      </c>
      <c r="AG10" s="198">
        <v>69.044437699848274</v>
      </c>
      <c r="AH10" s="198">
        <v>75.483221292426549</v>
      </c>
      <c r="AI10" s="198">
        <v>81.578566584453725</v>
      </c>
      <c r="AJ10" s="198">
        <v>87.578387831557052</v>
      </c>
      <c r="AK10" s="198">
        <v>90.651965820722793</v>
      </c>
      <c r="AL10" s="198">
        <v>95.571870118355363</v>
      </c>
      <c r="AM10" s="45">
        <v>100.3318358735194</v>
      </c>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row>
    <row r="11" spans="1:131">
      <c r="A11" s="24" t="s">
        <v>421</v>
      </c>
      <c r="B11" s="24"/>
      <c r="C11" s="198">
        <v>77.194303284934591</v>
      </c>
      <c r="D11" s="198">
        <v>4.0008899869194874</v>
      </c>
      <c r="E11" s="198">
        <v>0.8001779973838975</v>
      </c>
      <c r="F11" s="198">
        <v>4.8010679843033852</v>
      </c>
      <c r="G11" s="198">
        <v>11.440743080836778</v>
      </c>
      <c r="H11" s="198">
        <v>55.673319278959603</v>
      </c>
      <c r="I11" s="198">
        <v>544.82460172298306</v>
      </c>
      <c r="J11" s="198">
        <v>-16.541655603319395</v>
      </c>
      <c r="K11" s="198">
        <v>-6.8711278522052313</v>
      </c>
      <c r="L11" s="199">
        <v>4.8662328037251621</v>
      </c>
      <c r="M11" s="198">
        <v>0.73334927535431171</v>
      </c>
      <c r="N11" s="198">
        <v>1.8043624507137073E-2</v>
      </c>
      <c r="O11" s="198">
        <v>3.2078017302354049</v>
      </c>
      <c r="P11" s="198">
        <v>2.3587698208358887</v>
      </c>
      <c r="Q11" s="198">
        <v>2.1836934015575871</v>
      </c>
      <c r="R11" s="198">
        <v>1.2487587748637792</v>
      </c>
      <c r="S11" s="198">
        <v>1.0030523694376006</v>
      </c>
      <c r="T11" s="198">
        <v>0.77847106415014411</v>
      </c>
      <c r="U11" s="198">
        <v>0.81534595083069783</v>
      </c>
      <c r="V11" s="198">
        <v>1.1839767276086746</v>
      </c>
      <c r="W11" s="198">
        <v>1.4931947205857186</v>
      </c>
      <c r="X11" s="198">
        <v>2.433657920448733</v>
      </c>
      <c r="Y11" s="198">
        <v>2.8372910730717615</v>
      </c>
      <c r="Z11" s="198">
        <v>3.3658801876845397</v>
      </c>
      <c r="AA11" s="198"/>
      <c r="AB11" s="198">
        <v>5.2670260860790057</v>
      </c>
      <c r="AC11" s="198">
        <v>4.5563733030540767</v>
      </c>
      <c r="AD11" s="198">
        <v>4.5786957129769874</v>
      </c>
      <c r="AE11" s="198">
        <v>4.3384346694726528</v>
      </c>
      <c r="AF11" s="198">
        <v>3.9952850079979769</v>
      </c>
      <c r="AG11" s="198">
        <v>3.6289716624104487</v>
      </c>
      <c r="AH11" s="198">
        <v>3.9673937565904014</v>
      </c>
      <c r="AI11" s="198">
        <v>4.2877647535059449</v>
      </c>
      <c r="AJ11" s="198">
        <v>4.6031150121309627</v>
      </c>
      <c r="AK11" s="198">
        <v>4.7646620939303626</v>
      </c>
      <c r="AL11" s="198">
        <v>5.0232519799903557</v>
      </c>
      <c r="AM11" s="45">
        <v>5.2734355054848692</v>
      </c>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row>
    <row r="12" spans="1:131">
      <c r="A12" s="24" t="s">
        <v>422</v>
      </c>
      <c r="B12" s="24"/>
      <c r="C12" s="198">
        <v>77.194303284934591</v>
      </c>
      <c r="D12" s="198">
        <v>4.0008899869194874</v>
      </c>
      <c r="E12" s="198">
        <v>0.8001779973838975</v>
      </c>
      <c r="F12" s="198">
        <v>4.8010679843033852</v>
      </c>
      <c r="G12" s="198">
        <v>11.440743080836778</v>
      </c>
      <c r="H12" s="198">
        <v>55.673319278959603</v>
      </c>
      <c r="I12" s="198">
        <v>544.82460172298306</v>
      </c>
      <c r="J12" s="198">
        <v>-16.541655603319395</v>
      </c>
      <c r="K12" s="198">
        <v>-6.8711278522052313</v>
      </c>
      <c r="L12" s="199">
        <v>4.8662328037251621</v>
      </c>
      <c r="M12" s="198">
        <v>0.73334927535431171</v>
      </c>
      <c r="N12" s="198">
        <v>1.8043624507137073E-2</v>
      </c>
      <c r="O12" s="198">
        <v>3.2078017302354049</v>
      </c>
      <c r="P12" s="198">
        <v>2.3587698208358887</v>
      </c>
      <c r="Q12" s="198">
        <v>2.1836934015575871</v>
      </c>
      <c r="R12" s="198">
        <v>1.2487587748637792</v>
      </c>
      <c r="S12" s="198">
        <v>1.0030523694376006</v>
      </c>
      <c r="T12" s="198">
        <v>0.77847106415014411</v>
      </c>
      <c r="U12" s="198">
        <v>0.81534595083069783</v>
      </c>
      <c r="V12" s="198">
        <v>1.1839767276086746</v>
      </c>
      <c r="W12" s="198">
        <v>1.4931947205857186</v>
      </c>
      <c r="X12" s="198">
        <v>2.433657920448733</v>
      </c>
      <c r="Y12" s="198">
        <v>2.8372910730717615</v>
      </c>
      <c r="Z12" s="198">
        <v>3.3658801876845397</v>
      </c>
      <c r="AA12" s="198"/>
      <c r="AB12" s="198">
        <v>5.2670260860790057</v>
      </c>
      <c r="AC12" s="198">
        <v>4.5563733030540767</v>
      </c>
      <c r="AD12" s="198">
        <v>4.5786957129769874</v>
      </c>
      <c r="AE12" s="198">
        <v>4.3384346694726528</v>
      </c>
      <c r="AF12" s="198">
        <v>3.9952850079979769</v>
      </c>
      <c r="AG12" s="198">
        <v>3.6289716624104487</v>
      </c>
      <c r="AH12" s="198">
        <v>3.9673937565904014</v>
      </c>
      <c r="AI12" s="198">
        <v>4.2877647535059449</v>
      </c>
      <c r="AJ12" s="198">
        <v>4.6031150121309627</v>
      </c>
      <c r="AK12" s="198">
        <v>4.7646620939303626</v>
      </c>
      <c r="AL12" s="198">
        <v>5.0232519799903557</v>
      </c>
      <c r="AM12" s="45">
        <v>5.2734355054848692</v>
      </c>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row>
    <row r="13" spans="1:131">
      <c r="A13" s="24" t="s">
        <v>425</v>
      </c>
      <c r="B13" s="24"/>
      <c r="C13" s="198">
        <v>3575.1679071329308</v>
      </c>
      <c r="D13" s="198">
        <v>532.0694632777404</v>
      </c>
      <c r="E13" s="198">
        <v>106.41389265554808</v>
      </c>
      <c r="F13" s="198">
        <v>638.48335593328852</v>
      </c>
      <c r="G13" s="198">
        <v>770.19145647650839</v>
      </c>
      <c r="H13" s="198">
        <v>2578.4475783790995</v>
      </c>
      <c r="I13" s="198">
        <v>1564.4339911467116</v>
      </c>
      <c r="J13" s="198">
        <v>-14.230777531497223</v>
      </c>
      <c r="K13" s="198">
        <v>-1.9248918620090572</v>
      </c>
      <c r="L13" s="199">
        <v>3.3478008054971777</v>
      </c>
      <c r="M13" s="198">
        <v>33.964252313908865</v>
      </c>
      <c r="N13" s="198">
        <v>0.83567030883305371</v>
      </c>
      <c r="O13" s="198">
        <v>148.56575304594153</v>
      </c>
      <c r="P13" s="198">
        <v>109.2437887889062</v>
      </c>
      <c r="Q13" s="198">
        <v>101.13532004362652</v>
      </c>
      <c r="R13" s="198">
        <v>57.834867414561231</v>
      </c>
      <c r="S13" s="198">
        <v>46.455249776013211</v>
      </c>
      <c r="T13" s="198">
        <v>36.054017547229876</v>
      </c>
      <c r="U13" s="198">
        <v>37.761836723378948</v>
      </c>
      <c r="V13" s="198">
        <v>54.834559277185761</v>
      </c>
      <c r="W13" s="198">
        <v>69.155645131397193</v>
      </c>
      <c r="X13" s="198">
        <v>112.712147449697</v>
      </c>
      <c r="Y13" s="198">
        <v>131.40596593247059</v>
      </c>
      <c r="Z13" s="198">
        <v>155.88698018099521</v>
      </c>
      <c r="AA13" s="198"/>
      <c r="AB13" s="198">
        <v>243.93642830709547</v>
      </c>
      <c r="AC13" s="198">
        <v>211.02333867653877</v>
      </c>
      <c r="AD13" s="198">
        <v>212.05717615119906</v>
      </c>
      <c r="AE13" s="198">
        <v>200.92975436593625</v>
      </c>
      <c r="AF13" s="198">
        <v>185.03716119724811</v>
      </c>
      <c r="AG13" s="198">
        <v>168.07176787975163</v>
      </c>
      <c r="AH13" s="198">
        <v>183.74540905131482</v>
      </c>
      <c r="AI13" s="198">
        <v>198.58303382164124</v>
      </c>
      <c r="AJ13" s="198">
        <v>213.18812870773323</v>
      </c>
      <c r="AK13" s="198">
        <v>220.67000130406134</v>
      </c>
      <c r="AL13" s="198">
        <v>232.64630295339919</v>
      </c>
      <c r="AM13" s="45">
        <v>244.23327340560769</v>
      </c>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row>
    <row r="14" spans="1:131">
      <c r="A14" s="24" t="s">
        <v>426</v>
      </c>
      <c r="B14" s="24"/>
      <c r="C14" s="198">
        <v>1818.1320336264869</v>
      </c>
      <c r="D14" s="198">
        <v>332.28218672874203</v>
      </c>
      <c r="E14" s="198">
        <v>66.456437345748412</v>
      </c>
      <c r="F14" s="198">
        <v>398.73862407449042</v>
      </c>
      <c r="G14" s="198">
        <v>472.11822141359596</v>
      </c>
      <c r="H14" s="198">
        <v>1311.255376264872</v>
      </c>
      <c r="I14" s="198">
        <v>1921.1752954626838</v>
      </c>
      <c r="J14" s="198">
        <v>-13.422246670553561</v>
      </c>
      <c r="K14" s="198">
        <v>1.3306650128101762</v>
      </c>
      <c r="L14" s="199">
        <v>2.7773877744831958</v>
      </c>
      <c r="M14" s="198">
        <v>17.27233426068965</v>
      </c>
      <c r="N14" s="198">
        <v>0.42497555289881439</v>
      </c>
      <c r="O14" s="198">
        <v>75.552299004966684</v>
      </c>
      <c r="P14" s="198">
        <v>55.555329716281044</v>
      </c>
      <c r="Q14" s="198">
        <v>51.431812401181134</v>
      </c>
      <c r="R14" s="198">
        <v>29.411604668178942</v>
      </c>
      <c r="S14" s="198">
        <v>23.624562521770496</v>
      </c>
      <c r="T14" s="198">
        <v>18.335072910216969</v>
      </c>
      <c r="U14" s="198">
        <v>19.203574986889581</v>
      </c>
      <c r="V14" s="198">
        <v>27.885814418040145</v>
      </c>
      <c r="W14" s="198">
        <v>35.168724095067745</v>
      </c>
      <c r="X14" s="198">
        <v>57.319144493401986</v>
      </c>
      <c r="Y14" s="198">
        <v>66.825783369444537</v>
      </c>
      <c r="Z14" s="198">
        <v>79.275468916270555</v>
      </c>
      <c r="AA14" s="198"/>
      <c r="AB14" s="198">
        <v>124.05253291424525</v>
      </c>
      <c r="AC14" s="198">
        <v>107.3147616717966</v>
      </c>
      <c r="AD14" s="198">
        <v>107.84051405016552</v>
      </c>
      <c r="AE14" s="198">
        <v>102.18172472195081</v>
      </c>
      <c r="AF14" s="198">
        <v>94.099633617995565</v>
      </c>
      <c r="AG14" s="198">
        <v>85.471975881397356</v>
      </c>
      <c r="AH14" s="198">
        <v>93.44272014790613</v>
      </c>
      <c r="AI14" s="198">
        <v>100.98831285812209</v>
      </c>
      <c r="AJ14" s="198">
        <v>108.41565377086063</v>
      </c>
      <c r="AK14" s="198">
        <v>112.22051905054623</v>
      </c>
      <c r="AL14" s="198">
        <v>118.31100157853935</v>
      </c>
      <c r="AM14" s="45">
        <v>124.20349186125115</v>
      </c>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row>
    <row r="15" spans="1:131">
      <c r="A15" s="24" t="s">
        <v>423</v>
      </c>
      <c r="B15" s="24"/>
      <c r="C15" s="198">
        <v>315.58847519429145</v>
      </c>
      <c r="D15" s="198">
        <v>30.451059986919489</v>
      </c>
      <c r="E15" s="198">
        <v>6.0902119973838982</v>
      </c>
      <c r="F15" s="198">
        <v>36.541271984303386</v>
      </c>
      <c r="G15" s="198">
        <v>87.076314267199962</v>
      </c>
      <c r="H15" s="198">
        <v>227.60562881692306</v>
      </c>
      <c r="I15" s="198">
        <v>1014.3004822512221</v>
      </c>
      <c r="J15" s="198">
        <v>-15.477619190144257</v>
      </c>
      <c r="K15" s="198">
        <v>2.5260115757186798</v>
      </c>
      <c r="L15" s="199">
        <v>2.613863835790049</v>
      </c>
      <c r="M15" s="198">
        <v>2.9981043904191012</v>
      </c>
      <c r="N15" s="198">
        <v>7.3766582543883921E-2</v>
      </c>
      <c r="O15" s="198">
        <v>13.114248250080038</v>
      </c>
      <c r="P15" s="198">
        <v>9.6432060322408404</v>
      </c>
      <c r="Q15" s="198">
        <v>8.9274524357795482</v>
      </c>
      <c r="R15" s="198">
        <v>5.1052196972372155</v>
      </c>
      <c r="S15" s="198">
        <v>4.1007140985831319</v>
      </c>
      <c r="T15" s="198">
        <v>3.1825728799079429</v>
      </c>
      <c r="U15" s="198">
        <v>3.333326093101971</v>
      </c>
      <c r="V15" s="198">
        <v>4.8403754452237004</v>
      </c>
      <c r="W15" s="198">
        <v>6.1045313576886739</v>
      </c>
      <c r="X15" s="198">
        <v>9.9493662041874682</v>
      </c>
      <c r="Y15" s="198">
        <v>11.59951350461691</v>
      </c>
      <c r="Z15" s="198">
        <v>13.760510179063267</v>
      </c>
      <c r="AA15" s="198"/>
      <c r="AB15" s="198">
        <v>21.532841940146529</v>
      </c>
      <c r="AC15" s="198">
        <v>18.627526150721078</v>
      </c>
      <c r="AD15" s="198">
        <v>18.718785414817688</v>
      </c>
      <c r="AE15" s="198">
        <v>17.73654173696173</v>
      </c>
      <c r="AF15" s="198">
        <v>16.333665179756437</v>
      </c>
      <c r="AG15" s="198">
        <v>14.836090031619189</v>
      </c>
      <c r="AH15" s="198">
        <v>16.219639181354879</v>
      </c>
      <c r="AI15" s="198">
        <v>17.529391198156659</v>
      </c>
      <c r="AJ15" s="198">
        <v>18.818617255476585</v>
      </c>
      <c r="AK15" s="198">
        <v>19.479059736950603</v>
      </c>
      <c r="AL15" s="198">
        <v>20.536236035842926</v>
      </c>
      <c r="AM15" s="45">
        <v>21.559045154776381</v>
      </c>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row>
    <row r="16" spans="1:131">
      <c r="A16" s="24" t="s">
        <v>427</v>
      </c>
      <c r="B16" s="24"/>
      <c r="C16" s="198">
        <v>1818.1320336264869</v>
      </c>
      <c r="D16" s="198">
        <v>371.54658006207535</v>
      </c>
      <c r="E16" s="198">
        <v>74.309316012415067</v>
      </c>
      <c r="F16" s="198">
        <v>445.85589607449043</v>
      </c>
      <c r="G16" s="198">
        <v>527.90645288009398</v>
      </c>
      <c r="H16" s="198">
        <v>1311.255376264872</v>
      </c>
      <c r="I16" s="198">
        <v>2148.1925280322707</v>
      </c>
      <c r="J16" s="198">
        <v>-12.907726943575256</v>
      </c>
      <c r="K16" s="198">
        <v>3.5884744805063682</v>
      </c>
      <c r="L16" s="199">
        <v>2.4838782877365282</v>
      </c>
      <c r="M16" s="198">
        <v>17.27233426068965</v>
      </c>
      <c r="N16" s="198">
        <v>0.42497555289881439</v>
      </c>
      <c r="O16" s="198">
        <v>75.552299004966684</v>
      </c>
      <c r="P16" s="198">
        <v>55.555329716281044</v>
      </c>
      <c r="Q16" s="198">
        <v>51.431812401181134</v>
      </c>
      <c r="R16" s="198">
        <v>29.411604668178942</v>
      </c>
      <c r="S16" s="198">
        <v>23.624562521770496</v>
      </c>
      <c r="T16" s="198">
        <v>18.335072910216969</v>
      </c>
      <c r="U16" s="198">
        <v>19.203574986889581</v>
      </c>
      <c r="V16" s="198">
        <v>27.885814418040145</v>
      </c>
      <c r="W16" s="198">
        <v>35.168724095067745</v>
      </c>
      <c r="X16" s="198">
        <v>57.319144493401986</v>
      </c>
      <c r="Y16" s="198">
        <v>66.825783369444537</v>
      </c>
      <c r="Z16" s="198">
        <v>79.275468916270555</v>
      </c>
      <c r="AA16" s="198"/>
      <c r="AB16" s="198">
        <v>124.05253291424525</v>
      </c>
      <c r="AC16" s="198">
        <v>107.3147616717966</v>
      </c>
      <c r="AD16" s="198">
        <v>107.84051405016552</v>
      </c>
      <c r="AE16" s="198">
        <v>102.18172472195081</v>
      </c>
      <c r="AF16" s="198">
        <v>94.099633617995565</v>
      </c>
      <c r="AG16" s="198">
        <v>85.471975881397356</v>
      </c>
      <c r="AH16" s="198">
        <v>93.44272014790613</v>
      </c>
      <c r="AI16" s="198">
        <v>100.98831285812209</v>
      </c>
      <c r="AJ16" s="198">
        <v>108.41565377086063</v>
      </c>
      <c r="AK16" s="198">
        <v>112.22051905054623</v>
      </c>
      <c r="AL16" s="198">
        <v>118.31100157853935</v>
      </c>
      <c r="AM16" s="45">
        <v>124.20349186125115</v>
      </c>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row>
    <row r="17" spans="1:131">
      <c r="A17" s="24" t="s">
        <v>428</v>
      </c>
      <c r="B17" s="24"/>
      <c r="C17" s="198">
        <v>841.23057955103127</v>
      </c>
      <c r="D17" s="198">
        <v>179.07824387962339</v>
      </c>
      <c r="E17" s="198">
        <v>35.815648775924679</v>
      </c>
      <c r="F17" s="198">
        <v>214.89389265554806</v>
      </c>
      <c r="G17" s="198">
        <v>259.22279513512672</v>
      </c>
      <c r="H17" s="198">
        <v>606.70407853410973</v>
      </c>
      <c r="I17" s="198">
        <v>2237.7580480577449</v>
      </c>
      <c r="J17" s="198">
        <v>-12.70473254359705</v>
      </c>
      <c r="K17" s="198">
        <v>4.8975407713613412</v>
      </c>
      <c r="L17" s="199">
        <v>2.3404734842776818</v>
      </c>
      <c r="M17" s="198">
        <v>7.991727493705282</v>
      </c>
      <c r="N17" s="198">
        <v>0.1966317209355842</v>
      </c>
      <c r="O17" s="198">
        <v>34.957254535353464</v>
      </c>
      <c r="P17" s="198">
        <v>25.704867055863577</v>
      </c>
      <c r="Q17" s="198">
        <v>23.796958941043552</v>
      </c>
      <c r="R17" s="198">
        <v>13.608440301877943</v>
      </c>
      <c r="S17" s="198">
        <v>10.930836734771145</v>
      </c>
      <c r="T17" s="198">
        <v>8.4834454952136387</v>
      </c>
      <c r="U17" s="198">
        <v>8.8852922762987756</v>
      </c>
      <c r="V17" s="198">
        <v>12.902473192417036</v>
      </c>
      <c r="W17" s="198">
        <v>16.27219894121399</v>
      </c>
      <c r="X17" s="198">
        <v>26.520965611818589</v>
      </c>
      <c r="Y17" s="198">
        <v>30.919587484908899</v>
      </c>
      <c r="Z17" s="198">
        <v>36.679926114933892</v>
      </c>
      <c r="AA17" s="198"/>
      <c r="AB17" s="198">
        <v>57.397802925275748</v>
      </c>
      <c r="AC17" s="198">
        <v>49.653412120724148</v>
      </c>
      <c r="AD17" s="198">
        <v>49.896672219427458</v>
      </c>
      <c r="AE17" s="198">
        <v>47.27840988309088</v>
      </c>
      <c r="AF17" s="198">
        <v>43.538911289139342</v>
      </c>
      <c r="AG17" s="198">
        <v>39.546984749321552</v>
      </c>
      <c r="AH17" s="198">
        <v>43.234964332077062</v>
      </c>
      <c r="AI17" s="198">
        <v>46.726230758976754</v>
      </c>
      <c r="AJ17" s="198">
        <v>50.162783322259806</v>
      </c>
      <c r="AK17" s="198">
        <v>51.923254489999579</v>
      </c>
      <c r="AL17" s="198">
        <v>54.741256731866265</v>
      </c>
      <c r="AM17" s="45">
        <v>57.467650043157988</v>
      </c>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row>
    <row r="18" spans="1:131">
      <c r="A18" s="24" t="s">
        <v>430</v>
      </c>
      <c r="B18" s="24"/>
      <c r="C18" s="198">
        <v>1468.6907917047924</v>
      </c>
      <c r="D18" s="198">
        <v>338.08982109258011</v>
      </c>
      <c r="E18" s="198">
        <v>67.617964218516022</v>
      </c>
      <c r="F18" s="198">
        <v>405.70778531109613</v>
      </c>
      <c r="G18" s="198">
        <v>489.3983017237183</v>
      </c>
      <c r="H18" s="198">
        <v>1059.2347866245555</v>
      </c>
      <c r="I18" s="198">
        <v>2419.8423653217524</v>
      </c>
      <c r="J18" s="198">
        <v>-12.292050333769698</v>
      </c>
      <c r="K18" s="198">
        <v>6.7425037952965994</v>
      </c>
      <c r="L18" s="199">
        <v>2.1643613859995146</v>
      </c>
      <c r="M18" s="198">
        <v>13.952627097891837</v>
      </c>
      <c r="N18" s="198">
        <v>0.34329612464787984</v>
      </c>
      <c r="O18" s="198">
        <v>61.031302341333543</v>
      </c>
      <c r="P18" s="198">
        <v>44.87770947067974</v>
      </c>
      <c r="Q18" s="198">
        <v>41.546723712707731</v>
      </c>
      <c r="R18" s="198">
        <v>23.75875467044893</v>
      </c>
      <c r="S18" s="198">
        <v>19.083970136410123</v>
      </c>
      <c r="T18" s="198">
        <v>14.811109562136343</v>
      </c>
      <c r="U18" s="198">
        <v>15.512687323813692</v>
      </c>
      <c r="V18" s="198">
        <v>22.526218171995609</v>
      </c>
      <c r="W18" s="198">
        <v>28.409367570190302</v>
      </c>
      <c r="X18" s="198">
        <v>46.302522670996822</v>
      </c>
      <c r="Y18" s="198">
        <v>53.982005084304802</v>
      </c>
      <c r="Z18" s="198">
        <v>64.038886644095854</v>
      </c>
      <c r="AA18" s="198"/>
      <c r="AB18" s="198">
        <v>100.20989092601698</v>
      </c>
      <c r="AC18" s="198">
        <v>86.689084932399126</v>
      </c>
      <c r="AD18" s="198">
        <v>87.113788783684981</v>
      </c>
      <c r="AE18" s="198">
        <v>82.54260713964949</v>
      </c>
      <c r="AF18" s="198">
        <v>76.013877343045039</v>
      </c>
      <c r="AG18" s="198">
        <v>69.044437699848274</v>
      </c>
      <c r="AH18" s="198">
        <v>75.483221292426549</v>
      </c>
      <c r="AI18" s="198">
        <v>81.578566584453725</v>
      </c>
      <c r="AJ18" s="198">
        <v>87.578387831557052</v>
      </c>
      <c r="AK18" s="198">
        <v>90.651965820722793</v>
      </c>
      <c r="AL18" s="198">
        <v>95.571870118355363</v>
      </c>
      <c r="AM18" s="45">
        <v>100.3318358735194</v>
      </c>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row>
    <row r="19" spans="1:131">
      <c r="A19" s="24" t="s">
        <v>429</v>
      </c>
      <c r="B19" s="24"/>
      <c r="C19" s="198">
        <v>724.30887875791984</v>
      </c>
      <c r="D19" s="198">
        <v>154.26033291735365</v>
      </c>
      <c r="E19" s="198">
        <v>30.85206658347073</v>
      </c>
      <c r="F19" s="198">
        <v>185.11239950082438</v>
      </c>
      <c r="G19" s="198">
        <v>245.29434009866293</v>
      </c>
      <c r="H19" s="198">
        <v>522.37895476342499</v>
      </c>
      <c r="I19" s="198">
        <v>2238.8026257637403</v>
      </c>
      <c r="J19" s="198">
        <v>-12.70236507646686</v>
      </c>
      <c r="K19" s="198">
        <v>7.1427199509739285</v>
      </c>
      <c r="L19" s="199">
        <v>2.1296005221861716</v>
      </c>
      <c r="M19" s="198">
        <v>6.8809661952539356</v>
      </c>
      <c r="N19" s="198">
        <v>0.16930209716711028</v>
      </c>
      <c r="O19" s="198">
        <v>30.098584683488795</v>
      </c>
      <c r="P19" s="198">
        <v>22.132176229007978</v>
      </c>
      <c r="Q19" s="198">
        <v>20.489446136913653</v>
      </c>
      <c r="R19" s="198">
        <v>11.717018349425524</v>
      </c>
      <c r="S19" s="198">
        <v>9.4115719182170849</v>
      </c>
      <c r="T19" s="198">
        <v>7.3043408596981072</v>
      </c>
      <c r="U19" s="198">
        <v>7.6503354044941316</v>
      </c>
      <c r="V19" s="198">
        <v>11.109172821786117</v>
      </c>
      <c r="W19" s="198">
        <v>14.010544143945422</v>
      </c>
      <c r="X19" s="198">
        <v>22.834846156122623</v>
      </c>
      <c r="Y19" s="198">
        <v>26.622108476850983</v>
      </c>
      <c r="Z19" s="198">
        <v>31.581824059950794</v>
      </c>
      <c r="AA19" s="198"/>
      <c r="AB19" s="198">
        <v>49.420146260211595</v>
      </c>
      <c r="AC19" s="198">
        <v>42.752139703315336</v>
      </c>
      <c r="AD19" s="198">
        <v>42.961589351986419</v>
      </c>
      <c r="AE19" s="198">
        <v>40.707236380012702</v>
      </c>
      <c r="AF19" s="198">
        <v>37.487486528375804</v>
      </c>
      <c r="AG19" s="198">
        <v>34.050393409765505</v>
      </c>
      <c r="AH19" s="198">
        <v>37.225784820160257</v>
      </c>
      <c r="AI19" s="198">
        <v>40.231804017016479</v>
      </c>
      <c r="AJ19" s="198">
        <v>43.19071396918757</v>
      </c>
      <c r="AK19" s="198">
        <v>44.706499211174112</v>
      </c>
      <c r="AL19" s="198">
        <v>47.132830461796402</v>
      </c>
      <c r="AM19" s="45">
        <v>49.480285405016289</v>
      </c>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row>
    <row r="20" spans="1:131">
      <c r="A20" s="24" t="s">
        <v>432</v>
      </c>
      <c r="B20" s="24"/>
      <c r="C20" s="198">
        <v>841.23057955103127</v>
      </c>
      <c r="D20" s="198">
        <v>204.91157721295673</v>
      </c>
      <c r="E20" s="198">
        <v>40.98231544259135</v>
      </c>
      <c r="F20" s="198">
        <v>245.89389265554809</v>
      </c>
      <c r="G20" s="198">
        <v>296.61756029054987</v>
      </c>
      <c r="H20" s="198">
        <v>606.70407853410973</v>
      </c>
      <c r="I20" s="198">
        <v>2560.5708494479804</v>
      </c>
      <c r="J20" s="198">
        <v>-11.973098418044511</v>
      </c>
      <c r="K20" s="198">
        <v>8.1684302755595635</v>
      </c>
      <c r="L20" s="199">
        <v>2.0454084982015783</v>
      </c>
      <c r="M20" s="198">
        <v>7.991727493705282</v>
      </c>
      <c r="N20" s="198">
        <v>0.1966317209355842</v>
      </c>
      <c r="O20" s="198">
        <v>34.957254535353464</v>
      </c>
      <c r="P20" s="198">
        <v>25.704867055863577</v>
      </c>
      <c r="Q20" s="198">
        <v>23.796958941043552</v>
      </c>
      <c r="R20" s="198">
        <v>13.608440301877943</v>
      </c>
      <c r="S20" s="198">
        <v>10.930836734771145</v>
      </c>
      <c r="T20" s="198">
        <v>8.4834454952136387</v>
      </c>
      <c r="U20" s="198">
        <v>8.8852922762987756</v>
      </c>
      <c r="V20" s="198">
        <v>12.902473192417036</v>
      </c>
      <c r="W20" s="198">
        <v>16.27219894121399</v>
      </c>
      <c r="X20" s="198">
        <v>26.520965611818589</v>
      </c>
      <c r="Y20" s="198">
        <v>30.919587484908899</v>
      </c>
      <c r="Z20" s="198">
        <v>36.679926114933892</v>
      </c>
      <c r="AA20" s="198"/>
      <c r="AB20" s="198">
        <v>57.397802925275748</v>
      </c>
      <c r="AC20" s="198">
        <v>49.653412120724148</v>
      </c>
      <c r="AD20" s="198">
        <v>49.896672219427458</v>
      </c>
      <c r="AE20" s="198">
        <v>47.27840988309088</v>
      </c>
      <c r="AF20" s="198">
        <v>43.538911289139342</v>
      </c>
      <c r="AG20" s="198">
        <v>39.546984749321552</v>
      </c>
      <c r="AH20" s="198">
        <v>43.234964332077062</v>
      </c>
      <c r="AI20" s="198">
        <v>46.726230758976754</v>
      </c>
      <c r="AJ20" s="198">
        <v>50.162783322259806</v>
      </c>
      <c r="AK20" s="198">
        <v>51.923254489999579</v>
      </c>
      <c r="AL20" s="198">
        <v>54.741256731866265</v>
      </c>
      <c r="AM20" s="45">
        <v>57.467650043157988</v>
      </c>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row>
    <row r="21" spans="1:131">
      <c r="A21" s="24" t="s">
        <v>431</v>
      </c>
      <c r="B21" s="24"/>
      <c r="C21" s="198">
        <v>734.71773160610712</v>
      </c>
      <c r="D21" s="198">
        <v>186.95819668884204</v>
      </c>
      <c r="E21" s="198">
        <v>37.39163933776841</v>
      </c>
      <c r="F21" s="198">
        <v>224.34983602661043</v>
      </c>
      <c r="G21" s="198">
        <v>265.63678350740315</v>
      </c>
      <c r="H21" s="198">
        <v>529.88592565745375</v>
      </c>
      <c r="I21" s="198">
        <v>2674.9110291607008</v>
      </c>
      <c r="J21" s="198">
        <v>-11.713953870370561</v>
      </c>
      <c r="K21" s="198">
        <v>8.8269755634318088</v>
      </c>
      <c r="L21" s="199">
        <v>1.994776170155991</v>
      </c>
      <c r="M21" s="198">
        <v>6.9798507549773587</v>
      </c>
      <c r="N21" s="198">
        <v>0.17173509318301433</v>
      </c>
      <c r="O21" s="198">
        <v>30.531123546530743</v>
      </c>
      <c r="P21" s="198">
        <v>22.4502319264239</v>
      </c>
      <c r="Q21" s="198">
        <v>20.783894591205311</v>
      </c>
      <c r="R21" s="198">
        <v>11.88540054574462</v>
      </c>
      <c r="S21" s="198">
        <v>9.5468231487899384</v>
      </c>
      <c r="T21" s="198">
        <v>7.4093096256367206</v>
      </c>
      <c r="U21" s="198">
        <v>7.7602763672519153</v>
      </c>
      <c r="V21" s="198">
        <v>11.268819829517609</v>
      </c>
      <c r="W21" s="198">
        <v>14.211885997668714</v>
      </c>
      <c r="X21" s="198">
        <v>23.162999738690417</v>
      </c>
      <c r="Y21" s="198">
        <v>27.004687812505704</v>
      </c>
      <c r="Z21" s="198">
        <v>32.035678166890762</v>
      </c>
      <c r="AA21" s="198"/>
      <c r="AB21" s="198">
        <v>50.130350214967144</v>
      </c>
      <c r="AC21" s="198">
        <v>43.36651948543269</v>
      </c>
      <c r="AD21" s="198">
        <v>43.578979080048185</v>
      </c>
      <c r="AE21" s="198">
        <v>41.292229393024691</v>
      </c>
      <c r="AF21" s="198">
        <v>38.026209361086899</v>
      </c>
      <c r="AG21" s="198">
        <v>34.539722679113851</v>
      </c>
      <c r="AH21" s="198">
        <v>37.760746806289426</v>
      </c>
      <c r="AI21" s="198">
        <v>40.809964716286594</v>
      </c>
      <c r="AJ21" s="198">
        <v>43.811396387004066</v>
      </c>
      <c r="AK21" s="198">
        <v>45.348964580982511</v>
      </c>
      <c r="AL21" s="198">
        <v>47.810164001372364</v>
      </c>
      <c r="AM21" s="45">
        <v>50.19135360364217</v>
      </c>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row>
    <row r="22" spans="1:131">
      <c r="A22" s="24" t="s">
        <v>433</v>
      </c>
      <c r="B22" s="24"/>
      <c r="C22" s="198">
        <v>1468.6907917047924</v>
      </c>
      <c r="D22" s="198">
        <v>366.92315442591342</v>
      </c>
      <c r="E22" s="198">
        <v>73.384630885182688</v>
      </c>
      <c r="F22" s="198">
        <v>440.3077853110961</v>
      </c>
      <c r="G22" s="198">
        <v>531.13568476815828</v>
      </c>
      <c r="H22" s="198">
        <v>1059.2347866245555</v>
      </c>
      <c r="I22" s="198">
        <v>2626.2139186207141</v>
      </c>
      <c r="J22" s="198">
        <v>-11.824322690111977</v>
      </c>
      <c r="K22" s="198">
        <v>8.8335563952666174</v>
      </c>
      <c r="L22" s="199">
        <v>1.9942828489991469</v>
      </c>
      <c r="M22" s="198">
        <v>13.952627097891837</v>
      </c>
      <c r="N22" s="198">
        <v>0.34329612464787984</v>
      </c>
      <c r="O22" s="198">
        <v>61.031302341333543</v>
      </c>
      <c r="P22" s="198">
        <v>44.87770947067974</v>
      </c>
      <c r="Q22" s="198">
        <v>41.546723712707731</v>
      </c>
      <c r="R22" s="198">
        <v>23.75875467044893</v>
      </c>
      <c r="S22" s="198">
        <v>19.083970136410123</v>
      </c>
      <c r="T22" s="198">
        <v>14.811109562136343</v>
      </c>
      <c r="U22" s="198">
        <v>15.512687323813692</v>
      </c>
      <c r="V22" s="198">
        <v>22.526218171995609</v>
      </c>
      <c r="W22" s="198">
        <v>28.409367570190302</v>
      </c>
      <c r="X22" s="198">
        <v>46.302522670996822</v>
      </c>
      <c r="Y22" s="198">
        <v>53.982005084304802</v>
      </c>
      <c r="Z22" s="198">
        <v>64.038886644095854</v>
      </c>
      <c r="AA22" s="198"/>
      <c r="AB22" s="198">
        <v>100.20989092601698</v>
      </c>
      <c r="AC22" s="198">
        <v>86.689084932399126</v>
      </c>
      <c r="AD22" s="198">
        <v>87.113788783684981</v>
      </c>
      <c r="AE22" s="198">
        <v>82.54260713964949</v>
      </c>
      <c r="AF22" s="198">
        <v>76.013877343045039</v>
      </c>
      <c r="AG22" s="198">
        <v>69.044437699848274</v>
      </c>
      <c r="AH22" s="198">
        <v>75.483221292426549</v>
      </c>
      <c r="AI22" s="198">
        <v>81.578566584453725</v>
      </c>
      <c r="AJ22" s="198">
        <v>87.578387831557052</v>
      </c>
      <c r="AK22" s="198">
        <v>90.651965820722793</v>
      </c>
      <c r="AL22" s="198">
        <v>95.571870118355363</v>
      </c>
      <c r="AM22" s="45">
        <v>100.3318358735194</v>
      </c>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row>
    <row r="23" spans="1:131">
      <c r="A23" s="24" t="s">
        <v>434</v>
      </c>
      <c r="B23" s="24"/>
      <c r="C23" s="198">
        <v>3575.1679071329308</v>
      </c>
      <c r="D23" s="198">
        <v>984.136129944407</v>
      </c>
      <c r="E23" s="198">
        <v>196.82722598888142</v>
      </c>
      <c r="F23" s="198">
        <v>1180.9633559332883</v>
      </c>
      <c r="G23" s="198">
        <v>1424.5757210414745</v>
      </c>
      <c r="H23" s="198">
        <v>2578.4475783790995</v>
      </c>
      <c r="I23" s="198">
        <v>2893.6372407392369</v>
      </c>
      <c r="J23" s="198">
        <v>-11.218225200830501</v>
      </c>
      <c r="K23" s="198">
        <v>11.543213923494241</v>
      </c>
      <c r="L23" s="199">
        <v>1.8099757986146612</v>
      </c>
      <c r="M23" s="198">
        <v>33.964252313908865</v>
      </c>
      <c r="N23" s="198">
        <v>0.83567030883305371</v>
      </c>
      <c r="O23" s="198">
        <v>148.56575304594153</v>
      </c>
      <c r="P23" s="198">
        <v>109.2437887889062</v>
      </c>
      <c r="Q23" s="198">
        <v>101.13532004362652</v>
      </c>
      <c r="R23" s="198">
        <v>57.834867414561231</v>
      </c>
      <c r="S23" s="198">
        <v>46.455249776013211</v>
      </c>
      <c r="T23" s="198">
        <v>36.054017547229876</v>
      </c>
      <c r="U23" s="198">
        <v>37.761836723378948</v>
      </c>
      <c r="V23" s="198">
        <v>54.834559277185761</v>
      </c>
      <c r="W23" s="198">
        <v>69.155645131397193</v>
      </c>
      <c r="X23" s="198">
        <v>112.712147449697</v>
      </c>
      <c r="Y23" s="198">
        <v>131.40596593247059</v>
      </c>
      <c r="Z23" s="198">
        <v>155.88698018099521</v>
      </c>
      <c r="AA23" s="198"/>
      <c r="AB23" s="198">
        <v>243.93642830709547</v>
      </c>
      <c r="AC23" s="198">
        <v>211.02333867653877</v>
      </c>
      <c r="AD23" s="198">
        <v>212.05717615119906</v>
      </c>
      <c r="AE23" s="198">
        <v>200.92975436593625</v>
      </c>
      <c r="AF23" s="198">
        <v>185.03716119724811</v>
      </c>
      <c r="AG23" s="198">
        <v>168.07176787975163</v>
      </c>
      <c r="AH23" s="198">
        <v>183.74540905131482</v>
      </c>
      <c r="AI23" s="198">
        <v>198.58303382164124</v>
      </c>
      <c r="AJ23" s="198">
        <v>213.18812870773323</v>
      </c>
      <c r="AK23" s="198">
        <v>220.67000130406134</v>
      </c>
      <c r="AL23" s="198">
        <v>232.64630295339919</v>
      </c>
      <c r="AM23" s="45">
        <v>244.23327340560769</v>
      </c>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row>
    <row r="24" spans="1:131">
      <c r="A24" s="24" t="s">
        <v>435</v>
      </c>
      <c r="B24" s="24"/>
      <c r="C24" s="198">
        <v>3575.1679071329308</v>
      </c>
      <c r="D24" s="198">
        <v>1014.9694632777404</v>
      </c>
      <c r="E24" s="198">
        <v>202.99389265554808</v>
      </c>
      <c r="F24" s="198">
        <v>1217.9633559332885</v>
      </c>
      <c r="G24" s="198">
        <v>1469.2081826785923</v>
      </c>
      <c r="H24" s="198">
        <v>2578.4475783790995</v>
      </c>
      <c r="I24" s="198">
        <v>2984.295919833256</v>
      </c>
      <c r="J24" s="198">
        <v>-11.01275322723761</v>
      </c>
      <c r="K24" s="198">
        <v>12.461809842355065</v>
      </c>
      <c r="L24" s="199">
        <v>1.7549912999246937</v>
      </c>
      <c r="M24" s="198">
        <v>33.964252313908865</v>
      </c>
      <c r="N24" s="198">
        <v>0.83567030883305371</v>
      </c>
      <c r="O24" s="198">
        <v>148.56575304594153</v>
      </c>
      <c r="P24" s="198">
        <v>109.2437887889062</v>
      </c>
      <c r="Q24" s="198">
        <v>101.13532004362652</v>
      </c>
      <c r="R24" s="198">
        <v>57.834867414561231</v>
      </c>
      <c r="S24" s="198">
        <v>46.455249776013211</v>
      </c>
      <c r="T24" s="198">
        <v>36.054017547229876</v>
      </c>
      <c r="U24" s="198">
        <v>37.761836723378948</v>
      </c>
      <c r="V24" s="198">
        <v>54.834559277185761</v>
      </c>
      <c r="W24" s="198">
        <v>69.155645131397193</v>
      </c>
      <c r="X24" s="198">
        <v>112.712147449697</v>
      </c>
      <c r="Y24" s="198">
        <v>131.40596593247059</v>
      </c>
      <c r="Z24" s="198">
        <v>155.88698018099521</v>
      </c>
      <c r="AA24" s="198"/>
      <c r="AB24" s="198">
        <v>243.93642830709547</v>
      </c>
      <c r="AC24" s="198">
        <v>211.02333867653877</v>
      </c>
      <c r="AD24" s="198">
        <v>212.05717615119906</v>
      </c>
      <c r="AE24" s="198">
        <v>200.92975436593625</v>
      </c>
      <c r="AF24" s="198">
        <v>185.03716119724811</v>
      </c>
      <c r="AG24" s="198">
        <v>168.07176787975163</v>
      </c>
      <c r="AH24" s="198">
        <v>183.74540905131482</v>
      </c>
      <c r="AI24" s="198">
        <v>198.58303382164124</v>
      </c>
      <c r="AJ24" s="198">
        <v>213.18812870773323</v>
      </c>
      <c r="AK24" s="198">
        <v>220.67000130406134</v>
      </c>
      <c r="AL24" s="198">
        <v>232.64630295339919</v>
      </c>
      <c r="AM24" s="45">
        <v>244.23327340560769</v>
      </c>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row>
    <row r="25" spans="1:131">
      <c r="A25" s="24" t="s">
        <v>436</v>
      </c>
      <c r="B25" s="24"/>
      <c r="C25" s="198">
        <v>734.71773160610712</v>
      </c>
      <c r="D25" s="198">
        <v>228.79070335550873</v>
      </c>
      <c r="E25" s="198">
        <v>45.758140671101749</v>
      </c>
      <c r="F25" s="198">
        <v>274.54884402661048</v>
      </c>
      <c r="G25" s="198">
        <v>325.07388075048186</v>
      </c>
      <c r="H25" s="198">
        <v>529.88592565745375</v>
      </c>
      <c r="I25" s="198">
        <v>3273.4311017860246</v>
      </c>
      <c r="J25" s="198">
        <v>-10.357447226039852</v>
      </c>
      <c r="K25" s="198">
        <v>14.779582206037436</v>
      </c>
      <c r="L25" s="199">
        <v>1.6300476815735934</v>
      </c>
      <c r="M25" s="198">
        <v>6.9798507549773587</v>
      </c>
      <c r="N25" s="198">
        <v>0.17173509318301433</v>
      </c>
      <c r="O25" s="198">
        <v>30.531123546530743</v>
      </c>
      <c r="P25" s="198">
        <v>22.4502319264239</v>
      </c>
      <c r="Q25" s="198">
        <v>20.783894591205311</v>
      </c>
      <c r="R25" s="198">
        <v>11.88540054574462</v>
      </c>
      <c r="S25" s="198">
        <v>9.5468231487899384</v>
      </c>
      <c r="T25" s="198">
        <v>7.4093096256367206</v>
      </c>
      <c r="U25" s="198">
        <v>7.7602763672519153</v>
      </c>
      <c r="V25" s="198">
        <v>11.268819829517609</v>
      </c>
      <c r="W25" s="198">
        <v>14.211885997668714</v>
      </c>
      <c r="X25" s="198">
        <v>23.162999738690417</v>
      </c>
      <c r="Y25" s="198">
        <v>27.004687812505704</v>
      </c>
      <c r="Z25" s="198">
        <v>32.035678166890762</v>
      </c>
      <c r="AA25" s="198"/>
      <c r="AB25" s="198">
        <v>50.130350214967144</v>
      </c>
      <c r="AC25" s="198">
        <v>43.36651948543269</v>
      </c>
      <c r="AD25" s="198">
        <v>43.578979080048185</v>
      </c>
      <c r="AE25" s="198">
        <v>41.292229393024691</v>
      </c>
      <c r="AF25" s="198">
        <v>38.026209361086899</v>
      </c>
      <c r="AG25" s="198">
        <v>34.539722679113851</v>
      </c>
      <c r="AH25" s="198">
        <v>37.760746806289426</v>
      </c>
      <c r="AI25" s="198">
        <v>40.809964716286594</v>
      </c>
      <c r="AJ25" s="198">
        <v>43.811396387004066</v>
      </c>
      <c r="AK25" s="198">
        <v>45.348964580982511</v>
      </c>
      <c r="AL25" s="198">
        <v>47.810164001372364</v>
      </c>
      <c r="AM25" s="45">
        <v>50.19135360364217</v>
      </c>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row>
    <row r="26" spans="1:131">
      <c r="A26" s="24" t="s">
        <v>420</v>
      </c>
      <c r="B26" s="24"/>
      <c r="C26" s="198">
        <v>724.30887875791984</v>
      </c>
      <c r="D26" s="198">
        <v>210.259506250687</v>
      </c>
      <c r="E26" s="198">
        <v>42.051901250137405</v>
      </c>
      <c r="F26" s="198">
        <v>252.3114075008244</v>
      </c>
      <c r="G26" s="198">
        <v>334.34043515817496</v>
      </c>
      <c r="H26" s="198">
        <v>522.37895476342499</v>
      </c>
      <c r="I26" s="198">
        <v>3051.5267650694309</v>
      </c>
      <c r="J26" s="198">
        <v>-10.860378908583934</v>
      </c>
      <c r="K26" s="198">
        <v>16.18881579014732</v>
      </c>
      <c r="L26" s="199">
        <v>1.5624163272871552</v>
      </c>
      <c r="M26" s="198">
        <v>6.8809661952539356</v>
      </c>
      <c r="N26" s="198">
        <v>0.16930209716711028</v>
      </c>
      <c r="O26" s="198">
        <v>30.098584683488795</v>
      </c>
      <c r="P26" s="198">
        <v>22.132176229007978</v>
      </c>
      <c r="Q26" s="198">
        <v>20.489446136913653</v>
      </c>
      <c r="R26" s="198">
        <v>11.717018349425524</v>
      </c>
      <c r="S26" s="198">
        <v>9.4115719182170849</v>
      </c>
      <c r="T26" s="198">
        <v>7.3043408596981072</v>
      </c>
      <c r="U26" s="198">
        <v>7.6503354044941316</v>
      </c>
      <c r="V26" s="198">
        <v>11.109172821786117</v>
      </c>
      <c r="W26" s="198">
        <v>14.010544143945422</v>
      </c>
      <c r="X26" s="198">
        <v>22.834846156122623</v>
      </c>
      <c r="Y26" s="198">
        <v>26.622108476850983</v>
      </c>
      <c r="Z26" s="198">
        <v>31.581824059950794</v>
      </c>
      <c r="AA26" s="198"/>
      <c r="AB26" s="198">
        <v>49.420146260211595</v>
      </c>
      <c r="AC26" s="198">
        <v>42.752139703315336</v>
      </c>
      <c r="AD26" s="198">
        <v>42.961589351986419</v>
      </c>
      <c r="AE26" s="198">
        <v>40.707236380012702</v>
      </c>
      <c r="AF26" s="198">
        <v>37.487486528375804</v>
      </c>
      <c r="AG26" s="198">
        <v>34.050393409765505</v>
      </c>
      <c r="AH26" s="198">
        <v>37.225784820160257</v>
      </c>
      <c r="AI26" s="198">
        <v>40.231804017016479</v>
      </c>
      <c r="AJ26" s="198">
        <v>43.19071396918757</v>
      </c>
      <c r="AK26" s="198">
        <v>44.706499211174112</v>
      </c>
      <c r="AL26" s="198">
        <v>47.132830461796402</v>
      </c>
      <c r="AM26" s="45">
        <v>49.480285405016289</v>
      </c>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row>
    <row r="27" spans="1:131">
      <c r="A27" s="24" t="s">
        <v>437</v>
      </c>
      <c r="B27" s="24"/>
      <c r="C27" s="198">
        <v>77.194303284934591</v>
      </c>
      <c r="D27" s="198">
        <v>30.451059986919489</v>
      </c>
      <c r="E27" s="198">
        <v>6.0902119973838982</v>
      </c>
      <c r="F27" s="198">
        <v>36.541271984303386</v>
      </c>
      <c r="G27" s="198">
        <v>87.076314267199962</v>
      </c>
      <c r="H27" s="198">
        <v>55.673319278959603</v>
      </c>
      <c r="I27" s="198">
        <v>4146.6990303799967</v>
      </c>
      <c r="J27" s="198">
        <v>-8.3782425149554136</v>
      </c>
      <c r="K27" s="198">
        <v>65.224836204307806</v>
      </c>
      <c r="L27" s="200">
        <v>0.63936237709972432</v>
      </c>
      <c r="M27" s="198">
        <v>0.73334927535431171</v>
      </c>
      <c r="N27" s="198">
        <v>1.8043624507137073E-2</v>
      </c>
      <c r="O27" s="198">
        <v>3.2078017302354049</v>
      </c>
      <c r="P27" s="198">
        <v>2.3587698208358887</v>
      </c>
      <c r="Q27" s="198">
        <v>2.1836934015575871</v>
      </c>
      <c r="R27" s="198">
        <v>1.2487587748637792</v>
      </c>
      <c r="S27" s="198">
        <v>1.0030523694376006</v>
      </c>
      <c r="T27" s="198">
        <v>0.77847106415014411</v>
      </c>
      <c r="U27" s="198">
        <v>0.81534595083069783</v>
      </c>
      <c r="V27" s="198">
        <v>1.1839767276086746</v>
      </c>
      <c r="W27" s="198">
        <v>1.4931947205857186</v>
      </c>
      <c r="X27" s="198">
        <v>2.433657920448733</v>
      </c>
      <c r="Y27" s="198">
        <v>2.8372910730717615</v>
      </c>
      <c r="Z27" s="198">
        <v>3.3658801876845397</v>
      </c>
      <c r="AA27" s="198"/>
      <c r="AB27" s="198">
        <v>5.2670260860790057</v>
      </c>
      <c r="AC27" s="198">
        <v>4.5563733030540767</v>
      </c>
      <c r="AD27" s="198">
        <v>4.5786957129769874</v>
      </c>
      <c r="AE27" s="198">
        <v>4.3384346694726528</v>
      </c>
      <c r="AF27" s="198">
        <v>3.9952850079979769</v>
      </c>
      <c r="AG27" s="198">
        <v>3.6289716624104487</v>
      </c>
      <c r="AH27" s="198">
        <v>3.9673937565904014</v>
      </c>
      <c r="AI27" s="198">
        <v>4.2877647535059449</v>
      </c>
      <c r="AJ27" s="198">
        <v>4.6031150121309627</v>
      </c>
      <c r="AK27" s="198">
        <v>4.7646620939303626</v>
      </c>
      <c r="AL27" s="198">
        <v>5.0232519799903557</v>
      </c>
      <c r="AM27" s="45">
        <v>5.2734355054848692</v>
      </c>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row>
    <row r="28" spans="1:131">
      <c r="A28" s="24"/>
      <c r="B28" s="24"/>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FFFF00"/>
  </sheetPr>
  <dimension ref="A1:EA172"/>
  <sheetViews>
    <sheetView workbookViewId="0">
      <selection activeCell="G8" sqref="G8"/>
    </sheetView>
  </sheetViews>
  <sheetFormatPr defaultRowHeight="12.75"/>
  <cols>
    <col min="1" max="1" width="44.140625" customWidth="1"/>
    <col min="2" max="2" width="54.85546875" customWidth="1"/>
    <col min="3" max="3" width="17.42578125" bestFit="1" customWidth="1"/>
    <col min="4" max="4" width="12.140625" bestFit="1" customWidth="1"/>
    <col min="5" max="5" width="12.5703125" customWidth="1"/>
    <col min="6" max="6" width="13.7109375" customWidth="1"/>
    <col min="7" max="7" width="25.42578125" customWidth="1"/>
    <col min="8" max="8" width="15.7109375" bestFit="1" customWidth="1"/>
    <col min="9" max="9" width="15.42578125" bestFit="1" customWidth="1"/>
    <col min="10" max="10" width="14.42578125" bestFit="1" customWidth="1"/>
    <col min="11" max="11" width="14.28515625" customWidth="1"/>
    <col min="12" max="12" width="12.5703125" customWidth="1"/>
    <col min="13" max="13" width="13.28515625" bestFit="1" customWidth="1"/>
    <col min="14" max="14" width="12.140625" bestFit="1" customWidth="1"/>
    <col min="15" max="15" width="13.28515625" bestFit="1" customWidth="1"/>
    <col min="16" max="16" width="27.7109375" customWidth="1"/>
    <col min="17" max="18" width="13.28515625" bestFit="1" customWidth="1"/>
    <col min="19" max="19" width="14.42578125" bestFit="1" customWidth="1"/>
    <col min="20" max="20" width="10.7109375" customWidth="1"/>
    <col min="21" max="21" width="14" bestFit="1" customWidth="1"/>
    <col min="22" max="22" width="12.140625" bestFit="1" customWidth="1"/>
    <col min="23" max="23" width="15.42578125" bestFit="1" customWidth="1"/>
    <col min="24" max="24" width="12.42578125" bestFit="1" customWidth="1"/>
    <col min="25" max="25" width="13.28515625" bestFit="1" customWidth="1"/>
    <col min="26" max="26" width="12.28515625" bestFit="1" customWidth="1"/>
    <col min="27" max="27" width="12.5703125" bestFit="1" customWidth="1"/>
    <col min="28" max="30" width="14.28515625" bestFit="1" customWidth="1"/>
    <col min="31" max="31" width="13.7109375" bestFit="1" customWidth="1"/>
    <col min="32" max="32" width="14" bestFit="1" customWidth="1"/>
    <col min="33" max="33" width="12.85546875" bestFit="1" customWidth="1"/>
    <col min="34" max="34" width="15.28515625" bestFit="1" customWidth="1"/>
    <col min="35" max="35" width="12.28515625" bestFit="1" customWidth="1"/>
    <col min="36" max="36" width="10.85546875" bestFit="1" customWidth="1"/>
    <col min="37" max="37" width="12.28515625" bestFit="1" customWidth="1"/>
    <col min="38" max="38" width="12.5703125" bestFit="1" customWidth="1"/>
    <col min="39" max="43" width="12.85546875" customWidth="1"/>
    <col min="44" max="44" width="12.5703125" customWidth="1"/>
    <col min="45" max="45" width="12.28515625" customWidth="1"/>
    <col min="46" max="46" width="12.7109375" customWidth="1"/>
    <col min="47" max="47" width="11.85546875" customWidth="1"/>
    <col min="48" max="48" width="12.5703125" bestFit="1" customWidth="1"/>
    <col min="49" max="49" width="13.42578125" customWidth="1"/>
    <col min="50" max="50" width="15.7109375" bestFit="1" customWidth="1"/>
    <col min="51" max="51" width="11" bestFit="1" customWidth="1"/>
    <col min="52" max="52" width="16.140625" bestFit="1" customWidth="1"/>
    <col min="53" max="53" width="17.28515625" bestFit="1" customWidth="1"/>
    <col min="54" max="54" width="15" bestFit="1" customWidth="1"/>
    <col min="55" max="55" width="12.5703125" bestFit="1" customWidth="1"/>
    <col min="56" max="56" width="13.5703125" customWidth="1"/>
    <col min="57" max="58" width="14.5703125" bestFit="1" customWidth="1"/>
    <col min="59" max="59" width="14.85546875" bestFit="1" customWidth="1"/>
    <col min="60" max="60" width="15" bestFit="1" customWidth="1"/>
    <col min="61" max="61" width="13.28515625" bestFit="1" customWidth="1"/>
    <col min="62" max="62" width="14" bestFit="1" customWidth="1"/>
    <col min="63" max="63" width="13.28515625" bestFit="1" customWidth="1"/>
    <col min="64" max="64" width="11.140625" bestFit="1" customWidth="1"/>
    <col min="65" max="65" width="16.85546875" bestFit="1" customWidth="1"/>
    <col min="66" max="66" width="14.7109375" customWidth="1"/>
    <col min="67" max="67" width="12" customWidth="1"/>
    <col min="68" max="68" width="14" customWidth="1"/>
    <col min="69" max="69" width="12.5703125" customWidth="1"/>
    <col min="70" max="70" width="11.28515625" customWidth="1"/>
    <col min="71" max="71" width="14.42578125" customWidth="1"/>
    <col min="72" max="72" width="15.7109375" customWidth="1"/>
    <col min="73" max="73" width="12.85546875" customWidth="1"/>
    <col min="74" max="74" width="13" customWidth="1"/>
    <col min="75" max="75" width="11.7109375" customWidth="1"/>
    <col min="76" max="76" width="14" customWidth="1"/>
    <col min="77" max="77" width="14.85546875" customWidth="1"/>
    <col min="78" max="78" width="11.85546875" customWidth="1"/>
    <col min="79" max="79" width="13.85546875" customWidth="1"/>
    <col min="80" max="80" width="13.7109375" customWidth="1"/>
    <col min="81" max="81" width="13" customWidth="1"/>
    <col min="82" max="82" width="12.42578125" customWidth="1"/>
    <col min="83" max="83" width="13" customWidth="1"/>
    <col min="84" max="84" width="12.7109375" customWidth="1"/>
    <col min="85" max="85" width="12.42578125" customWidth="1"/>
    <col min="86" max="86" width="10.28515625" customWidth="1"/>
    <col min="87" max="91" width="9.85546875" customWidth="1"/>
    <col min="92" max="99" width="10.7109375" customWidth="1"/>
    <col min="100" max="100" width="16.5703125" customWidth="1"/>
    <col min="101" max="105" width="10.7109375" customWidth="1"/>
  </cols>
  <sheetData>
    <row r="1" spans="1:105">
      <c r="A1" s="15" t="s">
        <v>14</v>
      </c>
      <c r="B1" s="16"/>
      <c r="C1" s="16"/>
      <c r="D1" s="16"/>
      <c r="E1" s="16"/>
      <c r="F1" s="16"/>
      <c r="G1" s="16"/>
      <c r="H1" s="17"/>
      <c r="I1" s="18"/>
      <c r="J1" s="18"/>
      <c r="K1" s="18"/>
      <c r="L1" s="18"/>
      <c r="M1" s="18"/>
      <c r="N1" s="19"/>
      <c r="O1" s="20"/>
      <c r="P1" s="19"/>
      <c r="Q1" s="19"/>
      <c r="R1" s="19"/>
      <c r="S1" s="17"/>
      <c r="T1" s="17"/>
      <c r="U1" s="17"/>
      <c r="V1" s="19"/>
      <c r="W1" s="17"/>
      <c r="X1" s="17"/>
      <c r="Y1" s="17"/>
      <c r="Z1" s="17"/>
      <c r="AA1" s="17"/>
      <c r="AB1" s="17"/>
      <c r="AC1" s="17"/>
      <c r="AD1" s="17"/>
      <c r="AE1" s="17"/>
      <c r="AF1" s="17"/>
      <c r="AG1" s="17"/>
      <c r="AH1" s="17"/>
      <c r="AI1" s="17"/>
      <c r="AJ1" s="17"/>
      <c r="AK1" s="17"/>
      <c r="AL1" s="17"/>
      <c r="AM1" s="17"/>
      <c r="AN1" s="17"/>
      <c r="AO1" s="17"/>
      <c r="AP1" s="21"/>
      <c r="AQ1" s="17"/>
      <c r="AR1" s="17"/>
      <c r="AS1" s="17"/>
      <c r="AT1" s="17"/>
      <c r="AU1" s="17"/>
      <c r="AV1" s="21"/>
      <c r="AW1" s="17"/>
      <c r="AX1" s="17"/>
      <c r="AY1" s="17"/>
      <c r="AZ1" s="17"/>
      <c r="BA1" s="17"/>
      <c r="BB1" s="17"/>
      <c r="BC1" s="17"/>
      <c r="BD1" s="17"/>
      <c r="BE1" s="17"/>
      <c r="BF1" s="17"/>
      <c r="BG1" s="17"/>
      <c r="BH1" s="17"/>
      <c r="BI1" s="17"/>
      <c r="BJ1" s="17"/>
      <c r="BK1" s="17"/>
      <c r="BL1" s="17"/>
      <c r="BM1" s="22"/>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21"/>
      <c r="CQ1" s="17"/>
      <c r="CR1" s="17"/>
      <c r="CS1" s="17"/>
      <c r="CT1" s="17"/>
      <c r="CU1" s="17"/>
      <c r="CV1" s="17"/>
      <c r="CW1" s="17"/>
      <c r="CX1" s="17"/>
      <c r="CY1" s="17"/>
      <c r="CZ1" s="17"/>
      <c r="DA1" s="17"/>
    </row>
    <row r="2" spans="1:105">
      <c r="A2" s="23" t="s">
        <v>15</v>
      </c>
      <c r="B2" s="17" t="str">
        <f>'7PSourceSummary'!D2</f>
        <v>Exterior Building Lighting</v>
      </c>
      <c r="C2" s="17"/>
      <c r="D2" s="17"/>
      <c r="E2" s="17"/>
      <c r="F2" s="17"/>
      <c r="G2" s="17"/>
      <c r="H2" s="17"/>
      <c r="I2" s="18"/>
      <c r="J2" s="18"/>
      <c r="K2" s="18"/>
      <c r="L2" s="18"/>
      <c r="M2" s="18"/>
      <c r="N2" s="19"/>
      <c r="O2" s="19"/>
      <c r="P2" s="19"/>
      <c r="Q2" s="19"/>
      <c r="R2" s="19"/>
      <c r="S2" s="17"/>
      <c r="T2" s="17"/>
      <c r="U2" s="17"/>
      <c r="V2" s="19"/>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21"/>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row>
    <row r="3" spans="1:105">
      <c r="A3" s="23" t="s">
        <v>16</v>
      </c>
      <c r="B3" s="24"/>
      <c r="C3" s="23">
        <v>2012</v>
      </c>
      <c r="D3" s="24"/>
      <c r="E3" s="24"/>
      <c r="F3" s="24"/>
      <c r="G3" s="24"/>
      <c r="H3" s="24"/>
      <c r="I3" s="24"/>
      <c r="J3" s="25"/>
      <c r="K3" s="26"/>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6"/>
      <c r="CP3" s="26"/>
      <c r="CQ3" s="24"/>
      <c r="CR3" s="24"/>
      <c r="CS3" s="24"/>
      <c r="CT3" s="24"/>
      <c r="CU3" s="24"/>
      <c r="CV3" s="24"/>
      <c r="CW3" s="24"/>
      <c r="CX3" s="24"/>
      <c r="CY3" s="24"/>
      <c r="CZ3" s="24"/>
      <c r="DA3" s="24"/>
    </row>
    <row r="4" spans="1:105">
      <c r="A4" s="24"/>
      <c r="B4" s="27"/>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row>
    <row r="5" spans="1:105">
      <c r="A5" s="28">
        <v>1</v>
      </c>
      <c r="B5" s="28">
        <v>2</v>
      </c>
      <c r="C5" s="28">
        <v>3</v>
      </c>
      <c r="D5" s="28">
        <v>4</v>
      </c>
      <c r="E5" s="28">
        <v>5</v>
      </c>
      <c r="F5" s="28">
        <v>6</v>
      </c>
      <c r="G5" s="28">
        <v>7</v>
      </c>
      <c r="H5" s="28">
        <v>8</v>
      </c>
      <c r="I5" s="28">
        <v>9</v>
      </c>
      <c r="J5" s="28">
        <v>10</v>
      </c>
      <c r="K5" s="28">
        <v>11</v>
      </c>
      <c r="L5" s="28">
        <v>12</v>
      </c>
      <c r="M5" s="28">
        <v>13</v>
      </c>
      <c r="N5" s="28">
        <v>14</v>
      </c>
      <c r="O5" s="28">
        <v>15</v>
      </c>
      <c r="P5" s="28">
        <v>16</v>
      </c>
      <c r="Q5" s="28">
        <v>17</v>
      </c>
      <c r="R5" s="28">
        <v>18</v>
      </c>
      <c r="S5" s="28">
        <v>19</v>
      </c>
      <c r="T5" s="28">
        <v>20</v>
      </c>
      <c r="U5" s="28">
        <v>21</v>
      </c>
      <c r="V5" s="28">
        <v>22</v>
      </c>
      <c r="W5" s="28">
        <v>23</v>
      </c>
      <c r="X5" s="28">
        <v>24</v>
      </c>
      <c r="Y5" s="28">
        <v>25</v>
      </c>
      <c r="Z5" s="28">
        <v>26</v>
      </c>
      <c r="AA5" s="28">
        <v>27</v>
      </c>
      <c r="AB5" s="28">
        <v>28</v>
      </c>
      <c r="AC5" s="28">
        <v>29</v>
      </c>
      <c r="AD5" s="28">
        <v>30</v>
      </c>
      <c r="AE5" s="28">
        <v>31</v>
      </c>
      <c r="AF5" s="28">
        <v>32</v>
      </c>
      <c r="AG5" s="28">
        <v>33</v>
      </c>
      <c r="AH5" s="28">
        <v>34</v>
      </c>
      <c r="AI5" s="28">
        <v>35</v>
      </c>
      <c r="AJ5" s="28">
        <v>36</v>
      </c>
      <c r="AK5" s="28">
        <v>37</v>
      </c>
      <c r="AL5" s="28">
        <v>38</v>
      </c>
      <c r="AM5" s="28">
        <v>39</v>
      </c>
      <c r="AN5" s="28">
        <v>40</v>
      </c>
      <c r="AO5" s="28">
        <v>41</v>
      </c>
      <c r="AP5" s="28">
        <v>42</v>
      </c>
      <c r="AQ5" s="28">
        <v>43</v>
      </c>
      <c r="AR5" s="28">
        <v>44</v>
      </c>
      <c r="AS5" s="28">
        <v>45</v>
      </c>
      <c r="AT5" s="28">
        <v>46</v>
      </c>
      <c r="AU5" s="28">
        <v>47</v>
      </c>
      <c r="AV5" s="28">
        <v>48</v>
      </c>
      <c r="AW5" s="28">
        <v>49</v>
      </c>
      <c r="AX5" s="28">
        <v>50</v>
      </c>
      <c r="AY5" s="28">
        <v>51</v>
      </c>
      <c r="AZ5" s="28">
        <v>52</v>
      </c>
      <c r="BA5" s="28">
        <v>53</v>
      </c>
      <c r="BB5" s="28">
        <v>54</v>
      </c>
      <c r="BC5" s="28">
        <v>55</v>
      </c>
      <c r="BD5" s="28">
        <v>56</v>
      </c>
      <c r="BE5" s="28">
        <v>57</v>
      </c>
      <c r="BF5" s="28">
        <v>58</v>
      </c>
      <c r="BG5" s="28">
        <v>59</v>
      </c>
      <c r="BH5" s="28">
        <v>60</v>
      </c>
      <c r="BI5" s="28">
        <v>61</v>
      </c>
      <c r="BJ5" s="28">
        <v>62</v>
      </c>
      <c r="BK5" s="28">
        <v>63</v>
      </c>
      <c r="BL5" s="28">
        <v>64</v>
      </c>
      <c r="BM5" s="28">
        <v>65</v>
      </c>
      <c r="BN5" s="28">
        <v>66</v>
      </c>
      <c r="BO5" s="28">
        <v>67</v>
      </c>
      <c r="BP5" s="28">
        <v>68</v>
      </c>
      <c r="BQ5" s="28">
        <v>69</v>
      </c>
      <c r="BR5" s="28">
        <v>70</v>
      </c>
      <c r="BS5" s="28">
        <v>71</v>
      </c>
      <c r="BT5" s="28">
        <v>72</v>
      </c>
      <c r="BU5" s="28">
        <v>73</v>
      </c>
      <c r="BV5" s="28">
        <v>74</v>
      </c>
      <c r="BW5" s="28">
        <v>75</v>
      </c>
      <c r="BX5" s="28">
        <v>76</v>
      </c>
      <c r="BY5" s="28">
        <v>77</v>
      </c>
      <c r="BZ5" s="28">
        <v>78</v>
      </c>
      <c r="CA5" s="28">
        <v>79</v>
      </c>
      <c r="CB5" s="28">
        <v>80</v>
      </c>
      <c r="CC5" s="28">
        <v>81</v>
      </c>
      <c r="CD5" s="28">
        <v>82</v>
      </c>
      <c r="CE5" s="28">
        <v>83</v>
      </c>
      <c r="CF5" s="28">
        <v>84</v>
      </c>
      <c r="CG5" s="28">
        <v>85</v>
      </c>
      <c r="CH5" s="28">
        <v>86</v>
      </c>
      <c r="CI5" s="28">
        <v>87</v>
      </c>
      <c r="CJ5" s="28">
        <v>88</v>
      </c>
      <c r="CK5" s="28">
        <v>89</v>
      </c>
      <c r="CL5" s="28">
        <v>90</v>
      </c>
      <c r="CM5" s="28">
        <v>91</v>
      </c>
      <c r="CN5" s="28">
        <v>92</v>
      </c>
      <c r="CO5" s="28">
        <v>93</v>
      </c>
      <c r="CP5" s="28">
        <v>94</v>
      </c>
      <c r="CQ5" s="28">
        <v>95</v>
      </c>
      <c r="CR5" s="28">
        <v>96</v>
      </c>
      <c r="CS5" s="28">
        <v>97</v>
      </c>
      <c r="CT5" s="28">
        <v>98</v>
      </c>
      <c r="CU5" s="28">
        <v>99</v>
      </c>
      <c r="CV5" s="28">
        <v>100</v>
      </c>
      <c r="CW5" s="28">
        <v>101</v>
      </c>
      <c r="CX5" s="28">
        <v>102</v>
      </c>
      <c r="CY5" s="28">
        <v>103</v>
      </c>
      <c r="CZ5" s="28">
        <v>104</v>
      </c>
      <c r="DA5" s="28">
        <v>105</v>
      </c>
    </row>
    <row r="6" spans="1:105">
      <c r="A6" s="29" t="s">
        <v>17</v>
      </c>
      <c r="B6" s="30"/>
      <c r="C6" s="30"/>
      <c r="D6" s="30"/>
      <c r="E6" s="30"/>
      <c r="F6" s="30"/>
      <c r="G6" s="31"/>
      <c r="H6" s="32"/>
      <c r="I6" s="380" t="s">
        <v>18</v>
      </c>
      <c r="J6" s="381"/>
      <c r="K6" s="381"/>
      <c r="L6" s="381"/>
      <c r="M6" s="381"/>
      <c r="N6" s="382"/>
      <c r="O6" s="383" t="s">
        <v>19</v>
      </c>
      <c r="P6" s="384"/>
      <c r="Q6" s="33" t="s">
        <v>20</v>
      </c>
      <c r="R6" s="385" t="s">
        <v>21</v>
      </c>
      <c r="S6" s="385"/>
      <c r="T6" s="385"/>
      <c r="U6" s="34"/>
      <c r="V6" s="34"/>
      <c r="W6" s="34"/>
      <c r="X6" s="35"/>
      <c r="Y6" s="36"/>
      <c r="Z6" s="34"/>
      <c r="AA6" s="34"/>
      <c r="AB6" s="34"/>
      <c r="AC6" s="34"/>
      <c r="AD6" s="34"/>
      <c r="AE6" s="37"/>
      <c r="AF6" s="37"/>
      <c r="AG6" s="37"/>
      <c r="AH6" s="37"/>
      <c r="AI6" s="37"/>
      <c r="AJ6" s="37"/>
      <c r="AK6" s="37"/>
      <c r="AL6" s="37"/>
      <c r="AM6" s="37"/>
      <c r="AN6" s="37"/>
      <c r="AO6" s="3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row>
    <row r="7" spans="1:105" ht="25.5">
      <c r="A7" s="38" t="s">
        <v>22</v>
      </c>
      <c r="B7" s="38" t="s">
        <v>23</v>
      </c>
      <c r="C7" s="38" t="s">
        <v>24</v>
      </c>
      <c r="D7" s="38" t="s">
        <v>25</v>
      </c>
      <c r="E7" s="38" t="s">
        <v>26</v>
      </c>
      <c r="F7" s="39" t="s">
        <v>27</v>
      </c>
      <c r="G7" s="38" t="s">
        <v>28</v>
      </c>
      <c r="H7" s="40" t="s">
        <v>29</v>
      </c>
      <c r="I7" s="40" t="s">
        <v>30</v>
      </c>
      <c r="J7" s="40" t="s">
        <v>31</v>
      </c>
      <c r="K7" s="40" t="s">
        <v>32</v>
      </c>
      <c r="L7" s="40" t="s">
        <v>33</v>
      </c>
      <c r="M7" s="40" t="s">
        <v>34</v>
      </c>
      <c r="N7" s="40" t="s">
        <v>35</v>
      </c>
      <c r="O7" s="41" t="s">
        <v>36</v>
      </c>
      <c r="P7" s="40" t="s">
        <v>28</v>
      </c>
      <c r="Q7" s="42" t="s">
        <v>37</v>
      </c>
      <c r="R7" s="43" t="s">
        <v>38</v>
      </c>
      <c r="S7" s="43" t="s">
        <v>39</v>
      </c>
      <c r="T7" s="43" t="s">
        <v>40</v>
      </c>
      <c r="U7" s="44"/>
      <c r="V7" s="44"/>
      <c r="W7" s="44"/>
      <c r="X7" s="44"/>
      <c r="Y7" s="44"/>
      <c r="Z7" s="44"/>
      <c r="AA7" s="44"/>
      <c r="AB7" s="44"/>
      <c r="AC7" s="44"/>
      <c r="AD7" s="44"/>
      <c r="AE7" s="37"/>
      <c r="AF7" s="37"/>
      <c r="AG7" s="37"/>
      <c r="AH7" s="37"/>
      <c r="AI7" s="37"/>
      <c r="AJ7" s="37"/>
      <c r="AK7" s="37"/>
      <c r="AL7" s="37"/>
      <c r="AM7" s="37"/>
      <c r="AN7" s="37"/>
      <c r="AO7" s="3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row>
    <row r="8" spans="1:105">
      <c r="A8" s="45" t="str">
        <f>'Savings and Cost Analysis'!AQ13</f>
        <v>Exterior Lighting: Parking Lot - HPS 250W - New</v>
      </c>
      <c r="B8" s="45" t="str">
        <f>'Savings and Cost Analysis'!AT13</f>
        <v>Exterior Lighting: Parking Lot - HPS 250W to LED 135W - New</v>
      </c>
      <c r="C8" s="46">
        <f>'Savings and Cost Analysis'!BB13</f>
        <v>743.50510204081638</v>
      </c>
      <c r="D8" s="169">
        <f>'Savings and Cost Analysis'!BK13</f>
        <v>16.279069767441861</v>
      </c>
      <c r="E8" s="48">
        <f>'Savings and Cost Analysis'!BQ13</f>
        <v>2.0115772129567233</v>
      </c>
      <c r="F8" s="48"/>
      <c r="G8" s="49" t="str">
        <f>'Savings and Cost Analysis'!BV13</f>
        <v>S-All-Lgt-Streetlight-All-All-U</v>
      </c>
      <c r="H8" s="47"/>
      <c r="I8" s="170"/>
      <c r="J8" s="169"/>
      <c r="K8" s="47"/>
      <c r="L8" s="47"/>
      <c r="M8" s="47"/>
      <c r="N8" s="47"/>
      <c r="O8" s="24"/>
      <c r="P8" s="50"/>
      <c r="Q8" s="51" t="str">
        <f>'Savings and Cost Analysis'!BW13</f>
        <v>L</v>
      </c>
      <c r="R8" s="47"/>
      <c r="S8" s="47"/>
      <c r="T8" s="47"/>
    </row>
    <row r="9" spans="1:105">
      <c r="A9" s="45" t="str">
        <f>'Savings and Cost Analysis'!AQ14</f>
        <v>Exterior Lighting: Parking Lot - MH 400W - New</v>
      </c>
      <c r="B9" s="45" t="str">
        <f>'Savings and Cost Analysis'!AT14</f>
        <v>Exterior Lighting: Parking Lot - MH 400W to LED 180W - New</v>
      </c>
      <c r="C9" s="46">
        <f>'Savings and Cost Analysis'!BB14</f>
        <v>1298.0734693877553</v>
      </c>
      <c r="D9" s="169">
        <f>'Savings and Cost Analysis'!BK14</f>
        <v>16.279069767441861</v>
      </c>
      <c r="E9" s="48">
        <f>'Savings and Cost Analysis'!BQ14</f>
        <v>134.02315442591345</v>
      </c>
      <c r="F9" s="48"/>
      <c r="G9" s="49" t="str">
        <f>'Savings and Cost Analysis'!BV14</f>
        <v>S-All-Lgt-Streetlight-All-All-U</v>
      </c>
      <c r="H9" s="24"/>
      <c r="I9" s="170"/>
      <c r="J9" s="169"/>
      <c r="K9" s="24"/>
      <c r="L9" s="24"/>
      <c r="M9" s="24"/>
      <c r="N9" s="24"/>
      <c r="O9" s="24"/>
      <c r="P9" s="50"/>
      <c r="Q9" s="51" t="str">
        <f>'Savings and Cost Analysis'!BW14</f>
        <v>L</v>
      </c>
      <c r="R9" s="24"/>
      <c r="S9" s="24"/>
      <c r="T9" s="24"/>
    </row>
    <row r="10" spans="1:105">
      <c r="A10" s="45" t="str">
        <f>'Savings and Cost Analysis'!AQ15</f>
        <v>Exterior Lighting: Parking Lot - MH 1000W - New</v>
      </c>
      <c r="B10" s="45" t="str">
        <f>'Savings and Cost Analysis'!AT15</f>
        <v>Exterior Lighting: Parking Lot - MH 1000W to LED 421W - New</v>
      </c>
      <c r="C10" s="46">
        <f>'Savings and Cost Analysis'!BB15</f>
        <v>3159.841836734694</v>
      </c>
      <c r="D10" s="169">
        <f>'Savings and Cost Analysis'!BK15</f>
        <v>16.279069767441861</v>
      </c>
      <c r="E10" s="48">
        <f>'Savings and Cost Analysis'!BQ15</f>
        <v>532.0694632777404</v>
      </c>
      <c r="F10" s="48"/>
      <c r="G10" s="49" t="str">
        <f>'Savings and Cost Analysis'!BV15</f>
        <v>S-All-Lgt-Streetlight-All-All-U</v>
      </c>
      <c r="H10" s="24"/>
      <c r="I10" s="170"/>
      <c r="J10" s="169"/>
      <c r="K10" s="24"/>
      <c r="L10" s="24"/>
      <c r="M10" s="24"/>
      <c r="N10" s="24"/>
      <c r="O10" s="24"/>
      <c r="P10" s="50"/>
      <c r="Q10" s="51" t="str">
        <f>'Savings and Cost Analysis'!BW15</f>
        <v>L</v>
      </c>
      <c r="R10" s="24"/>
      <c r="S10" s="24"/>
      <c r="T10" s="24"/>
    </row>
    <row r="11" spans="1:105">
      <c r="A11" s="45" t="str">
        <f>'Savings and Cost Analysis'!AQ16</f>
        <v>Exterior Lighting: Parking Lot - HPS 250W - NR</v>
      </c>
      <c r="B11" s="45" t="str">
        <f>'Savings and Cost Analysis'!AT16</f>
        <v>Exterior Lighting: Parking Lot - HPS 250W to LED 135W - NR</v>
      </c>
      <c r="C11" s="46">
        <f>'Savings and Cost Analysis'!BB16</f>
        <v>743.50510204081638</v>
      </c>
      <c r="D11" s="169">
        <f>'Savings and Cost Analysis'!BK16</f>
        <v>16.279069767441861</v>
      </c>
      <c r="E11" s="48">
        <f>'Savings and Cost Analysis'!BQ16</f>
        <v>179.07824387962339</v>
      </c>
      <c r="F11" s="24"/>
      <c r="G11" s="49" t="str">
        <f>'Savings and Cost Analysis'!BV16</f>
        <v>S-All-Lgt-Streetlight-All-All-U</v>
      </c>
      <c r="H11" s="24"/>
      <c r="I11" s="170"/>
      <c r="J11" s="169"/>
      <c r="K11" s="24"/>
      <c r="L11" s="24"/>
      <c r="M11" s="24"/>
      <c r="N11" s="24"/>
      <c r="O11" s="24"/>
      <c r="P11" s="24"/>
      <c r="Q11" s="51" t="str">
        <f>'Savings and Cost Analysis'!BW16</f>
        <v>L</v>
      </c>
      <c r="R11" s="24"/>
      <c r="S11" s="24"/>
      <c r="T11" s="24"/>
    </row>
    <row r="12" spans="1:105">
      <c r="A12" s="45" t="str">
        <f>'Savings and Cost Analysis'!AQ17</f>
        <v>Exterior Lighting: Parking Lot - MH 400W - NR</v>
      </c>
      <c r="B12" s="45" t="str">
        <f>'Savings and Cost Analysis'!AT17</f>
        <v>Exterior Lighting: Parking Lot - MH 400W to LED 180W - NR</v>
      </c>
      <c r="C12" s="46">
        <f>'Savings and Cost Analysis'!BB17</f>
        <v>1298.0734693877553</v>
      </c>
      <c r="D12" s="169">
        <f>'Savings and Cost Analysis'!BK17</f>
        <v>16.279069767441861</v>
      </c>
      <c r="E12" s="48">
        <f>'Savings and Cost Analysis'!BQ17</f>
        <v>338.08982109258011</v>
      </c>
      <c r="F12" s="24"/>
      <c r="G12" s="49" t="str">
        <f>'Savings and Cost Analysis'!BV17</f>
        <v>S-All-Lgt-Streetlight-All-All-U</v>
      </c>
      <c r="H12" s="24"/>
      <c r="I12" s="170"/>
      <c r="J12" s="169"/>
      <c r="K12" s="24"/>
      <c r="L12" s="24"/>
      <c r="M12" s="24"/>
      <c r="N12" s="24"/>
      <c r="O12" s="24"/>
      <c r="P12" s="24"/>
      <c r="Q12" s="51" t="str">
        <f>'Savings and Cost Analysis'!BW17</f>
        <v>L</v>
      </c>
      <c r="R12" s="24"/>
      <c r="S12" s="24"/>
      <c r="T12" s="24"/>
    </row>
    <row r="13" spans="1:105">
      <c r="A13" s="45" t="str">
        <f>'Savings and Cost Analysis'!AQ18</f>
        <v>Exterior Lighting: Parking Lot - MH 1000W - NR</v>
      </c>
      <c r="B13" s="45" t="str">
        <f>'Savings and Cost Analysis'!AT18</f>
        <v>Exterior Lighting: Parking Lot - MH 1000W to LED 421W - NR</v>
      </c>
      <c r="C13" s="46">
        <f>'Savings and Cost Analysis'!BB18</f>
        <v>3159.841836734694</v>
      </c>
      <c r="D13" s="169">
        <f>'Savings and Cost Analysis'!BK18</f>
        <v>16.279069767441861</v>
      </c>
      <c r="E13" s="48">
        <f>'Savings and Cost Analysis'!BQ18</f>
        <v>984.136129944407</v>
      </c>
      <c r="F13" s="24"/>
      <c r="G13" s="49" t="str">
        <f>'Savings and Cost Analysis'!BV18</f>
        <v>S-All-Lgt-Streetlight-All-All-U</v>
      </c>
      <c r="H13" s="24"/>
      <c r="I13" s="170"/>
      <c r="J13" s="169"/>
      <c r="K13" s="24"/>
      <c r="L13" s="24"/>
      <c r="M13" s="24"/>
      <c r="N13" s="24"/>
      <c r="O13" s="24"/>
      <c r="P13" s="24"/>
      <c r="Q13" s="51" t="str">
        <f>'Savings and Cost Analysis'!BW18</f>
        <v>L</v>
      </c>
      <c r="R13" s="24"/>
      <c r="S13" s="24"/>
      <c r="T13" s="24"/>
    </row>
    <row r="14" spans="1:105">
      <c r="A14" s="45" t="str">
        <f>'Savings and Cost Analysis'!AQ19</f>
        <v>Exterior Lighting: Parking Lot - HPS 250W - Retro</v>
      </c>
      <c r="B14" s="45" t="str">
        <f>'Savings and Cost Analysis'!AT19</f>
        <v>Exterior Lighting: Parking Lot - HPS 250W to LED 135W - Retro</v>
      </c>
      <c r="C14" s="46">
        <f>'Savings and Cost Analysis'!BB19</f>
        <v>743.50510204081638</v>
      </c>
      <c r="D14" s="169">
        <f>'Savings and Cost Analysis'!BK19</f>
        <v>16.279069767441861</v>
      </c>
      <c r="E14" s="48">
        <f>'Savings and Cost Analysis'!BQ19</f>
        <v>204.91157721295673</v>
      </c>
      <c r="G14" s="49" t="str">
        <f>'Savings and Cost Analysis'!BV19</f>
        <v>S-All-Lgt-Streetlight-All-All-U</v>
      </c>
      <c r="I14" s="170"/>
      <c r="J14" s="169"/>
      <c r="Q14" s="51" t="str">
        <f>'Savings and Cost Analysis'!BW19</f>
        <v>R</v>
      </c>
    </row>
    <row r="15" spans="1:105">
      <c r="A15" s="45" t="str">
        <f>'Savings and Cost Analysis'!AQ20</f>
        <v>Exterior Lighting: Parking Lot - MH 400W - Retro</v>
      </c>
      <c r="B15" s="45" t="str">
        <f>'Savings and Cost Analysis'!AT20</f>
        <v>Exterior Lighting: Parking Lot - MH 400W to LED 180W - Retro</v>
      </c>
      <c r="C15" s="46">
        <f>'Savings and Cost Analysis'!BB20</f>
        <v>1298.0734693877553</v>
      </c>
      <c r="D15" s="169">
        <f>'Savings and Cost Analysis'!BK20</f>
        <v>16.279069767441861</v>
      </c>
      <c r="E15" s="48">
        <f>'Savings and Cost Analysis'!BQ20</f>
        <v>366.92315442591342</v>
      </c>
      <c r="G15" s="49" t="str">
        <f>'Savings and Cost Analysis'!BV20</f>
        <v>S-All-Lgt-Streetlight-All-All-U</v>
      </c>
      <c r="I15" s="170"/>
      <c r="J15" s="169"/>
      <c r="Q15" s="51" t="str">
        <f>'Savings and Cost Analysis'!BW20</f>
        <v>R</v>
      </c>
    </row>
    <row r="16" spans="1:105">
      <c r="A16" s="45" t="str">
        <f>'Savings and Cost Analysis'!AQ21</f>
        <v>Exterior Lighting: Parking Lot - MH 1000W - Retro</v>
      </c>
      <c r="B16" s="45" t="str">
        <f>'Savings and Cost Analysis'!AT21</f>
        <v>Exterior Lighting: Parking Lot - MH 1000W to LED 421W - Retro</v>
      </c>
      <c r="C16" s="46">
        <f>'Savings and Cost Analysis'!BB21</f>
        <v>3159.841836734694</v>
      </c>
      <c r="D16" s="169">
        <f>'Savings and Cost Analysis'!BK21</f>
        <v>16.279069767441861</v>
      </c>
      <c r="E16" s="48">
        <f>'Savings and Cost Analysis'!BQ21</f>
        <v>1014.9694632777404</v>
      </c>
      <c r="G16" s="49" t="str">
        <f>'Savings and Cost Analysis'!BV21</f>
        <v>S-All-Lgt-Streetlight-All-All-U</v>
      </c>
      <c r="I16" s="170"/>
      <c r="J16" s="169"/>
      <c r="Q16" s="51" t="str">
        <f>'Savings and Cost Analysis'!BW21</f>
        <v>R</v>
      </c>
    </row>
    <row r="17" spans="1:17">
      <c r="A17" s="45" t="str">
        <f>'Savings and Cost Analysis'!AQ22</f>
        <v>Exterior Lighting: Façade - HID 150W - New</v>
      </c>
      <c r="B17" s="45" t="str">
        <f>'Savings and Cost Analysis'!AT22</f>
        <v>Exterior Lighting: Façade - HID 150W to LED 27W - New</v>
      </c>
      <c r="C17" s="46">
        <f>'Savings and Cost Analysis'!BB22</f>
        <v>649.36581632653053</v>
      </c>
      <c r="D17" s="169">
        <f>'Savings and Cost Analysis'!BK22</f>
        <v>16.744186046511629</v>
      </c>
      <c r="E17" s="48">
        <f>'Savings and Cost Analysis'!BQ22</f>
        <v>7.3019593555087283</v>
      </c>
      <c r="G17" s="49" t="str">
        <f>'Savings and Cost Analysis'!BV22</f>
        <v>S-All-Lgt-Streetlight-All-All-U</v>
      </c>
      <c r="I17" s="170"/>
      <c r="J17" s="169"/>
      <c r="Q17" s="51" t="str">
        <f>'Savings and Cost Analysis'!BW22</f>
        <v>L</v>
      </c>
    </row>
    <row r="18" spans="1:17">
      <c r="A18" s="45" t="str">
        <f>'Savings and Cost Analysis'!AQ23</f>
        <v>Exterior Lighting: Façade - HID 400W - New</v>
      </c>
      <c r="B18" s="45" t="str">
        <f>'Savings and Cost Analysis'!AT23</f>
        <v>Exterior Lighting: Façade - HID 400W to LED 82W - New</v>
      </c>
      <c r="C18" s="46">
        <f>'Savings and Cost Analysis'!BB23</f>
        <v>1606.9202380952379</v>
      </c>
      <c r="D18" s="169">
        <f>'Savings and Cost Analysis'!BK23</f>
        <v>16.744186046511629</v>
      </c>
      <c r="E18" s="48">
        <f>'Savings and Cost Analysis'!BQ23</f>
        <v>51.863052062075326</v>
      </c>
      <c r="G18" s="49" t="str">
        <f>'Savings and Cost Analysis'!BV23</f>
        <v>S-All-Lgt-Streetlight-All-All-U</v>
      </c>
      <c r="I18" s="170"/>
      <c r="J18" s="169"/>
      <c r="Q18" s="51" t="str">
        <f>'Savings and Cost Analysis'!BW23</f>
        <v>L</v>
      </c>
    </row>
    <row r="19" spans="1:17">
      <c r="A19" s="45" t="str">
        <f>'Savings and Cost Analysis'!AQ24</f>
        <v>Exterior Lighting: Façade - HID 150W - NR</v>
      </c>
      <c r="B19" s="45" t="str">
        <f>'Savings and Cost Analysis'!AT24</f>
        <v>Exterior Lighting: Façade - HID 150W to LED 27W - NR</v>
      </c>
      <c r="C19" s="46">
        <f>'Savings and Cost Analysis'!BB24</f>
        <v>649.36581632653053</v>
      </c>
      <c r="D19" s="169">
        <f>'Savings and Cost Analysis'!BK24</f>
        <v>16.744186046511629</v>
      </c>
      <c r="E19" s="48">
        <f>'Savings and Cost Analysis'!BQ24</f>
        <v>186.95819668884204</v>
      </c>
      <c r="G19" s="49" t="str">
        <f>'Savings and Cost Analysis'!BV24</f>
        <v>S-All-Lgt-Streetlight-All-All-U</v>
      </c>
      <c r="I19" s="170"/>
      <c r="J19" s="169"/>
      <c r="Q19" s="51" t="str">
        <f>'Savings and Cost Analysis'!BW24</f>
        <v>L</v>
      </c>
    </row>
    <row r="20" spans="1:17">
      <c r="A20" s="45" t="str">
        <f>'Savings and Cost Analysis'!AQ25</f>
        <v>Exterior Lighting: Façade - HID 400W - NR</v>
      </c>
      <c r="B20" s="45" t="str">
        <f>'Savings and Cost Analysis'!AT25</f>
        <v>Exterior Lighting: Façade - HID 400W to LED 82W - NR</v>
      </c>
      <c r="C20" s="46">
        <f>'Savings and Cost Analysis'!BB25</f>
        <v>1606.9202380952379</v>
      </c>
      <c r="D20" s="169">
        <f>'Savings and Cost Analysis'!BK25</f>
        <v>16.744186046511629</v>
      </c>
      <c r="E20" s="48">
        <f>'Savings and Cost Analysis'!BQ25</f>
        <v>332.28218672874203</v>
      </c>
      <c r="G20" s="49" t="str">
        <f>'Savings and Cost Analysis'!BV25</f>
        <v>S-All-Lgt-Streetlight-All-All-U</v>
      </c>
      <c r="I20" s="170"/>
      <c r="J20" s="169"/>
      <c r="Q20" s="51" t="str">
        <f>'Savings and Cost Analysis'!BW25</f>
        <v>L</v>
      </c>
    </row>
    <row r="21" spans="1:17">
      <c r="A21" s="45" t="str">
        <f>'Savings and Cost Analysis'!AQ26</f>
        <v>Exterior Lighting: Façade - HID 150W - Retro</v>
      </c>
      <c r="B21" s="45" t="str">
        <f>'Savings and Cost Analysis'!AT26</f>
        <v>Exterior Lighting: Façade - HID 150W to LED 27W - Retro</v>
      </c>
      <c r="C21" s="46">
        <f>'Savings and Cost Analysis'!BB26</f>
        <v>649.36581632653053</v>
      </c>
      <c r="D21" s="169">
        <f>'Savings and Cost Analysis'!BK26</f>
        <v>16.744186046511629</v>
      </c>
      <c r="E21" s="48">
        <f>'Savings and Cost Analysis'!BQ26</f>
        <v>228.79070335550873</v>
      </c>
      <c r="G21" s="49" t="str">
        <f>'Savings and Cost Analysis'!BV26</f>
        <v>S-All-Lgt-Streetlight-All-All-U</v>
      </c>
      <c r="I21" s="170"/>
      <c r="J21" s="169"/>
      <c r="Q21" s="51" t="str">
        <f>'Savings and Cost Analysis'!BW26</f>
        <v>R</v>
      </c>
    </row>
    <row r="22" spans="1:17">
      <c r="A22" s="45" t="str">
        <f>'Savings and Cost Analysis'!AQ27</f>
        <v>Exterior Lighting: Façade - HID 400W - Retro</v>
      </c>
      <c r="B22" s="45" t="str">
        <f>'Savings and Cost Analysis'!AT27</f>
        <v>Exterior Lighting: Façade - HID 400W to LED 82W - Retro</v>
      </c>
      <c r="C22" s="46">
        <f>'Savings and Cost Analysis'!BB27</f>
        <v>1606.9202380952379</v>
      </c>
      <c r="D22" s="169">
        <f>'Savings and Cost Analysis'!BK27</f>
        <v>16.744186046511629</v>
      </c>
      <c r="E22" s="48">
        <f>'Savings and Cost Analysis'!BQ27</f>
        <v>371.54658006207535</v>
      </c>
      <c r="G22" s="49" t="str">
        <f>'Savings and Cost Analysis'!BV27</f>
        <v>S-All-Lgt-Streetlight-All-All-U</v>
      </c>
      <c r="I22" s="170"/>
      <c r="J22" s="169"/>
      <c r="Q22" s="51" t="str">
        <f>'Savings and Cost Analysis'!BW27</f>
        <v>R</v>
      </c>
    </row>
    <row r="23" spans="1:17">
      <c r="A23" s="45" t="str">
        <f>'Savings and Cost Analysis'!AQ28</f>
        <v>Exterior Lighting: Walkway - HID 150W - New</v>
      </c>
      <c r="B23" s="45" t="str">
        <f>'Savings and Cost Analysis'!AT28</f>
        <v>Exterior Lighting: Walkway - HID 150W to LED 28W - New</v>
      </c>
      <c r="C23" s="46">
        <f>'Savings and Cost Analysis'!BB28</f>
        <v>647.87397959183659</v>
      </c>
      <c r="D23" s="169">
        <f>'Savings and Cost Analysis'!BK28</f>
        <v>16.744186046511629</v>
      </c>
      <c r="E23" s="48">
        <f>'Savings and Cost Analysis'!BQ28</f>
        <v>6.6707622506870052</v>
      </c>
      <c r="G23" s="49" t="str">
        <f>'Savings and Cost Analysis'!BV28</f>
        <v>S-All-Lgt-Streetlight-All-All-U</v>
      </c>
      <c r="I23" s="170"/>
      <c r="J23" s="169"/>
      <c r="Q23" s="51" t="str">
        <f>'Savings and Cost Analysis'!BW28</f>
        <v>L</v>
      </c>
    </row>
    <row r="24" spans="1:17">
      <c r="A24" s="45" t="str">
        <f>'Savings and Cost Analysis'!AQ29</f>
        <v>Exterior Lighting: Walkway - CFL 26W - New</v>
      </c>
      <c r="B24" s="45" t="str">
        <f>'Savings and Cost Analysis'!AT29</f>
        <v>Exterior Lighting: Walkway - CFL 26W to LED 12W - New</v>
      </c>
      <c r="C24" s="46">
        <f>'Savings and Cost Analysis'!BB29</f>
        <v>68.226666666666659</v>
      </c>
      <c r="D24" s="169">
        <f>'Savings and Cost Analysis'!BK29</f>
        <v>6.6762790697674417</v>
      </c>
      <c r="E24" s="48">
        <f>'Savings and Cost Analysis'!BQ29</f>
        <v>4.0008899869194874</v>
      </c>
      <c r="G24" s="49" t="str">
        <f>'Savings and Cost Analysis'!BV29</f>
        <v>S-All-Lgt-Streetlight-All-All-U</v>
      </c>
      <c r="I24" s="170"/>
      <c r="J24" s="169"/>
      <c r="Q24" s="51" t="str">
        <f>'Savings and Cost Analysis'!BW29</f>
        <v>L</v>
      </c>
    </row>
    <row r="25" spans="1:17">
      <c r="A25" s="45" t="str">
        <f>'Savings and Cost Analysis'!AQ30</f>
        <v>Exterior Lighting: Walkway - INC 75W - New</v>
      </c>
      <c r="B25" s="45" t="str">
        <f>'Savings and Cost Analysis'!AT30</f>
        <v>Exterior Lighting: Walkway - INC 75W to LED 12W - New</v>
      </c>
      <c r="C25" s="46">
        <f>'Savings and Cost Analysis'!BB30</f>
        <v>278.92666666666668</v>
      </c>
      <c r="D25" s="169">
        <f>'Savings and Cost Analysis'!BK30</f>
        <v>6.6762790697674417</v>
      </c>
      <c r="E25" s="48">
        <f>'Savings and Cost Analysis'!BQ30</f>
        <v>4.7789999869194872</v>
      </c>
      <c r="G25" s="49" t="str">
        <f>'Savings and Cost Analysis'!BV30</f>
        <v>S-All-Lgt-Streetlight-All-All-U</v>
      </c>
      <c r="I25" s="170"/>
      <c r="J25" s="169"/>
      <c r="Q25" s="51" t="str">
        <f>'Savings and Cost Analysis'!BW30</f>
        <v>L</v>
      </c>
    </row>
    <row r="26" spans="1:17">
      <c r="A26" s="45" t="str">
        <f>'Savings and Cost Analysis'!AQ31</f>
        <v>Exterior Lighting: Walkway - HID 150W - NR</v>
      </c>
      <c r="B26" s="45" t="str">
        <f>'Savings and Cost Analysis'!AT31</f>
        <v>Exterior Lighting: Walkway - HID 150W to LED 29W - NR</v>
      </c>
      <c r="C26" s="46">
        <f>'Savings and Cost Analysis'!BB31</f>
        <v>640.16615646258492</v>
      </c>
      <c r="D26" s="169">
        <f>'Savings and Cost Analysis'!BK31</f>
        <v>14.186046511627907</v>
      </c>
      <c r="E26" s="48">
        <f>'Savings and Cost Analysis'!BQ31</f>
        <v>154.26033291735365</v>
      </c>
      <c r="G26" s="49" t="str">
        <f>'Savings and Cost Analysis'!BV31</f>
        <v>S-All-Lgt-Streetlight-All-All-U</v>
      </c>
      <c r="I26" s="170"/>
      <c r="J26" s="169"/>
      <c r="Q26" s="51" t="str">
        <f>'Savings and Cost Analysis'!BW31</f>
        <v>L</v>
      </c>
    </row>
    <row r="27" spans="1:17">
      <c r="A27" s="45" t="str">
        <f>'Savings and Cost Analysis'!AQ32</f>
        <v>Exterior Lighting: Walkway - CFL 26W - NR</v>
      </c>
      <c r="B27" s="45" t="str">
        <f>'Savings and Cost Analysis'!AT32</f>
        <v>Exterior Lighting: Walkway - CFL 26W to LED 12W - NR</v>
      </c>
      <c r="C27" s="46">
        <f>'Savings and Cost Analysis'!BB32</f>
        <v>68.226666666666659</v>
      </c>
      <c r="D27" s="169">
        <f>'Savings and Cost Analysis'!BK32</f>
        <v>6.6762790697674417</v>
      </c>
      <c r="E27" s="48">
        <f>'Savings and Cost Analysis'!BQ32</f>
        <v>4.0008899869194874</v>
      </c>
      <c r="G27" s="49" t="str">
        <f>'Savings and Cost Analysis'!BV32</f>
        <v>S-All-Lgt-Streetlight-All-All-U</v>
      </c>
      <c r="I27" s="170"/>
      <c r="J27" s="169"/>
      <c r="Q27" s="51" t="str">
        <f>'Savings and Cost Analysis'!BW32</f>
        <v>L</v>
      </c>
    </row>
    <row r="28" spans="1:17">
      <c r="A28" s="45" t="str">
        <f>'Savings and Cost Analysis'!AQ33</f>
        <v>Exterior Lighting: Walkway - INC 75W - NR</v>
      </c>
      <c r="B28" s="45" t="str">
        <f>'Savings and Cost Analysis'!AT33</f>
        <v>Exterior Lighting: Walkway - INC 75W to LED 12W - NR</v>
      </c>
      <c r="C28" s="46">
        <f>'Savings and Cost Analysis'!BB33</f>
        <v>278.92666666666668</v>
      </c>
      <c r="D28" s="169">
        <f>'Savings and Cost Analysis'!BK33</f>
        <v>6.6762790697674417</v>
      </c>
      <c r="E28" s="48">
        <f>'Savings and Cost Analysis'!BQ33</f>
        <v>4.7789999869194872</v>
      </c>
      <c r="G28" s="49" t="str">
        <f>'Savings and Cost Analysis'!BV33</f>
        <v>S-All-Lgt-Streetlight-All-All-U</v>
      </c>
      <c r="I28" s="170"/>
      <c r="J28" s="169"/>
      <c r="Q28" s="51" t="str">
        <f>'Savings and Cost Analysis'!BW33</f>
        <v>L</v>
      </c>
    </row>
    <row r="29" spans="1:17">
      <c r="A29" s="45" t="str">
        <f>'Savings and Cost Analysis'!AQ34</f>
        <v>Exterior Lighting: Walkway - HID 150W - Retro</v>
      </c>
      <c r="B29" s="45" t="str">
        <f>'Savings and Cost Analysis'!AT34</f>
        <v>Exterior Lighting: Walkway - HID 150W to LED 29W - Retro</v>
      </c>
      <c r="C29" s="46">
        <f>'Savings and Cost Analysis'!BB34</f>
        <v>640.16615646258492</v>
      </c>
      <c r="D29" s="169">
        <f>'Savings and Cost Analysis'!BK34</f>
        <v>14.186046511627907</v>
      </c>
      <c r="E29" s="48">
        <f>'Savings and Cost Analysis'!BQ34</f>
        <v>210.259506250687</v>
      </c>
      <c r="G29" s="49" t="str">
        <f>'Savings and Cost Analysis'!BV34</f>
        <v>S-All-Lgt-Streetlight-All-All-U</v>
      </c>
      <c r="I29" s="170"/>
      <c r="J29" s="169"/>
      <c r="Q29" s="51" t="str">
        <f>'Savings and Cost Analysis'!BW34</f>
        <v>R</v>
      </c>
    </row>
    <row r="30" spans="1:17">
      <c r="A30" s="45" t="str">
        <f>'Savings and Cost Analysis'!AQ35</f>
        <v>Exterior Lighting: Walkway - CFL 26W - Retro</v>
      </c>
      <c r="B30" s="45" t="str">
        <f>'Savings and Cost Analysis'!AT35</f>
        <v>Exterior Lighting: Walkway - CFL 26W to LED 12W - Retro</v>
      </c>
      <c r="C30" s="46">
        <f>'Savings and Cost Analysis'!BB35</f>
        <v>68.226666666666659</v>
      </c>
      <c r="D30" s="169">
        <f>'Savings and Cost Analysis'!BK35</f>
        <v>6.6762790697674417</v>
      </c>
      <c r="E30" s="48">
        <f>'Savings and Cost Analysis'!BQ35</f>
        <v>30.451059986919489</v>
      </c>
      <c r="G30" s="49" t="str">
        <f>'Savings and Cost Analysis'!BV35</f>
        <v>S-All-Lgt-Streetlight-All-All-U</v>
      </c>
      <c r="I30" s="170"/>
      <c r="J30" s="169"/>
      <c r="Q30" s="51" t="str">
        <f>'Savings and Cost Analysis'!BW35</f>
        <v>R</v>
      </c>
    </row>
    <row r="31" spans="1:17">
      <c r="A31" s="45" t="str">
        <f>'Savings and Cost Analysis'!AQ36</f>
        <v>Exterior Lighting: Walkway - INC 75W - Retro</v>
      </c>
      <c r="B31" s="45" t="str">
        <f>'Savings and Cost Analysis'!AT36</f>
        <v>Exterior Lighting: Walkway - INC 75W to LED 12W - Retro</v>
      </c>
      <c r="C31" s="46">
        <f>'Savings and Cost Analysis'!BB36</f>
        <v>278.92666666666668</v>
      </c>
      <c r="D31" s="169">
        <f>'Savings and Cost Analysis'!BK36</f>
        <v>6.6762790697674417</v>
      </c>
      <c r="E31" s="48">
        <f>'Savings and Cost Analysis'!BQ36</f>
        <v>30.451059986919489</v>
      </c>
      <c r="G31" s="49" t="str">
        <f>'Savings and Cost Analysis'!BV36</f>
        <v>S-All-Lgt-Streetlight-All-All-U</v>
      </c>
      <c r="I31" s="170"/>
      <c r="J31" s="169"/>
      <c r="Q31" s="51" t="str">
        <f>'Savings and Cost Analysis'!BW36</f>
        <v>R</v>
      </c>
    </row>
    <row r="34" spans="1:13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row>
    <row r="35" spans="1:131">
      <c r="A35" s="201" t="s">
        <v>438</v>
      </c>
      <c r="B35" s="202"/>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row>
    <row r="36" spans="1:131">
      <c r="A36" s="24" t="s">
        <v>439</v>
      </c>
      <c r="B36" s="24" t="s">
        <v>440</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row>
    <row r="37" spans="1:131">
      <c r="A37" s="24" t="s">
        <v>441</v>
      </c>
      <c r="B37" s="24" t="s">
        <v>685</v>
      </c>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row>
    <row r="38" spans="1:13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row>
    <row r="39" spans="1:131" ht="13.5" thickBot="1">
      <c r="A39" s="187" t="s">
        <v>442</v>
      </c>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188"/>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row>
    <row r="40" spans="1:131">
      <c r="A40" s="24"/>
      <c r="B40" s="204" t="s">
        <v>443</v>
      </c>
      <c r="C40" s="205"/>
      <c r="D40" s="205" t="s">
        <v>443</v>
      </c>
      <c r="E40" s="206"/>
      <c r="F40" s="24"/>
      <c r="G40" s="204" t="s">
        <v>444</v>
      </c>
      <c r="H40" s="205"/>
      <c r="I40" s="205"/>
      <c r="J40" s="205"/>
      <c r="K40" s="205"/>
      <c r="L40" s="205"/>
      <c r="M40" s="205"/>
      <c r="N40" s="205"/>
      <c r="O40" s="206"/>
      <c r="P40" s="24"/>
      <c r="Q40" s="204" t="s">
        <v>445</v>
      </c>
      <c r="R40" s="205"/>
      <c r="S40" s="205"/>
      <c r="T40" s="205"/>
      <c r="U40" s="206"/>
      <c r="V40" s="24"/>
      <c r="W40" s="204" t="s">
        <v>446</v>
      </c>
      <c r="X40" s="206"/>
      <c r="Y40" s="24"/>
      <c r="Z40" s="204" t="s">
        <v>447</v>
      </c>
      <c r="AA40" s="205"/>
      <c r="AB40" s="20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row>
    <row r="41" spans="1:131">
      <c r="A41" s="24"/>
      <c r="B41" s="207" t="s">
        <v>448</v>
      </c>
      <c r="C41" s="208" t="s">
        <v>449</v>
      </c>
      <c r="D41" s="208" t="s">
        <v>448</v>
      </c>
      <c r="E41" s="209" t="s">
        <v>449</v>
      </c>
      <c r="F41" s="24"/>
      <c r="G41" s="207" t="s">
        <v>450</v>
      </c>
      <c r="H41" s="208" t="s">
        <v>451</v>
      </c>
      <c r="I41" s="208"/>
      <c r="J41" s="208"/>
      <c r="K41" s="208" t="s">
        <v>452</v>
      </c>
      <c r="L41" s="208"/>
      <c r="M41" s="208"/>
      <c r="N41" s="208"/>
      <c r="O41" s="209"/>
      <c r="P41" s="24"/>
      <c r="Q41" s="207"/>
      <c r="R41" s="208" t="s">
        <v>453</v>
      </c>
      <c r="S41" s="208" t="s">
        <v>454</v>
      </c>
      <c r="T41" s="208" t="s">
        <v>455</v>
      </c>
      <c r="U41" s="209" t="s">
        <v>456</v>
      </c>
      <c r="V41" s="24"/>
      <c r="W41" s="207" t="s">
        <v>457</v>
      </c>
      <c r="X41" s="209">
        <v>20</v>
      </c>
      <c r="Y41" s="24"/>
      <c r="Z41" s="207"/>
      <c r="AA41" s="208" t="s">
        <v>449</v>
      </c>
      <c r="AB41" s="209" t="s">
        <v>458</v>
      </c>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row>
    <row r="42" spans="1:131">
      <c r="A42" s="24"/>
      <c r="B42" s="207" t="s">
        <v>459</v>
      </c>
      <c r="C42" s="208" t="s">
        <v>460</v>
      </c>
      <c r="D42" s="208" t="s">
        <v>459</v>
      </c>
      <c r="E42" s="209" t="s">
        <v>460</v>
      </c>
      <c r="F42" s="24"/>
      <c r="G42" s="207" t="s">
        <v>461</v>
      </c>
      <c r="H42" s="208" t="s">
        <v>462</v>
      </c>
      <c r="I42" s="208"/>
      <c r="J42" s="208"/>
      <c r="K42" s="208" t="s">
        <v>463</v>
      </c>
      <c r="L42" s="208"/>
      <c r="M42" s="208"/>
      <c r="N42" s="208"/>
      <c r="O42" s="209"/>
      <c r="P42" s="24"/>
      <c r="Q42" s="207" t="s">
        <v>464</v>
      </c>
      <c r="R42" s="208">
        <v>6.8012888465852586E-2</v>
      </c>
      <c r="S42" s="208">
        <v>4.387844424080023E-2</v>
      </c>
      <c r="T42" s="208">
        <v>5.3289007766645871E-2</v>
      </c>
      <c r="U42" s="209">
        <v>5.447903102274565E-2</v>
      </c>
      <c r="V42" s="24"/>
      <c r="W42" s="207" t="s">
        <v>465</v>
      </c>
      <c r="X42" s="209">
        <v>2016</v>
      </c>
      <c r="Y42" s="24"/>
      <c r="Z42" s="207" t="s">
        <v>466</v>
      </c>
      <c r="AA42" s="208">
        <v>0.03</v>
      </c>
      <c r="AB42" s="209">
        <v>0.01</v>
      </c>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row>
    <row r="43" spans="1:131">
      <c r="A43" s="24"/>
      <c r="B43" s="207" t="s">
        <v>467</v>
      </c>
      <c r="C43" s="208" t="s">
        <v>468</v>
      </c>
      <c r="D43" s="208" t="s">
        <v>467</v>
      </c>
      <c r="E43" s="209" t="s">
        <v>468</v>
      </c>
      <c r="F43" s="24"/>
      <c r="G43" s="207" t="s">
        <v>469</v>
      </c>
      <c r="H43" s="208" t="s">
        <v>470</v>
      </c>
      <c r="I43" s="208"/>
      <c r="J43" s="208"/>
      <c r="K43" s="208" t="s">
        <v>471</v>
      </c>
      <c r="L43" s="208"/>
      <c r="M43" s="208"/>
      <c r="N43" s="208"/>
      <c r="O43" s="209"/>
      <c r="P43" s="24"/>
      <c r="Q43" s="207" t="s">
        <v>472</v>
      </c>
      <c r="R43" s="208">
        <v>12</v>
      </c>
      <c r="S43" s="208">
        <v>12</v>
      </c>
      <c r="T43" s="208">
        <v>1</v>
      </c>
      <c r="U43" s="209">
        <v>1</v>
      </c>
      <c r="V43" s="24"/>
      <c r="W43" s="207" t="s">
        <v>473</v>
      </c>
      <c r="X43" s="209">
        <v>2016</v>
      </c>
      <c r="Y43" s="24"/>
      <c r="Z43" s="207" t="s">
        <v>474</v>
      </c>
      <c r="AA43" s="208">
        <v>26</v>
      </c>
      <c r="AB43" s="209">
        <v>0</v>
      </c>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row>
    <row r="44" spans="1:131" ht="13.5" thickBot="1">
      <c r="A44" s="24"/>
      <c r="B44" s="210" t="s">
        <v>475</v>
      </c>
      <c r="C44" s="211" t="s">
        <v>468</v>
      </c>
      <c r="D44" s="211" t="s">
        <v>475</v>
      </c>
      <c r="E44" s="212" t="s">
        <v>468</v>
      </c>
      <c r="F44" s="24"/>
      <c r="G44" s="207" t="s">
        <v>476</v>
      </c>
      <c r="H44" s="208" t="s">
        <v>477</v>
      </c>
      <c r="I44" s="208"/>
      <c r="J44" s="208"/>
      <c r="K44" s="208" t="s">
        <v>463</v>
      </c>
      <c r="L44" s="208"/>
      <c r="M44" s="208"/>
      <c r="N44" s="208"/>
      <c r="O44" s="209"/>
      <c r="P44" s="24"/>
      <c r="Q44" s="207"/>
      <c r="R44" s="208" t="s">
        <v>453</v>
      </c>
      <c r="S44" s="208" t="s">
        <v>454</v>
      </c>
      <c r="T44" s="208" t="s">
        <v>455</v>
      </c>
      <c r="U44" s="209" t="s">
        <v>456</v>
      </c>
      <c r="V44" s="24"/>
      <c r="W44" s="207" t="s">
        <v>478</v>
      </c>
      <c r="X44" s="209">
        <v>2012</v>
      </c>
      <c r="Y44" s="24"/>
      <c r="Z44" s="207" t="s">
        <v>479</v>
      </c>
      <c r="AA44" s="208">
        <v>0.9</v>
      </c>
      <c r="AB44" s="209" t="s">
        <v>274</v>
      </c>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row>
    <row r="45" spans="1:131">
      <c r="A45" s="24"/>
      <c r="B45" s="24"/>
      <c r="C45" s="24"/>
      <c r="D45" s="24"/>
      <c r="E45" s="24"/>
      <c r="F45" s="24"/>
      <c r="G45" s="207" t="s">
        <v>480</v>
      </c>
      <c r="H45" s="208" t="s">
        <v>470</v>
      </c>
      <c r="I45" s="208"/>
      <c r="J45" s="208"/>
      <c r="K45" s="208"/>
      <c r="L45" s="208"/>
      <c r="M45" s="208"/>
      <c r="N45" s="208"/>
      <c r="O45" s="209"/>
      <c r="P45" s="24"/>
      <c r="Q45" s="207" t="s">
        <v>481</v>
      </c>
      <c r="R45" s="208">
        <v>0.35</v>
      </c>
      <c r="S45" s="208">
        <v>0.19500000000000001</v>
      </c>
      <c r="T45" s="208">
        <v>4.8749999999999988E-2</v>
      </c>
      <c r="U45" s="209">
        <v>0.40625</v>
      </c>
      <c r="V45" s="24"/>
      <c r="W45" s="207" t="s">
        <v>482</v>
      </c>
      <c r="X45" s="209">
        <v>0.04</v>
      </c>
      <c r="Y45" s="24"/>
      <c r="Z45" s="207" t="s">
        <v>483</v>
      </c>
      <c r="AA45" s="208">
        <v>5.5E-2</v>
      </c>
      <c r="AB45" s="209">
        <v>0</v>
      </c>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row>
    <row r="46" spans="1:131">
      <c r="A46" s="24"/>
      <c r="B46" s="24" t="s">
        <v>484</v>
      </c>
      <c r="C46" s="24" t="s">
        <v>449</v>
      </c>
      <c r="D46" s="24"/>
      <c r="E46" s="24"/>
      <c r="F46" s="24"/>
      <c r="G46" s="207" t="s">
        <v>485</v>
      </c>
      <c r="H46" s="208" t="s">
        <v>486</v>
      </c>
      <c r="I46" s="208"/>
      <c r="J46" s="208"/>
      <c r="K46" s="208" t="s">
        <v>487</v>
      </c>
      <c r="L46" s="208"/>
      <c r="M46" s="208"/>
      <c r="N46" s="208"/>
      <c r="O46" s="209"/>
      <c r="P46" s="24"/>
      <c r="Q46" s="207" t="s">
        <v>488</v>
      </c>
      <c r="R46" s="208">
        <v>1</v>
      </c>
      <c r="S46" s="208">
        <v>0</v>
      </c>
      <c r="T46" s="208">
        <v>0</v>
      </c>
      <c r="U46" s="209">
        <v>0</v>
      </c>
      <c r="V46" s="24"/>
      <c r="W46" s="207" t="s">
        <v>489</v>
      </c>
      <c r="X46" s="209">
        <v>0</v>
      </c>
      <c r="Y46" s="24"/>
      <c r="Z46" s="207" t="s">
        <v>490</v>
      </c>
      <c r="AA46" s="208">
        <v>31</v>
      </c>
      <c r="AB46" s="209">
        <v>0</v>
      </c>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row>
    <row r="47" spans="1:131">
      <c r="A47" s="24"/>
      <c r="B47" s="24" t="s">
        <v>491</v>
      </c>
      <c r="C47" s="24" t="s">
        <v>492</v>
      </c>
      <c r="D47" s="24"/>
      <c r="E47" s="24"/>
      <c r="F47" s="24"/>
      <c r="G47" s="207" t="s">
        <v>493</v>
      </c>
      <c r="H47" s="208" t="s">
        <v>487</v>
      </c>
      <c r="I47" s="208"/>
      <c r="J47" s="208"/>
      <c r="K47" s="208" t="s">
        <v>494</v>
      </c>
      <c r="L47" s="208"/>
      <c r="M47" s="208"/>
      <c r="N47" s="208"/>
      <c r="O47" s="209"/>
      <c r="P47" s="24"/>
      <c r="Q47" s="207" t="s">
        <v>495</v>
      </c>
      <c r="R47" s="208">
        <v>1</v>
      </c>
      <c r="S47" s="208">
        <v>0</v>
      </c>
      <c r="T47" s="208">
        <v>0</v>
      </c>
      <c r="U47" s="209">
        <v>0</v>
      </c>
      <c r="V47" s="24"/>
      <c r="W47" s="207" t="s">
        <v>496</v>
      </c>
      <c r="X47" s="209">
        <v>0.2</v>
      </c>
      <c r="Y47" s="24"/>
      <c r="Z47" s="207" t="s">
        <v>497</v>
      </c>
      <c r="AA47" s="208">
        <v>0.7</v>
      </c>
      <c r="AB47" s="209" t="s">
        <v>274</v>
      </c>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row>
    <row r="48" spans="1:131">
      <c r="A48" s="24"/>
      <c r="B48" s="24" t="s">
        <v>498</v>
      </c>
      <c r="C48" s="24" t="s">
        <v>499</v>
      </c>
      <c r="D48" s="24"/>
      <c r="E48" s="24"/>
      <c r="F48" s="24"/>
      <c r="G48" s="207" t="s">
        <v>500</v>
      </c>
      <c r="H48" s="208" t="s">
        <v>494</v>
      </c>
      <c r="I48" s="208"/>
      <c r="J48" s="208"/>
      <c r="K48" s="208" t="s">
        <v>501</v>
      </c>
      <c r="L48" s="208"/>
      <c r="M48" s="208"/>
      <c r="N48" s="208"/>
      <c r="O48" s="209"/>
      <c r="P48" s="24"/>
      <c r="Q48" s="207" t="s">
        <v>502</v>
      </c>
      <c r="R48" s="208"/>
      <c r="S48" s="208">
        <v>0.3</v>
      </c>
      <c r="T48" s="208">
        <v>7.4999999999999983E-2</v>
      </c>
      <c r="U48" s="209">
        <v>0.625</v>
      </c>
      <c r="V48" s="24"/>
      <c r="W48" s="207" t="s">
        <v>503</v>
      </c>
      <c r="X48" s="209">
        <v>0.1</v>
      </c>
      <c r="Y48" s="24"/>
      <c r="Z48" s="207" t="s">
        <v>504</v>
      </c>
      <c r="AA48" s="208">
        <v>0</v>
      </c>
      <c r="AB48" s="209">
        <v>0</v>
      </c>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row>
    <row r="49" spans="1:131" ht="13.5" thickBot="1">
      <c r="A49" s="24"/>
      <c r="B49" s="24" t="s">
        <v>505</v>
      </c>
      <c r="C49" s="24" t="s">
        <v>506</v>
      </c>
      <c r="D49" s="24"/>
      <c r="E49" s="24"/>
      <c r="F49" s="24"/>
      <c r="G49" s="210" t="s">
        <v>507</v>
      </c>
      <c r="H49" s="211" t="s">
        <v>501</v>
      </c>
      <c r="I49" s="211"/>
      <c r="J49" s="211"/>
      <c r="K49" s="211"/>
      <c r="L49" s="211"/>
      <c r="M49" s="211"/>
      <c r="N49" s="211"/>
      <c r="O49" s="212"/>
      <c r="P49" s="24"/>
      <c r="Q49" s="210" t="s">
        <v>508</v>
      </c>
      <c r="R49" s="211"/>
      <c r="S49" s="211">
        <v>20</v>
      </c>
      <c r="T49" s="211"/>
      <c r="U49" s="212"/>
      <c r="V49" s="24"/>
      <c r="W49" s="210" t="s">
        <v>509</v>
      </c>
      <c r="X49" s="212">
        <v>2018</v>
      </c>
      <c r="Y49" s="24"/>
      <c r="Z49" s="210" t="s">
        <v>510</v>
      </c>
      <c r="AA49" s="211">
        <v>0</v>
      </c>
      <c r="AB49" s="212">
        <v>0</v>
      </c>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row>
    <row r="50" spans="1:13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row>
    <row r="51" spans="1:13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row>
    <row r="52" spans="1:13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row>
    <row r="53" spans="1:13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row>
    <row r="54" spans="1:13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row>
    <row r="55" spans="1:13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row>
    <row r="56" spans="1:13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row>
    <row r="57" spans="1:131" ht="13.5" thickBot="1">
      <c r="A57" s="187" t="s">
        <v>511</v>
      </c>
      <c r="B57" s="188"/>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row>
    <row r="58" spans="1:131" ht="26.25" thickBot="1">
      <c r="A58" s="213" t="s">
        <v>512</v>
      </c>
      <c r="B58" s="214"/>
      <c r="C58" s="215" t="s">
        <v>513</v>
      </c>
      <c r="D58" s="216"/>
      <c r="E58" s="216"/>
      <c r="F58" s="216"/>
      <c r="G58" s="216"/>
      <c r="H58" s="216"/>
      <c r="I58" s="216"/>
      <c r="J58" s="216"/>
      <c r="K58" s="217"/>
      <c r="L58" s="215" t="s">
        <v>514</v>
      </c>
      <c r="M58" s="216"/>
      <c r="N58" s="216"/>
      <c r="O58" s="216"/>
      <c r="P58" s="216"/>
      <c r="Q58" s="217"/>
      <c r="R58" s="215" t="s">
        <v>515</v>
      </c>
      <c r="S58" s="216"/>
      <c r="T58" s="216"/>
      <c r="U58" s="217"/>
      <c r="V58" s="215" t="s">
        <v>516</v>
      </c>
      <c r="W58" s="216"/>
      <c r="X58" s="216"/>
      <c r="Y58" s="217"/>
      <c r="Z58" s="215" t="s">
        <v>517</v>
      </c>
      <c r="AA58" s="216"/>
      <c r="AB58" s="216"/>
      <c r="AC58" s="217"/>
      <c r="AD58" s="215" t="s">
        <v>518</v>
      </c>
      <c r="AE58" s="216"/>
      <c r="AF58" s="216"/>
      <c r="AG58" s="217"/>
      <c r="AH58" s="215" t="s">
        <v>519</v>
      </c>
      <c r="AI58" s="216"/>
      <c r="AJ58" s="216"/>
      <c r="AK58" s="216"/>
      <c r="AL58" s="217"/>
      <c r="AM58" s="215" t="s">
        <v>520</v>
      </c>
      <c r="AN58" s="216"/>
      <c r="AO58" s="216"/>
      <c r="AP58" s="216"/>
      <c r="AQ58" s="216"/>
      <c r="AR58" s="216"/>
      <c r="AS58" s="217"/>
      <c r="AT58" s="215" t="s">
        <v>521</v>
      </c>
      <c r="AU58" s="216"/>
      <c r="AV58" s="216"/>
      <c r="AW58" s="216"/>
      <c r="AX58" s="216"/>
      <c r="AY58" s="216"/>
      <c r="AZ58" s="217"/>
      <c r="BA58" s="215" t="s">
        <v>522</v>
      </c>
      <c r="BB58" s="216"/>
      <c r="BC58" s="216"/>
      <c r="BD58" s="216"/>
      <c r="BE58" s="216"/>
      <c r="BF58" s="217"/>
      <c r="BG58" s="215" t="s">
        <v>523</v>
      </c>
      <c r="BH58" s="217"/>
      <c r="BI58" s="215" t="s">
        <v>524</v>
      </c>
      <c r="BJ58" s="216"/>
      <c r="BK58" s="216"/>
      <c r="BL58" s="216"/>
      <c r="BM58" s="217"/>
      <c r="BN58" s="215" t="s">
        <v>525</v>
      </c>
      <c r="BO58" s="216"/>
      <c r="BP58" s="216"/>
      <c r="BQ58" s="216"/>
      <c r="BR58" s="216"/>
      <c r="BS58" s="216"/>
      <c r="BT58" s="216"/>
      <c r="BU58" s="216"/>
      <c r="BV58" s="216"/>
      <c r="BW58" s="216"/>
      <c r="BX58" s="216"/>
      <c r="BY58" s="216"/>
      <c r="BZ58" s="216"/>
      <c r="CA58" s="216"/>
      <c r="CB58" s="216"/>
      <c r="CC58" s="217"/>
      <c r="CD58" s="215" t="s">
        <v>526</v>
      </c>
      <c r="CE58" s="217"/>
      <c r="CF58" s="215" t="s">
        <v>527</v>
      </c>
      <c r="CG58" s="216"/>
      <c r="CH58" s="216"/>
      <c r="CI58" s="216"/>
      <c r="CJ58" s="216"/>
      <c r="CK58" s="217"/>
      <c r="CL58" s="218"/>
      <c r="CM58" s="215" t="s">
        <v>19</v>
      </c>
      <c r="CN58" s="216"/>
      <c r="CO58" s="216"/>
      <c r="CP58" s="217"/>
      <c r="CQ58" s="215" t="s">
        <v>528</v>
      </c>
      <c r="CR58" s="216"/>
      <c r="CS58" s="216"/>
      <c r="CT58" s="216"/>
      <c r="CU58" s="217"/>
      <c r="CV58" s="215" t="s">
        <v>529</v>
      </c>
      <c r="CW58" s="217"/>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row>
    <row r="59" spans="1:131" ht="127.5">
      <c r="A59" s="195" t="s">
        <v>388</v>
      </c>
      <c r="B59" s="196" t="s">
        <v>389</v>
      </c>
      <c r="C59" s="197" t="s">
        <v>11</v>
      </c>
      <c r="D59" s="197" t="s">
        <v>530</v>
      </c>
      <c r="E59" s="197" t="s">
        <v>531</v>
      </c>
      <c r="F59" s="197" t="s">
        <v>532</v>
      </c>
      <c r="G59" s="197" t="s">
        <v>533</v>
      </c>
      <c r="H59" s="197" t="s">
        <v>534</v>
      </c>
      <c r="I59" s="197" t="s">
        <v>535</v>
      </c>
      <c r="J59" s="197" t="s">
        <v>536</v>
      </c>
      <c r="K59" s="197" t="s">
        <v>537</v>
      </c>
      <c r="L59" s="197" t="s">
        <v>538</v>
      </c>
      <c r="M59" s="197" t="s">
        <v>539</v>
      </c>
      <c r="N59" s="197" t="s">
        <v>540</v>
      </c>
      <c r="O59" s="197" t="s">
        <v>541</v>
      </c>
      <c r="P59" s="197" t="s">
        <v>542</v>
      </c>
      <c r="Q59" s="197" t="s">
        <v>543</v>
      </c>
      <c r="R59" s="197" t="s">
        <v>544</v>
      </c>
      <c r="S59" s="197" t="s">
        <v>545</v>
      </c>
      <c r="T59" s="197" t="s">
        <v>546</v>
      </c>
      <c r="U59" s="197" t="s">
        <v>453</v>
      </c>
      <c r="V59" s="197" t="s">
        <v>544</v>
      </c>
      <c r="W59" s="197" t="s">
        <v>545</v>
      </c>
      <c r="X59" s="197" t="s">
        <v>546</v>
      </c>
      <c r="Y59" s="197" t="s">
        <v>453</v>
      </c>
      <c r="Z59" s="197" t="s">
        <v>544</v>
      </c>
      <c r="AA59" s="197" t="s">
        <v>545</v>
      </c>
      <c r="AB59" s="197" t="s">
        <v>546</v>
      </c>
      <c r="AC59" s="197" t="s">
        <v>453</v>
      </c>
      <c r="AD59" s="197" t="s">
        <v>544</v>
      </c>
      <c r="AE59" s="197" t="s">
        <v>545</v>
      </c>
      <c r="AF59" s="197" t="s">
        <v>546</v>
      </c>
      <c r="AG59" s="197" t="s">
        <v>453</v>
      </c>
      <c r="AH59" s="197" t="s">
        <v>544</v>
      </c>
      <c r="AI59" s="197" t="s">
        <v>545</v>
      </c>
      <c r="AJ59" s="197" t="s">
        <v>546</v>
      </c>
      <c r="AK59" s="197" t="s">
        <v>453</v>
      </c>
      <c r="AL59" s="197" t="s">
        <v>547</v>
      </c>
      <c r="AM59" s="197" t="s">
        <v>548</v>
      </c>
      <c r="AN59" s="197" t="s">
        <v>549</v>
      </c>
      <c r="AO59" s="197" t="s">
        <v>550</v>
      </c>
      <c r="AP59" s="197" t="s">
        <v>551</v>
      </c>
      <c r="AQ59" s="197" t="s">
        <v>552</v>
      </c>
      <c r="AR59" s="197" t="s">
        <v>553</v>
      </c>
      <c r="AS59" s="197" t="s">
        <v>554</v>
      </c>
      <c r="AT59" s="197" t="s">
        <v>555</v>
      </c>
      <c r="AU59" s="197" t="s">
        <v>556</v>
      </c>
      <c r="AV59" s="197" t="s">
        <v>557</v>
      </c>
      <c r="AW59" s="197" t="s">
        <v>558</v>
      </c>
      <c r="AX59" s="197" t="s">
        <v>559</v>
      </c>
      <c r="AY59" s="197" t="s">
        <v>560</v>
      </c>
      <c r="AZ59" s="197" t="s">
        <v>561</v>
      </c>
      <c r="BA59" s="197" t="s">
        <v>562</v>
      </c>
      <c r="BB59" s="197" t="s">
        <v>563</v>
      </c>
      <c r="BC59" s="197" t="s">
        <v>564</v>
      </c>
      <c r="BD59" s="197" t="s">
        <v>565</v>
      </c>
      <c r="BE59" s="197" t="s">
        <v>566</v>
      </c>
      <c r="BF59" s="197" t="s">
        <v>567</v>
      </c>
      <c r="BG59" s="197" t="s">
        <v>568</v>
      </c>
      <c r="BH59" s="197" t="s">
        <v>569</v>
      </c>
      <c r="BI59" s="197" t="s">
        <v>570</v>
      </c>
      <c r="BJ59" s="197" t="s">
        <v>571</v>
      </c>
      <c r="BK59" s="197" t="s">
        <v>572</v>
      </c>
      <c r="BL59" s="197" t="s">
        <v>573</v>
      </c>
      <c r="BM59" s="197" t="s">
        <v>574</v>
      </c>
      <c r="BN59" s="197" t="s">
        <v>575</v>
      </c>
      <c r="BO59" s="197" t="s">
        <v>576</v>
      </c>
      <c r="BP59" s="197" t="s">
        <v>577</v>
      </c>
      <c r="BQ59" s="197" t="s">
        <v>578</v>
      </c>
      <c r="BR59" s="197" t="s">
        <v>579</v>
      </c>
      <c r="BS59" s="197" t="s">
        <v>580</v>
      </c>
      <c r="BT59" s="197" t="s">
        <v>581</v>
      </c>
      <c r="BU59" s="197" t="s">
        <v>582</v>
      </c>
      <c r="BV59" s="197" t="s">
        <v>583</v>
      </c>
      <c r="BW59" s="197" t="s">
        <v>584</v>
      </c>
      <c r="BX59" s="197" t="s">
        <v>585</v>
      </c>
      <c r="BY59" s="197" t="s">
        <v>586</v>
      </c>
      <c r="BZ59" s="197" t="s">
        <v>587</v>
      </c>
      <c r="CA59" s="197" t="s">
        <v>588</v>
      </c>
      <c r="CB59" s="197" t="s">
        <v>589</v>
      </c>
      <c r="CC59" s="197" t="s">
        <v>590</v>
      </c>
      <c r="CD59" s="197" t="s">
        <v>399</v>
      </c>
      <c r="CE59" s="197" t="s">
        <v>398</v>
      </c>
      <c r="CF59" s="197" t="s">
        <v>591</v>
      </c>
      <c r="CG59" s="197" t="s">
        <v>592</v>
      </c>
      <c r="CH59" s="197" t="s">
        <v>593</v>
      </c>
      <c r="CI59" s="197" t="s">
        <v>594</v>
      </c>
      <c r="CJ59" s="197" t="s">
        <v>595</v>
      </c>
      <c r="CK59" s="197" t="s">
        <v>596</v>
      </c>
      <c r="CL59" s="197"/>
      <c r="CM59" s="197" t="s">
        <v>597</v>
      </c>
      <c r="CN59" s="197" t="s">
        <v>598</v>
      </c>
      <c r="CO59" s="197" t="s">
        <v>599</v>
      </c>
      <c r="CP59" s="197" t="s">
        <v>600</v>
      </c>
      <c r="CQ59" s="197" t="s">
        <v>601</v>
      </c>
      <c r="CR59" s="197" t="s">
        <v>602</v>
      </c>
      <c r="CS59" s="197" t="s">
        <v>603</v>
      </c>
      <c r="CT59" s="197" t="s">
        <v>604</v>
      </c>
      <c r="CU59" s="197" t="s">
        <v>605</v>
      </c>
      <c r="CV59" s="197" t="s">
        <v>606</v>
      </c>
      <c r="CW59" s="219" t="s">
        <v>607</v>
      </c>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row>
    <row r="60" spans="1:131">
      <c r="A60" s="24" t="s">
        <v>414</v>
      </c>
      <c r="B60" s="24" t="s">
        <v>608</v>
      </c>
      <c r="C60" s="45">
        <v>16.279069767441861</v>
      </c>
      <c r="D60" s="45">
        <v>743.50510204081638</v>
      </c>
      <c r="E60" s="45">
        <v>0</v>
      </c>
      <c r="F60" s="45">
        <v>2.0115772129567233</v>
      </c>
      <c r="G60" s="45">
        <v>0</v>
      </c>
      <c r="H60" s="45">
        <v>0</v>
      </c>
      <c r="I60" s="45" t="s">
        <v>369</v>
      </c>
      <c r="J60" s="45"/>
      <c r="K60" s="45"/>
      <c r="L60" s="45">
        <v>841.23057955103127</v>
      </c>
      <c r="M60" s="45">
        <v>0.1966317209355842</v>
      </c>
      <c r="N60" s="45">
        <v>0.18655760999581042</v>
      </c>
      <c r="O60" s="45">
        <v>0</v>
      </c>
      <c r="P60" s="45">
        <v>0</v>
      </c>
      <c r="Q60" s="45">
        <v>0</v>
      </c>
      <c r="R60" s="45">
        <v>0.40113536792213955</v>
      </c>
      <c r="S60" s="45">
        <v>9.9317445313180402E-2</v>
      </c>
      <c r="T60" s="45">
        <v>0.82858046497892279</v>
      </c>
      <c r="U60" s="45">
        <v>1.1804883425692743</v>
      </c>
      <c r="V60" s="45" t="s">
        <v>609</v>
      </c>
      <c r="W60" s="45" t="s">
        <v>609</v>
      </c>
      <c r="X60" s="45" t="s">
        <v>609</v>
      </c>
      <c r="Y60" s="45" t="s">
        <v>609</v>
      </c>
      <c r="Z60" s="45">
        <v>0</v>
      </c>
      <c r="AA60" s="45">
        <v>0</v>
      </c>
      <c r="AB60" s="45">
        <v>0</v>
      </c>
      <c r="AC60" s="45">
        <v>0</v>
      </c>
      <c r="AD60" s="45">
        <v>0</v>
      </c>
      <c r="AE60" s="45">
        <v>0</v>
      </c>
      <c r="AF60" s="45">
        <v>0</v>
      </c>
      <c r="AG60" s="45">
        <v>0</v>
      </c>
      <c r="AH60" s="45">
        <v>0.40113536792213955</v>
      </c>
      <c r="AI60" s="45">
        <v>9.9317445313180402E-2</v>
      </c>
      <c r="AJ60" s="45">
        <v>0.82858046497892279</v>
      </c>
      <c r="AK60" s="45">
        <v>1.1804883425692743</v>
      </c>
      <c r="AL60" s="45">
        <v>2.5095216207835169</v>
      </c>
      <c r="AM60" s="45">
        <v>403.4728987528805</v>
      </c>
      <c r="AN60" s="45">
        <v>69.479520689467293</v>
      </c>
      <c r="AO60" s="45">
        <v>47.295241944234782</v>
      </c>
      <c r="AP60" s="45">
        <v>0</v>
      </c>
      <c r="AQ60" s="45">
        <v>520.24766138658254</v>
      </c>
      <c r="AR60" s="45">
        <v>0.40113536792213955</v>
      </c>
      <c r="AS60" s="199">
        <v>1296.9378992469262</v>
      </c>
      <c r="AT60" s="45">
        <v>403.4728987528805</v>
      </c>
      <c r="AU60" s="45">
        <v>78.596742861388336</v>
      </c>
      <c r="AV60" s="45">
        <v>48.206964161426889</v>
      </c>
      <c r="AW60" s="45">
        <v>0</v>
      </c>
      <c r="AX60" s="45">
        <v>530.27660577569577</v>
      </c>
      <c r="AY60" s="45">
        <v>9.9317445313180402E-2</v>
      </c>
      <c r="AZ60" s="199">
        <v>5339.2090795686508</v>
      </c>
      <c r="BA60" s="45">
        <v>403.4728987528805</v>
      </c>
      <c r="BB60" s="45">
        <v>148.07626355085563</v>
      </c>
      <c r="BC60" s="45">
        <v>55.154916230373615</v>
      </c>
      <c r="BD60" s="45">
        <v>0</v>
      </c>
      <c r="BE60" s="45">
        <v>606.70407853410973</v>
      </c>
      <c r="BF60" s="45">
        <v>0.50045281323531998</v>
      </c>
      <c r="BG60" s="45">
        <v>-17.732690772679437</v>
      </c>
      <c r="BH60" s="199">
        <v>1212.3102568090248</v>
      </c>
      <c r="BI60" s="45">
        <v>3.5086982342204559E-2</v>
      </c>
      <c r="BJ60" s="45">
        <v>8.6872156599585061E-3</v>
      </c>
      <c r="BK60" s="45">
        <v>7.2475255159884233E-2</v>
      </c>
      <c r="BL60" s="45">
        <v>0.10325634921063863</v>
      </c>
      <c r="BM60" s="45">
        <v>0.21950580237268594</v>
      </c>
      <c r="BN60" s="45">
        <v>403.4728987528805</v>
      </c>
      <c r="BO60" s="45">
        <v>0</v>
      </c>
      <c r="BP60" s="45">
        <v>148.07626355085563</v>
      </c>
      <c r="BQ60" s="45">
        <v>0</v>
      </c>
      <c r="BR60" s="45">
        <v>0</v>
      </c>
      <c r="BS60" s="45">
        <v>0</v>
      </c>
      <c r="BT60" s="45">
        <v>0</v>
      </c>
      <c r="BU60" s="45">
        <v>0</v>
      </c>
      <c r="BV60" s="45">
        <v>0</v>
      </c>
      <c r="BW60" s="45">
        <v>55.154916230373615</v>
      </c>
      <c r="BX60" s="45">
        <v>2.5095216207835169</v>
      </c>
      <c r="BY60" s="45"/>
      <c r="BZ60" s="45">
        <v>0</v>
      </c>
      <c r="CA60" s="45">
        <v>0</v>
      </c>
      <c r="CB60" s="45">
        <v>606.70407853410973</v>
      </c>
      <c r="CC60" s="45">
        <v>2.5095216207835169</v>
      </c>
      <c r="CD60" s="199">
        <v>241.76084936247173</v>
      </c>
      <c r="CE60" s="45">
        <v>-17.556959168308918</v>
      </c>
      <c r="CF60" s="45">
        <v>7.991727493705282</v>
      </c>
      <c r="CG60" s="45">
        <v>0</v>
      </c>
      <c r="CH60" s="45">
        <v>7.991727493705282</v>
      </c>
      <c r="CI60" s="45">
        <v>0.39958452528673977</v>
      </c>
      <c r="CJ60" s="45">
        <v>0</v>
      </c>
      <c r="CK60" s="45">
        <v>0.39958452528673977</v>
      </c>
      <c r="CL60" s="45"/>
      <c r="CM60" s="45">
        <v>0</v>
      </c>
      <c r="CN60" s="45"/>
      <c r="CO60" s="45">
        <v>0</v>
      </c>
      <c r="CP60" s="45">
        <v>0</v>
      </c>
      <c r="CQ60" s="45">
        <v>0</v>
      </c>
      <c r="CR60" s="45">
        <v>0</v>
      </c>
      <c r="CS60" s="45">
        <v>0</v>
      </c>
      <c r="CT60" s="45">
        <v>0</v>
      </c>
      <c r="CU60" s="45">
        <v>0.82858046497892279</v>
      </c>
      <c r="CV60" s="45">
        <v>9999</v>
      </c>
      <c r="CW60" s="200">
        <v>0</v>
      </c>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row>
    <row r="61" spans="1:131">
      <c r="A61" s="24" t="s">
        <v>424</v>
      </c>
      <c r="B61" s="24" t="s">
        <v>610</v>
      </c>
      <c r="C61" s="45">
        <v>16.279069767441861</v>
      </c>
      <c r="D61" s="45">
        <v>1298.0734693877553</v>
      </c>
      <c r="E61" s="45">
        <v>0</v>
      </c>
      <c r="F61" s="45">
        <v>134.02315442591345</v>
      </c>
      <c r="G61" s="45">
        <v>0</v>
      </c>
      <c r="H61" s="45">
        <v>0</v>
      </c>
      <c r="I61" s="45" t="s">
        <v>369</v>
      </c>
      <c r="J61" s="45"/>
      <c r="K61" s="45"/>
      <c r="L61" s="45">
        <v>1468.6907917047924</v>
      </c>
      <c r="M61" s="45">
        <v>0.34329612464787984</v>
      </c>
      <c r="N61" s="45">
        <v>0.32570789814789353</v>
      </c>
      <c r="O61" s="45">
        <v>0</v>
      </c>
      <c r="P61" s="45">
        <v>0</v>
      </c>
      <c r="Q61" s="45">
        <v>0</v>
      </c>
      <c r="R61" s="45">
        <v>26.726007341126671</v>
      </c>
      <c r="S61" s="45">
        <v>6.617114781704359</v>
      </c>
      <c r="T61" s="45">
        <v>55.204924224081694</v>
      </c>
      <c r="U61" s="45">
        <v>78.651105418719141</v>
      </c>
      <c r="V61" s="45" t="s">
        <v>609</v>
      </c>
      <c r="W61" s="45" t="s">
        <v>609</v>
      </c>
      <c r="X61" s="45" t="s">
        <v>609</v>
      </c>
      <c r="Y61" s="45" t="s">
        <v>609</v>
      </c>
      <c r="Z61" s="45">
        <v>0</v>
      </c>
      <c r="AA61" s="45">
        <v>0</v>
      </c>
      <c r="AB61" s="45">
        <v>0</v>
      </c>
      <c r="AC61" s="45">
        <v>0</v>
      </c>
      <c r="AD61" s="45">
        <v>0</v>
      </c>
      <c r="AE61" s="45">
        <v>0</v>
      </c>
      <c r="AF61" s="45">
        <v>0</v>
      </c>
      <c r="AG61" s="45">
        <v>0</v>
      </c>
      <c r="AH61" s="45">
        <v>26.726007341126671</v>
      </c>
      <c r="AI61" s="45">
        <v>6.617114781704359</v>
      </c>
      <c r="AJ61" s="45">
        <v>55.204924224081694</v>
      </c>
      <c r="AK61" s="45">
        <v>78.651105418719141</v>
      </c>
      <c r="AL61" s="45">
        <v>167.19915176563188</v>
      </c>
      <c r="AM61" s="45">
        <v>704.4167740752556</v>
      </c>
      <c r="AN61" s="45">
        <v>121.30316554011218</v>
      </c>
      <c r="AO61" s="45">
        <v>82.571993961536776</v>
      </c>
      <c r="AP61" s="45">
        <v>0</v>
      </c>
      <c r="AQ61" s="45">
        <v>908.29193357690463</v>
      </c>
      <c r="AR61" s="45">
        <v>26.726007341126671</v>
      </c>
      <c r="AS61" s="199">
        <v>33.985320814426387</v>
      </c>
      <c r="AT61" s="45">
        <v>704.4167740752556</v>
      </c>
      <c r="AU61" s="45">
        <v>137.22077549786442</v>
      </c>
      <c r="AV61" s="45">
        <v>84.163754957312008</v>
      </c>
      <c r="AW61" s="45">
        <v>0</v>
      </c>
      <c r="AX61" s="45">
        <v>925.80130453043205</v>
      </c>
      <c r="AY61" s="45">
        <v>6.617114781704359</v>
      </c>
      <c r="AZ61" s="199">
        <v>139.91011718433197</v>
      </c>
      <c r="BA61" s="45">
        <v>704.4167740752556</v>
      </c>
      <c r="BB61" s="45">
        <v>258.52394103797661</v>
      </c>
      <c r="BC61" s="45">
        <v>96.294071511323224</v>
      </c>
      <c r="BD61" s="45">
        <v>0</v>
      </c>
      <c r="BE61" s="45">
        <v>1059.2347866245555</v>
      </c>
      <c r="BF61" s="45">
        <v>33.343122122831033</v>
      </c>
      <c r="BG61" s="45">
        <v>-16.105966795656428</v>
      </c>
      <c r="BH61" s="199">
        <v>31.767714574612846</v>
      </c>
      <c r="BI61" s="45">
        <v>1.3389791851103001</v>
      </c>
      <c r="BJ61" s="45">
        <v>0.33151898991487411</v>
      </c>
      <c r="BK61" s="45">
        <v>2.765779546048746</v>
      </c>
      <c r="BL61" s="45">
        <v>3.940438678227995</v>
      </c>
      <c r="BM61" s="45">
        <v>8.376716399301916</v>
      </c>
      <c r="BN61" s="45">
        <v>704.4167740752556</v>
      </c>
      <c r="BO61" s="45">
        <v>0</v>
      </c>
      <c r="BP61" s="45">
        <v>258.52394103797661</v>
      </c>
      <c r="BQ61" s="45">
        <v>0</v>
      </c>
      <c r="BR61" s="45">
        <v>0</v>
      </c>
      <c r="BS61" s="45">
        <v>0</v>
      </c>
      <c r="BT61" s="45">
        <v>0</v>
      </c>
      <c r="BU61" s="45">
        <v>0</v>
      </c>
      <c r="BV61" s="45">
        <v>0</v>
      </c>
      <c r="BW61" s="45">
        <v>96.294071511323224</v>
      </c>
      <c r="BX61" s="45">
        <v>167.19915176563188</v>
      </c>
      <c r="BY61" s="45"/>
      <c r="BZ61" s="45">
        <v>0</v>
      </c>
      <c r="CA61" s="45">
        <v>0</v>
      </c>
      <c r="CB61" s="45">
        <v>1059.2347866245555</v>
      </c>
      <c r="CC61" s="45">
        <v>167.19915176563188</v>
      </c>
      <c r="CD61" s="199">
        <v>6.3351684230391134</v>
      </c>
      <c r="CE61" s="45">
        <v>-9.3997485713796909</v>
      </c>
      <c r="CF61" s="45">
        <v>13.952627097891837</v>
      </c>
      <c r="CG61" s="45">
        <v>0</v>
      </c>
      <c r="CH61" s="45">
        <v>13.952627097891837</v>
      </c>
      <c r="CI61" s="45">
        <v>0.69762812605977631</v>
      </c>
      <c r="CJ61" s="45">
        <v>0</v>
      </c>
      <c r="CK61" s="45">
        <v>0.69762812605977631</v>
      </c>
      <c r="CL61" s="45"/>
      <c r="CM61" s="45">
        <v>0</v>
      </c>
      <c r="CN61" s="45"/>
      <c r="CO61" s="45">
        <v>0</v>
      </c>
      <c r="CP61" s="45">
        <v>0</v>
      </c>
      <c r="CQ61" s="45">
        <v>0</v>
      </c>
      <c r="CR61" s="45">
        <v>0</v>
      </c>
      <c r="CS61" s="45">
        <v>0</v>
      </c>
      <c r="CT61" s="45">
        <v>0</v>
      </c>
      <c r="CU61" s="45">
        <v>55.204924224081694</v>
      </c>
      <c r="CV61" s="45">
        <v>9999</v>
      </c>
      <c r="CW61" s="200">
        <v>0</v>
      </c>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row>
    <row r="62" spans="1:131">
      <c r="A62" s="24" t="s">
        <v>425</v>
      </c>
      <c r="B62" s="24" t="s">
        <v>611</v>
      </c>
      <c r="C62" s="45">
        <v>16.279069767441861</v>
      </c>
      <c r="D62" s="45">
        <v>3159.841836734694</v>
      </c>
      <c r="E62" s="45">
        <v>0</v>
      </c>
      <c r="F62" s="45">
        <v>532.0694632777404</v>
      </c>
      <c r="G62" s="45">
        <v>0</v>
      </c>
      <c r="H62" s="45">
        <v>0</v>
      </c>
      <c r="I62" s="45" t="s">
        <v>369</v>
      </c>
      <c r="J62" s="45"/>
      <c r="K62" s="45"/>
      <c r="L62" s="45">
        <v>3575.1679071329308</v>
      </c>
      <c r="M62" s="45">
        <v>0.83567030883305371</v>
      </c>
      <c r="N62" s="45">
        <v>0.79285608048676826</v>
      </c>
      <c r="O62" s="45">
        <v>0</v>
      </c>
      <c r="P62" s="45">
        <v>0</v>
      </c>
      <c r="Q62" s="45">
        <v>0</v>
      </c>
      <c r="R62" s="45">
        <v>106.10175862866241</v>
      </c>
      <c r="S62" s="45">
        <v>26.269824236191074</v>
      </c>
      <c r="T62" s="45">
        <v>219.16253596636892</v>
      </c>
      <c r="U62" s="45">
        <v>312.24344498973795</v>
      </c>
      <c r="V62" s="45" t="s">
        <v>609</v>
      </c>
      <c r="W62" s="45" t="s">
        <v>609</v>
      </c>
      <c r="X62" s="45" t="s">
        <v>609</v>
      </c>
      <c r="Y62" s="45" t="s">
        <v>609</v>
      </c>
      <c r="Z62" s="45">
        <v>0</v>
      </c>
      <c r="AA62" s="45">
        <v>0</v>
      </c>
      <c r="AB62" s="45">
        <v>0</v>
      </c>
      <c r="AC62" s="45">
        <v>0</v>
      </c>
      <c r="AD62" s="45">
        <v>0</v>
      </c>
      <c r="AE62" s="45">
        <v>0</v>
      </c>
      <c r="AF62" s="45">
        <v>0</v>
      </c>
      <c r="AG62" s="45">
        <v>0</v>
      </c>
      <c r="AH62" s="45">
        <v>106.10175862866241</v>
      </c>
      <c r="AI62" s="45">
        <v>26.269824236191074</v>
      </c>
      <c r="AJ62" s="45">
        <v>219.16253596636892</v>
      </c>
      <c r="AK62" s="45">
        <v>312.24344498973795</v>
      </c>
      <c r="AL62" s="45">
        <v>663.77756382096027</v>
      </c>
      <c r="AM62" s="45">
        <v>1714.7300562814178</v>
      </c>
      <c r="AN62" s="45">
        <v>295.28283755986934</v>
      </c>
      <c r="AO62" s="45">
        <v>201.00128938412871</v>
      </c>
      <c r="AP62" s="45">
        <v>0</v>
      </c>
      <c r="AQ62" s="45">
        <v>2211.0141832254158</v>
      </c>
      <c r="AR62" s="45">
        <v>106.10175862866241</v>
      </c>
      <c r="AS62" s="199">
        <v>20.838619564861112</v>
      </c>
      <c r="AT62" s="45">
        <v>1714.7300562814178</v>
      </c>
      <c r="AU62" s="45">
        <v>334.0303592306214</v>
      </c>
      <c r="AV62" s="45">
        <v>204.87604155120394</v>
      </c>
      <c r="AW62" s="45">
        <v>0</v>
      </c>
      <c r="AX62" s="45">
        <v>2253.6364570632431</v>
      </c>
      <c r="AY62" s="45">
        <v>26.269824236191074</v>
      </c>
      <c r="AZ62" s="199">
        <v>85.788029520139773</v>
      </c>
      <c r="BA62" s="45">
        <v>1714.7300562814178</v>
      </c>
      <c r="BB62" s="45">
        <v>629.31319679049079</v>
      </c>
      <c r="BC62" s="45">
        <v>234.40432530719087</v>
      </c>
      <c r="BD62" s="45">
        <v>0</v>
      </c>
      <c r="BE62" s="45">
        <v>2578.4475783790995</v>
      </c>
      <c r="BF62" s="45">
        <v>132.37158286485348</v>
      </c>
      <c r="BG62" s="45">
        <v>-15.052080266529886</v>
      </c>
      <c r="BH62" s="199">
        <v>19.478860360925047</v>
      </c>
      <c r="BI62" s="45">
        <v>2.1837164898650996</v>
      </c>
      <c r="BJ62" s="45">
        <v>0.54066821428661449</v>
      </c>
      <c r="BK62" s="45">
        <v>4.5106589177790166</v>
      </c>
      <c r="BL62" s="45">
        <v>6.4263888599880481</v>
      </c>
      <c r="BM62" s="45">
        <v>13.661432481918776</v>
      </c>
      <c r="BN62" s="45">
        <v>1714.7300562814178</v>
      </c>
      <c r="BO62" s="45">
        <v>0</v>
      </c>
      <c r="BP62" s="45">
        <v>629.31319679049079</v>
      </c>
      <c r="BQ62" s="45">
        <v>0</v>
      </c>
      <c r="BR62" s="45">
        <v>0</v>
      </c>
      <c r="BS62" s="45">
        <v>0</v>
      </c>
      <c r="BT62" s="45">
        <v>0</v>
      </c>
      <c r="BU62" s="45">
        <v>0</v>
      </c>
      <c r="BV62" s="45">
        <v>0</v>
      </c>
      <c r="BW62" s="45">
        <v>234.40432530719087</v>
      </c>
      <c r="BX62" s="45">
        <v>663.77756382096027</v>
      </c>
      <c r="BY62" s="45"/>
      <c r="BZ62" s="45">
        <v>0</v>
      </c>
      <c r="CA62" s="45">
        <v>0</v>
      </c>
      <c r="CB62" s="45">
        <v>2578.4475783790995</v>
      </c>
      <c r="CC62" s="45">
        <v>663.77756382096027</v>
      </c>
      <c r="CD62" s="199">
        <v>3.8845054712855287</v>
      </c>
      <c r="CE62" s="45">
        <v>-4.1150324887628189</v>
      </c>
      <c r="CF62" s="45">
        <v>33.964252313908865</v>
      </c>
      <c r="CG62" s="45">
        <v>0</v>
      </c>
      <c r="CH62" s="45">
        <v>33.964252313908865</v>
      </c>
      <c r="CI62" s="45">
        <v>1.6982047558881415</v>
      </c>
      <c r="CJ62" s="45">
        <v>0</v>
      </c>
      <c r="CK62" s="45">
        <v>1.6982047558881415</v>
      </c>
      <c r="CL62" s="45"/>
      <c r="CM62" s="45">
        <v>0</v>
      </c>
      <c r="CN62" s="45"/>
      <c r="CO62" s="45">
        <v>0</v>
      </c>
      <c r="CP62" s="45">
        <v>0</v>
      </c>
      <c r="CQ62" s="45">
        <v>0</v>
      </c>
      <c r="CR62" s="45">
        <v>0</v>
      </c>
      <c r="CS62" s="45">
        <v>0</v>
      </c>
      <c r="CT62" s="45">
        <v>0</v>
      </c>
      <c r="CU62" s="45">
        <v>219.16253596636892</v>
      </c>
      <c r="CV62" s="45">
        <v>9999</v>
      </c>
      <c r="CW62" s="200">
        <v>0</v>
      </c>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row>
    <row r="63" spans="1:131">
      <c r="A63" s="24" t="s">
        <v>428</v>
      </c>
      <c r="B63" s="24" t="s">
        <v>612</v>
      </c>
      <c r="C63" s="45">
        <v>16.279069767441861</v>
      </c>
      <c r="D63" s="45">
        <v>743.50510204081638</v>
      </c>
      <c r="E63" s="45">
        <v>0</v>
      </c>
      <c r="F63" s="45">
        <v>179.07824387962339</v>
      </c>
      <c r="G63" s="45">
        <v>0</v>
      </c>
      <c r="H63" s="45">
        <v>0</v>
      </c>
      <c r="I63" s="45" t="s">
        <v>369</v>
      </c>
      <c r="J63" s="45"/>
      <c r="K63" s="45"/>
      <c r="L63" s="45">
        <v>841.23057955103127</v>
      </c>
      <c r="M63" s="45">
        <v>0.1966317209355842</v>
      </c>
      <c r="N63" s="45">
        <v>0.18655760999581042</v>
      </c>
      <c r="O63" s="45">
        <v>0</v>
      </c>
      <c r="P63" s="45">
        <v>0</v>
      </c>
      <c r="Q63" s="45">
        <v>0</v>
      </c>
      <c r="R63" s="45">
        <v>35.710594046706774</v>
      </c>
      <c r="S63" s="45">
        <v>8.8416162097763387</v>
      </c>
      <c r="T63" s="45">
        <v>73.763380110718884</v>
      </c>
      <c r="U63" s="45">
        <v>105.09155599200004</v>
      </c>
      <c r="V63" s="45" t="s">
        <v>609</v>
      </c>
      <c r="W63" s="45" t="s">
        <v>609</v>
      </c>
      <c r="X63" s="45" t="s">
        <v>609</v>
      </c>
      <c r="Y63" s="45" t="s">
        <v>609</v>
      </c>
      <c r="Z63" s="45">
        <v>0</v>
      </c>
      <c r="AA63" s="45">
        <v>0</v>
      </c>
      <c r="AB63" s="45">
        <v>0</v>
      </c>
      <c r="AC63" s="45">
        <v>0</v>
      </c>
      <c r="AD63" s="45">
        <v>0</v>
      </c>
      <c r="AE63" s="45">
        <v>0</v>
      </c>
      <c r="AF63" s="45">
        <v>0</v>
      </c>
      <c r="AG63" s="45">
        <v>0</v>
      </c>
      <c r="AH63" s="45">
        <v>35.710594046706774</v>
      </c>
      <c r="AI63" s="45">
        <v>8.8416162097763387</v>
      </c>
      <c r="AJ63" s="45">
        <v>73.763380110718884</v>
      </c>
      <c r="AK63" s="45">
        <v>105.09155599200004</v>
      </c>
      <c r="AL63" s="45">
        <v>223.40714635920205</v>
      </c>
      <c r="AM63" s="45">
        <v>403.4728987528805</v>
      </c>
      <c r="AN63" s="45">
        <v>69.479520689467293</v>
      </c>
      <c r="AO63" s="45">
        <v>47.295241944234782</v>
      </c>
      <c r="AP63" s="45">
        <v>0</v>
      </c>
      <c r="AQ63" s="45">
        <v>520.24766138658254</v>
      </c>
      <c r="AR63" s="45">
        <v>35.710594046706774</v>
      </c>
      <c r="AS63" s="199">
        <v>14.568440410320189</v>
      </c>
      <c r="AT63" s="45">
        <v>403.4728987528805</v>
      </c>
      <c r="AU63" s="45">
        <v>78.596742861388336</v>
      </c>
      <c r="AV63" s="45">
        <v>48.206964161426889</v>
      </c>
      <c r="AW63" s="45">
        <v>0</v>
      </c>
      <c r="AX63" s="45">
        <v>530.27660577569577</v>
      </c>
      <c r="AY63" s="45">
        <v>8.8416162097763387</v>
      </c>
      <c r="AZ63" s="199">
        <v>59.975076184528241</v>
      </c>
      <c r="BA63" s="45">
        <v>403.4728987528805</v>
      </c>
      <c r="BB63" s="45">
        <v>148.07626355085563</v>
      </c>
      <c r="BC63" s="45">
        <v>55.154916230373615</v>
      </c>
      <c r="BD63" s="45">
        <v>0</v>
      </c>
      <c r="BE63" s="45">
        <v>606.70407853410973</v>
      </c>
      <c r="BF63" s="45">
        <v>44.552210256483114</v>
      </c>
      <c r="BG63" s="45">
        <v>-13.879519601160291</v>
      </c>
      <c r="BH63" s="199">
        <v>13.617822214461825</v>
      </c>
      <c r="BI63" s="45">
        <v>3.1235764356476259</v>
      </c>
      <c r="BJ63" s="45">
        <v>0.77336893387368144</v>
      </c>
      <c r="BK63" s="45">
        <v>6.4520224901945662</v>
      </c>
      <c r="BL63" s="45">
        <v>9.1922723954917416</v>
      </c>
      <c r="BM63" s="45">
        <v>19.541240255207619</v>
      </c>
      <c r="BN63" s="45">
        <v>403.4728987528805</v>
      </c>
      <c r="BO63" s="45">
        <v>0</v>
      </c>
      <c r="BP63" s="45">
        <v>148.07626355085563</v>
      </c>
      <c r="BQ63" s="45">
        <v>0</v>
      </c>
      <c r="BR63" s="45">
        <v>0</v>
      </c>
      <c r="BS63" s="45">
        <v>0</v>
      </c>
      <c r="BT63" s="45">
        <v>0</v>
      </c>
      <c r="BU63" s="45">
        <v>0</v>
      </c>
      <c r="BV63" s="45">
        <v>0</v>
      </c>
      <c r="BW63" s="45">
        <v>55.154916230373615</v>
      </c>
      <c r="BX63" s="45">
        <v>223.40714635920205</v>
      </c>
      <c r="BY63" s="45"/>
      <c r="BZ63" s="45">
        <v>0</v>
      </c>
      <c r="CA63" s="45">
        <v>0</v>
      </c>
      <c r="CB63" s="45">
        <v>606.70407853410973</v>
      </c>
      <c r="CC63" s="45">
        <v>223.40714635920205</v>
      </c>
      <c r="CD63" s="199">
        <v>2.715687874901858</v>
      </c>
      <c r="CE63" s="45">
        <v>1.764775284526015</v>
      </c>
      <c r="CF63" s="45">
        <v>7.991727493705282</v>
      </c>
      <c r="CG63" s="45">
        <v>0</v>
      </c>
      <c r="CH63" s="45">
        <v>7.991727493705282</v>
      </c>
      <c r="CI63" s="45">
        <v>0.39958452528673977</v>
      </c>
      <c r="CJ63" s="45">
        <v>0</v>
      </c>
      <c r="CK63" s="45">
        <v>0.39958452528673977</v>
      </c>
      <c r="CL63" s="45"/>
      <c r="CM63" s="45">
        <v>0</v>
      </c>
      <c r="CN63" s="45"/>
      <c r="CO63" s="45">
        <v>0</v>
      </c>
      <c r="CP63" s="45">
        <v>0</v>
      </c>
      <c r="CQ63" s="45">
        <v>0</v>
      </c>
      <c r="CR63" s="45">
        <v>0</v>
      </c>
      <c r="CS63" s="45">
        <v>0</v>
      </c>
      <c r="CT63" s="45">
        <v>0</v>
      </c>
      <c r="CU63" s="45">
        <v>73.763380110718884</v>
      </c>
      <c r="CV63" s="45">
        <v>9999</v>
      </c>
      <c r="CW63" s="200">
        <v>0</v>
      </c>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row>
    <row r="64" spans="1:131">
      <c r="A64" s="24" t="s">
        <v>430</v>
      </c>
      <c r="B64" s="24" t="s">
        <v>613</v>
      </c>
      <c r="C64" s="45">
        <v>16.279069767441861</v>
      </c>
      <c r="D64" s="45">
        <v>1298.0734693877553</v>
      </c>
      <c r="E64" s="45">
        <v>0</v>
      </c>
      <c r="F64" s="45">
        <v>338.08982109258011</v>
      </c>
      <c r="G64" s="45">
        <v>0</v>
      </c>
      <c r="H64" s="45">
        <v>0</v>
      </c>
      <c r="I64" s="45" t="s">
        <v>369</v>
      </c>
      <c r="J64" s="45"/>
      <c r="K64" s="45"/>
      <c r="L64" s="45">
        <v>1468.6907917047924</v>
      </c>
      <c r="M64" s="45">
        <v>0.34329612464787984</v>
      </c>
      <c r="N64" s="45">
        <v>0.32570789814789353</v>
      </c>
      <c r="O64" s="45">
        <v>0</v>
      </c>
      <c r="P64" s="45">
        <v>0</v>
      </c>
      <c r="Q64" s="45">
        <v>0</v>
      </c>
      <c r="R64" s="45">
        <v>67.419626699469944</v>
      </c>
      <c r="S64" s="45">
        <v>16.692482446622179</v>
      </c>
      <c r="T64" s="45">
        <v>139.26118240013969</v>
      </c>
      <c r="U64" s="45">
        <v>198.40704595897046</v>
      </c>
      <c r="V64" s="45" t="s">
        <v>609</v>
      </c>
      <c r="W64" s="45" t="s">
        <v>609</v>
      </c>
      <c r="X64" s="45" t="s">
        <v>609</v>
      </c>
      <c r="Y64" s="45" t="s">
        <v>609</v>
      </c>
      <c r="Z64" s="45">
        <v>0</v>
      </c>
      <c r="AA64" s="45">
        <v>0</v>
      </c>
      <c r="AB64" s="45">
        <v>0</v>
      </c>
      <c r="AC64" s="45">
        <v>0</v>
      </c>
      <c r="AD64" s="45">
        <v>0</v>
      </c>
      <c r="AE64" s="45">
        <v>0</v>
      </c>
      <c r="AF64" s="45">
        <v>0</v>
      </c>
      <c r="AG64" s="45">
        <v>0</v>
      </c>
      <c r="AH64" s="45">
        <v>67.419626699469944</v>
      </c>
      <c r="AI64" s="45">
        <v>16.692482446622179</v>
      </c>
      <c r="AJ64" s="45">
        <v>139.26118240013969</v>
      </c>
      <c r="AK64" s="45">
        <v>198.40704595897046</v>
      </c>
      <c r="AL64" s="45">
        <v>421.78033750520228</v>
      </c>
      <c r="AM64" s="45">
        <v>704.4167740752556</v>
      </c>
      <c r="AN64" s="45">
        <v>121.30316554011218</v>
      </c>
      <c r="AO64" s="45">
        <v>82.571993961536776</v>
      </c>
      <c r="AP64" s="45">
        <v>0</v>
      </c>
      <c r="AQ64" s="45">
        <v>908.29193357690463</v>
      </c>
      <c r="AR64" s="45">
        <v>67.419626699469944</v>
      </c>
      <c r="AS64" s="199">
        <v>13.472218373823265</v>
      </c>
      <c r="AT64" s="45">
        <v>704.4167740752556</v>
      </c>
      <c r="AU64" s="45">
        <v>137.22077549786442</v>
      </c>
      <c r="AV64" s="45">
        <v>84.163754957312008</v>
      </c>
      <c r="AW64" s="45">
        <v>0</v>
      </c>
      <c r="AX64" s="45">
        <v>925.80130453043205</v>
      </c>
      <c r="AY64" s="45">
        <v>16.692482446622179</v>
      </c>
      <c r="AZ64" s="199">
        <v>55.462170320734607</v>
      </c>
      <c r="BA64" s="45">
        <v>704.4167740752556</v>
      </c>
      <c r="BB64" s="45">
        <v>258.52394103797661</v>
      </c>
      <c r="BC64" s="45">
        <v>96.294071511323224</v>
      </c>
      <c r="BD64" s="45">
        <v>0</v>
      </c>
      <c r="BE64" s="45">
        <v>1059.2347866245555</v>
      </c>
      <c r="BF64" s="45">
        <v>84.112109146092124</v>
      </c>
      <c r="BG64" s="45">
        <v>-13.562428735308961</v>
      </c>
      <c r="BH64" s="199">
        <v>12.593130732042377</v>
      </c>
      <c r="BI64" s="45">
        <v>3.3777389815942214</v>
      </c>
      <c r="BJ64" s="45">
        <v>0.83629725377842101</v>
      </c>
      <c r="BK64" s="45">
        <v>6.9770176348299655</v>
      </c>
      <c r="BL64" s="45">
        <v>9.9402391583375493</v>
      </c>
      <c r="BM64" s="45">
        <v>21.131293028540156</v>
      </c>
      <c r="BN64" s="45">
        <v>704.4167740752556</v>
      </c>
      <c r="BO64" s="45">
        <v>0</v>
      </c>
      <c r="BP64" s="45">
        <v>258.52394103797661</v>
      </c>
      <c r="BQ64" s="45">
        <v>0</v>
      </c>
      <c r="BR64" s="45">
        <v>0</v>
      </c>
      <c r="BS64" s="45">
        <v>0</v>
      </c>
      <c r="BT64" s="45">
        <v>0</v>
      </c>
      <c r="BU64" s="45">
        <v>0</v>
      </c>
      <c r="BV64" s="45">
        <v>0</v>
      </c>
      <c r="BW64" s="45">
        <v>96.294071511323224</v>
      </c>
      <c r="BX64" s="45">
        <v>421.78033750520228</v>
      </c>
      <c r="BY64" s="45"/>
      <c r="BZ64" s="45">
        <v>0</v>
      </c>
      <c r="CA64" s="45">
        <v>0</v>
      </c>
      <c r="CB64" s="45">
        <v>1059.2347866245555</v>
      </c>
      <c r="CC64" s="45">
        <v>421.78033750520228</v>
      </c>
      <c r="CD64" s="199">
        <v>2.511342261447858</v>
      </c>
      <c r="CE64" s="45">
        <v>3.3548280578585499</v>
      </c>
      <c r="CF64" s="45">
        <v>13.952627097891837</v>
      </c>
      <c r="CG64" s="45">
        <v>0</v>
      </c>
      <c r="CH64" s="45">
        <v>13.952627097891837</v>
      </c>
      <c r="CI64" s="45">
        <v>0.69762812605977631</v>
      </c>
      <c r="CJ64" s="45">
        <v>0</v>
      </c>
      <c r="CK64" s="45">
        <v>0.69762812605977631</v>
      </c>
      <c r="CL64" s="45"/>
      <c r="CM64" s="45">
        <v>0</v>
      </c>
      <c r="CN64" s="45"/>
      <c r="CO64" s="45">
        <v>0</v>
      </c>
      <c r="CP64" s="45">
        <v>0</v>
      </c>
      <c r="CQ64" s="45">
        <v>0</v>
      </c>
      <c r="CR64" s="45">
        <v>0</v>
      </c>
      <c r="CS64" s="45">
        <v>0</v>
      </c>
      <c r="CT64" s="45">
        <v>0</v>
      </c>
      <c r="CU64" s="45">
        <v>139.26118240013969</v>
      </c>
      <c r="CV64" s="45">
        <v>9999</v>
      </c>
      <c r="CW64" s="200">
        <v>0</v>
      </c>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row>
    <row r="65" spans="1:131">
      <c r="A65" s="24" t="s">
        <v>434</v>
      </c>
      <c r="B65" s="24" t="s">
        <v>614</v>
      </c>
      <c r="C65" s="45">
        <v>16.279069767441861</v>
      </c>
      <c r="D65" s="45">
        <v>3159.841836734694</v>
      </c>
      <c r="E65" s="45">
        <v>0</v>
      </c>
      <c r="F65" s="45">
        <v>984.136129944407</v>
      </c>
      <c r="G65" s="45">
        <v>0</v>
      </c>
      <c r="H65" s="45">
        <v>0</v>
      </c>
      <c r="I65" s="45" t="s">
        <v>369</v>
      </c>
      <c r="J65" s="45"/>
      <c r="K65" s="45"/>
      <c r="L65" s="45">
        <v>3575.1679071329308</v>
      </c>
      <c r="M65" s="45">
        <v>0.83567030883305371</v>
      </c>
      <c r="N65" s="45">
        <v>0.79285608048676826</v>
      </c>
      <c r="O65" s="45">
        <v>0</v>
      </c>
      <c r="P65" s="45">
        <v>0</v>
      </c>
      <c r="Q65" s="45">
        <v>0</v>
      </c>
      <c r="R65" s="45">
        <v>196.24989089554438</v>
      </c>
      <c r="S65" s="45">
        <v>48.589676616396147</v>
      </c>
      <c r="T65" s="45">
        <v>405.37145027275545</v>
      </c>
      <c r="U65" s="45">
        <v>577.53747726789697</v>
      </c>
      <c r="V65" s="45" t="s">
        <v>609</v>
      </c>
      <c r="W65" s="45" t="s">
        <v>609</v>
      </c>
      <c r="X65" s="45" t="s">
        <v>609</v>
      </c>
      <c r="Y65" s="45" t="s">
        <v>609</v>
      </c>
      <c r="Z65" s="45">
        <v>0</v>
      </c>
      <c r="AA65" s="45">
        <v>0</v>
      </c>
      <c r="AB65" s="45">
        <v>0</v>
      </c>
      <c r="AC65" s="45">
        <v>0</v>
      </c>
      <c r="AD65" s="45">
        <v>0</v>
      </c>
      <c r="AE65" s="45">
        <v>0</v>
      </c>
      <c r="AF65" s="45">
        <v>0</v>
      </c>
      <c r="AG65" s="45">
        <v>0</v>
      </c>
      <c r="AH65" s="45">
        <v>196.24989089554438</v>
      </c>
      <c r="AI65" s="45">
        <v>48.589676616396147</v>
      </c>
      <c r="AJ65" s="45">
        <v>405.37145027275545</v>
      </c>
      <c r="AK65" s="45">
        <v>577.53747726789697</v>
      </c>
      <c r="AL65" s="45">
        <v>1227.7484950525929</v>
      </c>
      <c r="AM65" s="45">
        <v>1714.7300562814178</v>
      </c>
      <c r="AN65" s="45">
        <v>295.28283755986934</v>
      </c>
      <c r="AO65" s="45">
        <v>201.00128938412871</v>
      </c>
      <c r="AP65" s="45">
        <v>0</v>
      </c>
      <c r="AQ65" s="45">
        <v>2211.0141832254158</v>
      </c>
      <c r="AR65" s="45">
        <v>196.24989089554438</v>
      </c>
      <c r="AS65" s="199">
        <v>11.266320572897778</v>
      </c>
      <c r="AT65" s="45">
        <v>1714.7300562814178</v>
      </c>
      <c r="AU65" s="45">
        <v>334.0303592306214</v>
      </c>
      <c r="AV65" s="45">
        <v>204.87604155120394</v>
      </c>
      <c r="AW65" s="45">
        <v>0</v>
      </c>
      <c r="AX65" s="45">
        <v>2253.6364570632431</v>
      </c>
      <c r="AY65" s="45">
        <v>48.589676616396147</v>
      </c>
      <c r="AZ65" s="199">
        <v>46.380972543924564</v>
      </c>
      <c r="BA65" s="45">
        <v>1714.7300562814178</v>
      </c>
      <c r="BB65" s="45">
        <v>629.31319679049079</v>
      </c>
      <c r="BC65" s="45">
        <v>234.40432530719087</v>
      </c>
      <c r="BD65" s="45">
        <v>0</v>
      </c>
      <c r="BE65" s="45">
        <v>2578.4475783790995</v>
      </c>
      <c r="BF65" s="45">
        <v>244.83956751194052</v>
      </c>
      <c r="BG65" s="45">
        <v>-12.737338307206764</v>
      </c>
      <c r="BH65" s="199">
        <v>10.531171920377419</v>
      </c>
      <c r="BI65" s="45">
        <v>4.0390859531621093</v>
      </c>
      <c r="BJ65" s="45">
        <v>1.0000407103127253</v>
      </c>
      <c r="BK65" s="45">
        <v>8.3430881063833127</v>
      </c>
      <c r="BL65" s="45">
        <v>11.886495840647651</v>
      </c>
      <c r="BM65" s="45">
        <v>25.268710610505796</v>
      </c>
      <c r="BN65" s="45">
        <v>1714.7300562814178</v>
      </c>
      <c r="BO65" s="45">
        <v>0</v>
      </c>
      <c r="BP65" s="45">
        <v>629.31319679049079</v>
      </c>
      <c r="BQ65" s="45">
        <v>0</v>
      </c>
      <c r="BR65" s="45">
        <v>0</v>
      </c>
      <c r="BS65" s="45">
        <v>0</v>
      </c>
      <c r="BT65" s="45">
        <v>0</v>
      </c>
      <c r="BU65" s="45">
        <v>0</v>
      </c>
      <c r="BV65" s="45">
        <v>0</v>
      </c>
      <c r="BW65" s="45">
        <v>234.40432530719087</v>
      </c>
      <c r="BX65" s="45">
        <v>1227.7484950525929</v>
      </c>
      <c r="BY65" s="45"/>
      <c r="BZ65" s="45">
        <v>0</v>
      </c>
      <c r="CA65" s="45">
        <v>0</v>
      </c>
      <c r="CB65" s="45">
        <v>2578.4475783790995</v>
      </c>
      <c r="CC65" s="45">
        <v>1227.7484950525929</v>
      </c>
      <c r="CD65" s="199">
        <v>2.1001431390625704</v>
      </c>
      <c r="CE65" s="45">
        <v>7.4922456398242012</v>
      </c>
      <c r="CF65" s="45">
        <v>33.964252313908865</v>
      </c>
      <c r="CG65" s="45">
        <v>0</v>
      </c>
      <c r="CH65" s="45">
        <v>33.964252313908865</v>
      </c>
      <c r="CI65" s="45">
        <v>1.6982047558881415</v>
      </c>
      <c r="CJ65" s="45">
        <v>0</v>
      </c>
      <c r="CK65" s="45">
        <v>1.6982047558881415</v>
      </c>
      <c r="CL65" s="45"/>
      <c r="CM65" s="45">
        <v>0</v>
      </c>
      <c r="CN65" s="45"/>
      <c r="CO65" s="45">
        <v>0</v>
      </c>
      <c r="CP65" s="45">
        <v>0</v>
      </c>
      <c r="CQ65" s="45">
        <v>0</v>
      </c>
      <c r="CR65" s="45">
        <v>0</v>
      </c>
      <c r="CS65" s="45">
        <v>0</v>
      </c>
      <c r="CT65" s="45">
        <v>0</v>
      </c>
      <c r="CU65" s="45">
        <v>405.37145027275545</v>
      </c>
      <c r="CV65" s="45">
        <v>9999</v>
      </c>
      <c r="CW65" s="200">
        <v>0</v>
      </c>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row>
    <row r="66" spans="1:131">
      <c r="A66" s="24" t="s">
        <v>432</v>
      </c>
      <c r="B66" s="24" t="s">
        <v>615</v>
      </c>
      <c r="C66" s="45">
        <v>16.279069767441861</v>
      </c>
      <c r="D66" s="45">
        <v>743.50510204081638</v>
      </c>
      <c r="E66" s="45">
        <v>0</v>
      </c>
      <c r="F66" s="45">
        <v>204.91157721295673</v>
      </c>
      <c r="G66" s="45">
        <v>0</v>
      </c>
      <c r="H66" s="45">
        <v>0</v>
      </c>
      <c r="I66" s="45" t="s">
        <v>369</v>
      </c>
      <c r="J66" s="45"/>
      <c r="K66" s="45"/>
      <c r="L66" s="45">
        <v>841.23057955103127</v>
      </c>
      <c r="M66" s="45">
        <v>0.1966317209355842</v>
      </c>
      <c r="N66" s="45">
        <v>0.18655760999581042</v>
      </c>
      <c r="O66" s="45">
        <v>0</v>
      </c>
      <c r="P66" s="45">
        <v>0</v>
      </c>
      <c r="Q66" s="45">
        <v>0</v>
      </c>
      <c r="R66" s="45">
        <v>40.862105808012885</v>
      </c>
      <c r="S66" s="45">
        <v>10.117083367618763</v>
      </c>
      <c r="T66" s="45">
        <v>84.404281790961448</v>
      </c>
      <c r="U66" s="45">
        <v>120.25177388136542</v>
      </c>
      <c r="V66" s="45" t="s">
        <v>609</v>
      </c>
      <c r="W66" s="45" t="s">
        <v>609</v>
      </c>
      <c r="X66" s="45" t="s">
        <v>609</v>
      </c>
      <c r="Y66" s="45" t="s">
        <v>609</v>
      </c>
      <c r="Z66" s="45">
        <v>0</v>
      </c>
      <c r="AA66" s="45">
        <v>0</v>
      </c>
      <c r="AB66" s="45">
        <v>0</v>
      </c>
      <c r="AC66" s="45">
        <v>0</v>
      </c>
      <c r="AD66" s="45">
        <v>0</v>
      </c>
      <c r="AE66" s="45">
        <v>0</v>
      </c>
      <c r="AF66" s="45">
        <v>0</v>
      </c>
      <c r="AG66" s="45">
        <v>0</v>
      </c>
      <c r="AH66" s="45">
        <v>40.862105808012885</v>
      </c>
      <c r="AI66" s="45">
        <v>10.117083367618763</v>
      </c>
      <c r="AJ66" s="45">
        <v>84.404281790961448</v>
      </c>
      <c r="AK66" s="45">
        <v>120.25177388136542</v>
      </c>
      <c r="AL66" s="45">
        <v>255.63524484795852</v>
      </c>
      <c r="AM66" s="45">
        <v>403.4728987528805</v>
      </c>
      <c r="AN66" s="45">
        <v>69.479520689467293</v>
      </c>
      <c r="AO66" s="45">
        <v>47.295241944234782</v>
      </c>
      <c r="AP66" s="45">
        <v>0</v>
      </c>
      <c r="AQ66" s="45">
        <v>520.24766138658254</v>
      </c>
      <c r="AR66" s="45">
        <v>40.862105808012885</v>
      </c>
      <c r="AS66" s="199">
        <v>12.731787828824137</v>
      </c>
      <c r="AT66" s="45">
        <v>403.4728987528805</v>
      </c>
      <c r="AU66" s="45">
        <v>78.596742861388336</v>
      </c>
      <c r="AV66" s="45">
        <v>48.206964161426889</v>
      </c>
      <c r="AW66" s="45">
        <v>0</v>
      </c>
      <c r="AX66" s="45">
        <v>530.27660577569577</v>
      </c>
      <c r="AY66" s="45">
        <v>10.117083367618763</v>
      </c>
      <c r="AZ66" s="199">
        <v>52.413980048135741</v>
      </c>
      <c r="BA66" s="45">
        <v>403.4728987528805</v>
      </c>
      <c r="BB66" s="45">
        <v>148.07626355085563</v>
      </c>
      <c r="BC66" s="45">
        <v>55.154916230373615</v>
      </c>
      <c r="BD66" s="45">
        <v>0</v>
      </c>
      <c r="BE66" s="45">
        <v>606.70407853410973</v>
      </c>
      <c r="BF66" s="45">
        <v>50.979189175631646</v>
      </c>
      <c r="BG66" s="45">
        <v>-13.317357014954094</v>
      </c>
      <c r="BH66" s="199">
        <v>11.90101467569276</v>
      </c>
      <c r="BI66" s="45">
        <v>3.5741749534020877</v>
      </c>
      <c r="BJ66" s="45">
        <v>0.88493300232542016</v>
      </c>
      <c r="BK66" s="45">
        <v>7.3827734516312917</v>
      </c>
      <c r="BL66" s="45">
        <v>10.518324247123493</v>
      </c>
      <c r="BM66" s="45">
        <v>22.360205654482293</v>
      </c>
      <c r="BN66" s="45">
        <v>403.4728987528805</v>
      </c>
      <c r="BO66" s="45">
        <v>0</v>
      </c>
      <c r="BP66" s="45">
        <v>148.07626355085563</v>
      </c>
      <c r="BQ66" s="45">
        <v>0</v>
      </c>
      <c r="BR66" s="45">
        <v>0</v>
      </c>
      <c r="BS66" s="45">
        <v>0</v>
      </c>
      <c r="BT66" s="45">
        <v>0</v>
      </c>
      <c r="BU66" s="45">
        <v>0</v>
      </c>
      <c r="BV66" s="45">
        <v>0</v>
      </c>
      <c r="BW66" s="45">
        <v>55.154916230373615</v>
      </c>
      <c r="BX66" s="45">
        <v>255.63524484795852</v>
      </c>
      <c r="BY66" s="45"/>
      <c r="BZ66" s="45">
        <v>0</v>
      </c>
      <c r="CA66" s="45">
        <v>0</v>
      </c>
      <c r="CB66" s="45">
        <v>606.70407853410973</v>
      </c>
      <c r="CC66" s="45">
        <v>255.63524484795852</v>
      </c>
      <c r="CD66" s="199">
        <v>2.373319371102184</v>
      </c>
      <c r="CE66" s="45">
        <v>4.5837406838006896</v>
      </c>
      <c r="CF66" s="45">
        <v>7.991727493705282</v>
      </c>
      <c r="CG66" s="45">
        <v>0</v>
      </c>
      <c r="CH66" s="45">
        <v>7.991727493705282</v>
      </c>
      <c r="CI66" s="45">
        <v>0.39958452528673977</v>
      </c>
      <c r="CJ66" s="45">
        <v>0</v>
      </c>
      <c r="CK66" s="45">
        <v>0.39958452528673977</v>
      </c>
      <c r="CL66" s="45"/>
      <c r="CM66" s="45">
        <v>0</v>
      </c>
      <c r="CN66" s="45"/>
      <c r="CO66" s="45">
        <v>0</v>
      </c>
      <c r="CP66" s="45">
        <v>0</v>
      </c>
      <c r="CQ66" s="45">
        <v>0</v>
      </c>
      <c r="CR66" s="45">
        <v>0</v>
      </c>
      <c r="CS66" s="45">
        <v>0</v>
      </c>
      <c r="CT66" s="45">
        <v>0</v>
      </c>
      <c r="CU66" s="45">
        <v>84.404281790961448</v>
      </c>
      <c r="CV66" s="45">
        <v>9999</v>
      </c>
      <c r="CW66" s="200">
        <v>0</v>
      </c>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row>
    <row r="67" spans="1:131">
      <c r="A67" s="24" t="s">
        <v>433</v>
      </c>
      <c r="B67" s="24" t="s">
        <v>616</v>
      </c>
      <c r="C67" s="45">
        <v>16.279069767441861</v>
      </c>
      <c r="D67" s="45">
        <v>1298.0734693877553</v>
      </c>
      <c r="E67" s="45">
        <v>0</v>
      </c>
      <c r="F67" s="45">
        <v>366.92315442591342</v>
      </c>
      <c r="G67" s="45">
        <v>0</v>
      </c>
      <c r="H67" s="45">
        <v>0</v>
      </c>
      <c r="I67" s="45" t="s">
        <v>369</v>
      </c>
      <c r="J67" s="45"/>
      <c r="K67" s="45"/>
      <c r="L67" s="45">
        <v>1468.6907917047924</v>
      </c>
      <c r="M67" s="45">
        <v>0.34329612464787984</v>
      </c>
      <c r="N67" s="45">
        <v>0.32570789814789353</v>
      </c>
      <c r="O67" s="45">
        <v>0</v>
      </c>
      <c r="P67" s="45">
        <v>0</v>
      </c>
      <c r="Q67" s="45">
        <v>0</v>
      </c>
      <c r="R67" s="45">
        <v>73.169378536282579</v>
      </c>
      <c r="S67" s="45">
        <v>18.116068371181786</v>
      </c>
      <c r="T67" s="45">
        <v>151.13780169486202</v>
      </c>
      <c r="U67" s="45">
        <v>215.32780528064922</v>
      </c>
      <c r="V67" s="45" t="s">
        <v>609</v>
      </c>
      <c r="W67" s="45" t="s">
        <v>609</v>
      </c>
      <c r="X67" s="45" t="s">
        <v>609</v>
      </c>
      <c r="Y67" s="45" t="s">
        <v>609</v>
      </c>
      <c r="Z67" s="45">
        <v>0</v>
      </c>
      <c r="AA67" s="45">
        <v>0</v>
      </c>
      <c r="AB67" s="45">
        <v>0</v>
      </c>
      <c r="AC67" s="45">
        <v>0</v>
      </c>
      <c r="AD67" s="45">
        <v>0</v>
      </c>
      <c r="AE67" s="45">
        <v>0</v>
      </c>
      <c r="AF67" s="45">
        <v>0</v>
      </c>
      <c r="AG67" s="45">
        <v>0</v>
      </c>
      <c r="AH67" s="45">
        <v>73.169378536282579</v>
      </c>
      <c r="AI67" s="45">
        <v>18.116068371181786</v>
      </c>
      <c r="AJ67" s="45">
        <v>151.13780169486202</v>
      </c>
      <c r="AK67" s="45">
        <v>215.32780528064922</v>
      </c>
      <c r="AL67" s="45">
        <v>457.75105388297561</v>
      </c>
      <c r="AM67" s="45">
        <v>704.4167740752556</v>
      </c>
      <c r="AN67" s="45">
        <v>121.30316554011218</v>
      </c>
      <c r="AO67" s="45">
        <v>82.571993961536776</v>
      </c>
      <c r="AP67" s="45">
        <v>0</v>
      </c>
      <c r="AQ67" s="45">
        <v>908.29193357690463</v>
      </c>
      <c r="AR67" s="45">
        <v>73.169378536282579</v>
      </c>
      <c r="AS67" s="199">
        <v>12.413552660236261</v>
      </c>
      <c r="AT67" s="45">
        <v>704.4167740752556</v>
      </c>
      <c r="AU67" s="45">
        <v>137.22077549786442</v>
      </c>
      <c r="AV67" s="45">
        <v>84.163754957312008</v>
      </c>
      <c r="AW67" s="45">
        <v>0</v>
      </c>
      <c r="AX67" s="45">
        <v>925.80130453043205</v>
      </c>
      <c r="AY67" s="45">
        <v>18.116068371181786</v>
      </c>
      <c r="AZ67" s="199">
        <v>51.103875607091133</v>
      </c>
      <c r="BA67" s="45">
        <v>704.4167740752556</v>
      </c>
      <c r="BB67" s="45">
        <v>258.52394103797661</v>
      </c>
      <c r="BC67" s="45">
        <v>96.294071511323224</v>
      </c>
      <c r="BD67" s="45">
        <v>0</v>
      </c>
      <c r="BE67" s="45">
        <v>1059.2347866245555</v>
      </c>
      <c r="BF67" s="45">
        <v>91.285446907464362</v>
      </c>
      <c r="BG67" s="45">
        <v>-13.203042844717563</v>
      </c>
      <c r="BH67" s="199">
        <v>11.603544951675559</v>
      </c>
      <c r="BI67" s="45">
        <v>3.6658028861937955</v>
      </c>
      <c r="BJ67" s="45">
        <v>0.9076192397702485</v>
      </c>
      <c r="BK67" s="45">
        <v>7.5720390243751714</v>
      </c>
      <c r="BL67" s="45">
        <v>10.787973136660769</v>
      </c>
      <c r="BM67" s="45">
        <v>22.933434286999987</v>
      </c>
      <c r="BN67" s="45">
        <v>704.4167740752556</v>
      </c>
      <c r="BO67" s="45">
        <v>0</v>
      </c>
      <c r="BP67" s="45">
        <v>258.52394103797661</v>
      </c>
      <c r="BQ67" s="45">
        <v>0</v>
      </c>
      <c r="BR67" s="45">
        <v>0</v>
      </c>
      <c r="BS67" s="45">
        <v>0</v>
      </c>
      <c r="BT67" s="45">
        <v>0</v>
      </c>
      <c r="BU67" s="45">
        <v>0</v>
      </c>
      <c r="BV67" s="45">
        <v>0</v>
      </c>
      <c r="BW67" s="45">
        <v>96.294071511323224</v>
      </c>
      <c r="BX67" s="45">
        <v>457.75105388297561</v>
      </c>
      <c r="BY67" s="45"/>
      <c r="BZ67" s="45">
        <v>0</v>
      </c>
      <c r="CA67" s="45">
        <v>0</v>
      </c>
      <c r="CB67" s="45">
        <v>1059.2347866245555</v>
      </c>
      <c r="CC67" s="45">
        <v>457.75105388297561</v>
      </c>
      <c r="CD67" s="199">
        <v>2.3139974832157342</v>
      </c>
      <c r="CE67" s="45">
        <v>5.1569693163183796</v>
      </c>
      <c r="CF67" s="45">
        <v>13.952627097891837</v>
      </c>
      <c r="CG67" s="45">
        <v>0</v>
      </c>
      <c r="CH67" s="45">
        <v>13.952627097891837</v>
      </c>
      <c r="CI67" s="45">
        <v>0.69762812605977631</v>
      </c>
      <c r="CJ67" s="45">
        <v>0</v>
      </c>
      <c r="CK67" s="45">
        <v>0.69762812605977631</v>
      </c>
      <c r="CL67" s="45"/>
      <c r="CM67" s="45">
        <v>0</v>
      </c>
      <c r="CN67" s="45"/>
      <c r="CO67" s="45">
        <v>0</v>
      </c>
      <c r="CP67" s="45">
        <v>0</v>
      </c>
      <c r="CQ67" s="45">
        <v>0</v>
      </c>
      <c r="CR67" s="45">
        <v>0</v>
      </c>
      <c r="CS67" s="45">
        <v>0</v>
      </c>
      <c r="CT67" s="45">
        <v>0</v>
      </c>
      <c r="CU67" s="45">
        <v>151.13780169486202</v>
      </c>
      <c r="CV67" s="45">
        <v>9999</v>
      </c>
      <c r="CW67" s="200">
        <v>0</v>
      </c>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row>
    <row r="68" spans="1:131">
      <c r="A68" s="24" t="s">
        <v>435</v>
      </c>
      <c r="B68" s="24" t="s">
        <v>617</v>
      </c>
      <c r="C68" s="45">
        <v>16.279069767441861</v>
      </c>
      <c r="D68" s="45">
        <v>3159.841836734694</v>
      </c>
      <c r="E68" s="45">
        <v>0</v>
      </c>
      <c r="F68" s="45">
        <v>1014.9694632777404</v>
      </c>
      <c r="G68" s="45">
        <v>0</v>
      </c>
      <c r="H68" s="45">
        <v>0</v>
      </c>
      <c r="I68" s="45" t="s">
        <v>369</v>
      </c>
      <c r="J68" s="45"/>
      <c r="K68" s="45"/>
      <c r="L68" s="45">
        <v>3575.1679071329308</v>
      </c>
      <c r="M68" s="45">
        <v>0.83567030883305371</v>
      </c>
      <c r="N68" s="45">
        <v>0.79285608048676826</v>
      </c>
      <c r="O68" s="45">
        <v>0</v>
      </c>
      <c r="P68" s="45">
        <v>0</v>
      </c>
      <c r="Q68" s="45">
        <v>0</v>
      </c>
      <c r="R68" s="45">
        <v>202.39846944936139</v>
      </c>
      <c r="S68" s="45">
        <v>50.112008385433882</v>
      </c>
      <c r="T68" s="45">
        <v>418.07188131046433</v>
      </c>
      <c r="U68" s="45">
        <v>595.63193087778461</v>
      </c>
      <c r="V68" s="45" t="s">
        <v>609</v>
      </c>
      <c r="W68" s="45" t="s">
        <v>609</v>
      </c>
      <c r="X68" s="45" t="s">
        <v>609</v>
      </c>
      <c r="Y68" s="45" t="s">
        <v>609</v>
      </c>
      <c r="Z68" s="45">
        <v>0</v>
      </c>
      <c r="AA68" s="45">
        <v>0</v>
      </c>
      <c r="AB68" s="45">
        <v>0</v>
      </c>
      <c r="AC68" s="45">
        <v>0</v>
      </c>
      <c r="AD68" s="45">
        <v>0</v>
      </c>
      <c r="AE68" s="45">
        <v>0</v>
      </c>
      <c r="AF68" s="45">
        <v>0</v>
      </c>
      <c r="AG68" s="45">
        <v>0</v>
      </c>
      <c r="AH68" s="45">
        <v>202.39846944936139</v>
      </c>
      <c r="AI68" s="45">
        <v>50.112008385433882</v>
      </c>
      <c r="AJ68" s="45">
        <v>418.07188131046433</v>
      </c>
      <c r="AK68" s="45">
        <v>595.63193087778461</v>
      </c>
      <c r="AL68" s="45">
        <v>1266.2142900230442</v>
      </c>
      <c r="AM68" s="45">
        <v>1714.7300562814178</v>
      </c>
      <c r="AN68" s="45">
        <v>295.28283755986934</v>
      </c>
      <c r="AO68" s="45">
        <v>201.00128938412871</v>
      </c>
      <c r="AP68" s="45">
        <v>0</v>
      </c>
      <c r="AQ68" s="45">
        <v>2211.0141832254158</v>
      </c>
      <c r="AR68" s="45">
        <v>202.39846944936139</v>
      </c>
      <c r="AS68" s="199">
        <v>10.924065726586907</v>
      </c>
      <c r="AT68" s="45">
        <v>1714.7300562814178</v>
      </c>
      <c r="AU68" s="45">
        <v>334.0303592306214</v>
      </c>
      <c r="AV68" s="45">
        <v>204.87604155120394</v>
      </c>
      <c r="AW68" s="45">
        <v>0</v>
      </c>
      <c r="AX68" s="45">
        <v>2253.6364570632431</v>
      </c>
      <c r="AY68" s="45">
        <v>50.112008385433882</v>
      </c>
      <c r="AZ68" s="199">
        <v>44.971984354119606</v>
      </c>
      <c r="BA68" s="45">
        <v>1714.7300562814178</v>
      </c>
      <c r="BB68" s="45">
        <v>629.31319679049079</v>
      </c>
      <c r="BC68" s="45">
        <v>234.40432530719087</v>
      </c>
      <c r="BD68" s="45">
        <v>0</v>
      </c>
      <c r="BE68" s="45">
        <v>2578.4475783790995</v>
      </c>
      <c r="BF68" s="45">
        <v>252.51047783479527</v>
      </c>
      <c r="BG68" s="45">
        <v>-12.579460684999569</v>
      </c>
      <c r="BH68" s="199">
        <v>10.211249847881744</v>
      </c>
      <c r="BI68" s="45">
        <v>4.1656319459028364</v>
      </c>
      <c r="BJ68" s="45">
        <v>1.0313723397791872</v>
      </c>
      <c r="BK68" s="45">
        <v>8.6044800101924093</v>
      </c>
      <c r="BL68" s="45">
        <v>12.258903963130331</v>
      </c>
      <c r="BM68" s="45">
        <v>26.060388259004764</v>
      </c>
      <c r="BN68" s="45">
        <v>1714.7300562814178</v>
      </c>
      <c r="BO68" s="45">
        <v>0</v>
      </c>
      <c r="BP68" s="45">
        <v>629.31319679049079</v>
      </c>
      <c r="BQ68" s="45">
        <v>0</v>
      </c>
      <c r="BR68" s="45">
        <v>0</v>
      </c>
      <c r="BS68" s="45">
        <v>0</v>
      </c>
      <c r="BT68" s="45">
        <v>0</v>
      </c>
      <c r="BU68" s="45">
        <v>0</v>
      </c>
      <c r="BV68" s="45">
        <v>0</v>
      </c>
      <c r="BW68" s="45">
        <v>234.40432530719087</v>
      </c>
      <c r="BX68" s="45">
        <v>1266.2142900230442</v>
      </c>
      <c r="BY68" s="45"/>
      <c r="BZ68" s="45">
        <v>0</v>
      </c>
      <c r="CA68" s="45">
        <v>0</v>
      </c>
      <c r="CB68" s="45">
        <v>2578.4475783790995</v>
      </c>
      <c r="CC68" s="45">
        <v>1266.2142900230442</v>
      </c>
      <c r="CD68" s="199">
        <v>2.0363437679511369</v>
      </c>
      <c r="CE68" s="45">
        <v>8.2839232883231695</v>
      </c>
      <c r="CF68" s="45">
        <v>33.964252313908865</v>
      </c>
      <c r="CG68" s="45">
        <v>0</v>
      </c>
      <c r="CH68" s="45">
        <v>33.964252313908865</v>
      </c>
      <c r="CI68" s="45">
        <v>1.6982047558881415</v>
      </c>
      <c r="CJ68" s="45">
        <v>0</v>
      </c>
      <c r="CK68" s="45">
        <v>1.6982047558881415</v>
      </c>
      <c r="CL68" s="45"/>
      <c r="CM68" s="45">
        <v>0</v>
      </c>
      <c r="CN68" s="45"/>
      <c r="CO68" s="45">
        <v>0</v>
      </c>
      <c r="CP68" s="45">
        <v>0</v>
      </c>
      <c r="CQ68" s="45">
        <v>0</v>
      </c>
      <c r="CR68" s="45">
        <v>0</v>
      </c>
      <c r="CS68" s="45">
        <v>0</v>
      </c>
      <c r="CT68" s="45">
        <v>0</v>
      </c>
      <c r="CU68" s="45">
        <v>418.07188131046433</v>
      </c>
      <c r="CV68" s="45">
        <v>9999</v>
      </c>
      <c r="CW68" s="200">
        <v>0</v>
      </c>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row>
    <row r="69" spans="1:131">
      <c r="A69" s="24" t="s">
        <v>416</v>
      </c>
      <c r="B69" s="24" t="s">
        <v>618</v>
      </c>
      <c r="C69" s="45">
        <v>16.744186046511629</v>
      </c>
      <c r="D69" s="45">
        <v>649.36581632653053</v>
      </c>
      <c r="E69" s="45">
        <v>0</v>
      </c>
      <c r="F69" s="45">
        <v>7.3019593555087283</v>
      </c>
      <c r="G69" s="45">
        <v>0</v>
      </c>
      <c r="H69" s="45">
        <v>0</v>
      </c>
      <c r="I69" s="45" t="s">
        <v>369</v>
      </c>
      <c r="J69" s="45"/>
      <c r="K69" s="45"/>
      <c r="L69" s="45">
        <v>734.71773160610712</v>
      </c>
      <c r="M69" s="45">
        <v>0.17173509318301433</v>
      </c>
      <c r="N69" s="45">
        <v>0.16293652104650316</v>
      </c>
      <c r="O69" s="45">
        <v>0</v>
      </c>
      <c r="P69" s="45">
        <v>0</v>
      </c>
      <c r="Q69" s="45">
        <v>0</v>
      </c>
      <c r="R69" s="45">
        <v>1.4561082387283526</v>
      </c>
      <c r="S69" s="45">
        <v>0.36051907145232021</v>
      </c>
      <c r="T69" s="45">
        <v>3.0077199319391883</v>
      </c>
      <c r="U69" s="45">
        <v>4.0901416400804571</v>
      </c>
      <c r="V69" s="45" t="s">
        <v>609</v>
      </c>
      <c r="W69" s="45" t="s">
        <v>609</v>
      </c>
      <c r="X69" s="45" t="s">
        <v>609</v>
      </c>
      <c r="Y69" s="45" t="s">
        <v>609</v>
      </c>
      <c r="Z69" s="45">
        <v>0</v>
      </c>
      <c r="AA69" s="45">
        <v>0</v>
      </c>
      <c r="AB69" s="45">
        <v>0</v>
      </c>
      <c r="AC69" s="45">
        <v>0</v>
      </c>
      <c r="AD69" s="45">
        <v>0</v>
      </c>
      <c r="AE69" s="45">
        <v>0</v>
      </c>
      <c r="AF69" s="45">
        <v>0</v>
      </c>
      <c r="AG69" s="45">
        <v>0</v>
      </c>
      <c r="AH69" s="45">
        <v>1.4561082387283526</v>
      </c>
      <c r="AI69" s="45">
        <v>0.36051907145232021</v>
      </c>
      <c r="AJ69" s="45">
        <v>3.0077199319391883</v>
      </c>
      <c r="AK69" s="45">
        <v>4.0901416400804571</v>
      </c>
      <c r="AL69" s="45">
        <v>8.9144888822003185</v>
      </c>
      <c r="AM69" s="45">
        <v>352.38696754755102</v>
      </c>
      <c r="AN69" s="45">
        <v>60.682334992255591</v>
      </c>
      <c r="AO69" s="45">
        <v>41.306930253980667</v>
      </c>
      <c r="AP69" s="45">
        <v>0</v>
      </c>
      <c r="AQ69" s="45">
        <v>454.37623279378727</v>
      </c>
      <c r="AR69" s="45">
        <v>1.4561082387283526</v>
      </c>
      <c r="AS69" s="199">
        <v>312.04839084668788</v>
      </c>
      <c r="AT69" s="45">
        <v>352.38696754755102</v>
      </c>
      <c r="AU69" s="45">
        <v>68.645175330605881</v>
      </c>
      <c r="AV69" s="45">
        <v>42.103214287815696</v>
      </c>
      <c r="AW69" s="45">
        <v>0</v>
      </c>
      <c r="AX69" s="45">
        <v>463.13535716597261</v>
      </c>
      <c r="AY69" s="45">
        <v>0.36051907145232021</v>
      </c>
      <c r="AZ69" s="199">
        <v>1284.6348330485582</v>
      </c>
      <c r="BA69" s="45">
        <v>352.38696754755102</v>
      </c>
      <c r="BB69" s="45">
        <v>129.32751032286149</v>
      </c>
      <c r="BC69" s="45">
        <v>48.171447787041252</v>
      </c>
      <c r="BD69" s="45">
        <v>0</v>
      </c>
      <c r="BE69" s="45">
        <v>529.88592565745375</v>
      </c>
      <c r="BF69" s="45">
        <v>1.8166273101806727</v>
      </c>
      <c r="BG69" s="45">
        <v>-17.594530315469623</v>
      </c>
      <c r="BH69" s="199">
        <v>291.68664518467136</v>
      </c>
      <c r="BI69" s="45">
        <v>0.1458287833061446</v>
      </c>
      <c r="BJ69" s="45">
        <v>3.6105871905832226E-2</v>
      </c>
      <c r="BK69" s="45">
        <v>0.30122220761787627</v>
      </c>
      <c r="BL69" s="45">
        <v>0.40962640211666701</v>
      </c>
      <c r="BM69" s="45">
        <v>0.89278326494652005</v>
      </c>
      <c r="BN69" s="45">
        <v>352.38696754755102</v>
      </c>
      <c r="BO69" s="45">
        <v>0</v>
      </c>
      <c r="BP69" s="45">
        <v>129.32751032286149</v>
      </c>
      <c r="BQ69" s="45">
        <v>0</v>
      </c>
      <c r="BR69" s="45">
        <v>0</v>
      </c>
      <c r="BS69" s="45">
        <v>0</v>
      </c>
      <c r="BT69" s="45">
        <v>0</v>
      </c>
      <c r="BU69" s="45">
        <v>0</v>
      </c>
      <c r="BV69" s="45">
        <v>0</v>
      </c>
      <c r="BW69" s="45">
        <v>48.171447787041252</v>
      </c>
      <c r="BX69" s="45">
        <v>8.9144888822003185</v>
      </c>
      <c r="BY69" s="45"/>
      <c r="BZ69" s="45">
        <v>0</v>
      </c>
      <c r="CA69" s="45">
        <v>0</v>
      </c>
      <c r="CB69" s="45">
        <v>529.88592565745375</v>
      </c>
      <c r="CC69" s="45">
        <v>8.9144888822003185</v>
      </c>
      <c r="CD69" s="199">
        <v>59.440976668385801</v>
      </c>
      <c r="CE69" s="45">
        <v>-16.883681705735082</v>
      </c>
      <c r="CF69" s="45">
        <v>6.9798507549773587</v>
      </c>
      <c r="CG69" s="45">
        <v>0</v>
      </c>
      <c r="CH69" s="45">
        <v>6.9798507549773587</v>
      </c>
      <c r="CI69" s="45">
        <v>0.34899092251290081</v>
      </c>
      <c r="CJ69" s="45">
        <v>0</v>
      </c>
      <c r="CK69" s="45">
        <v>0.34899092251290081</v>
      </c>
      <c r="CL69" s="45"/>
      <c r="CM69" s="45">
        <v>0</v>
      </c>
      <c r="CN69" s="45"/>
      <c r="CO69" s="45">
        <v>0</v>
      </c>
      <c r="CP69" s="45">
        <v>0</v>
      </c>
      <c r="CQ69" s="45">
        <v>0</v>
      </c>
      <c r="CR69" s="45">
        <v>0</v>
      </c>
      <c r="CS69" s="45">
        <v>0</v>
      </c>
      <c r="CT69" s="45">
        <v>0</v>
      </c>
      <c r="CU69" s="45">
        <v>3.0077199319391883</v>
      </c>
      <c r="CV69" s="45">
        <v>9999</v>
      </c>
      <c r="CW69" s="200">
        <v>0</v>
      </c>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row>
    <row r="70" spans="1:131">
      <c r="A70" s="24" t="s">
        <v>419</v>
      </c>
      <c r="B70" s="24" t="s">
        <v>619</v>
      </c>
      <c r="C70" s="45">
        <v>16.744186046511629</v>
      </c>
      <c r="D70" s="45">
        <v>1606.9202380952379</v>
      </c>
      <c r="E70" s="45">
        <v>0</v>
      </c>
      <c r="F70" s="45">
        <v>51.863052062075326</v>
      </c>
      <c r="G70" s="45">
        <v>0</v>
      </c>
      <c r="H70" s="45">
        <v>0</v>
      </c>
      <c r="I70" s="45" t="s">
        <v>369</v>
      </c>
      <c r="J70" s="45"/>
      <c r="K70" s="45"/>
      <c r="L70" s="45">
        <v>1818.1320336264869</v>
      </c>
      <c r="M70" s="45">
        <v>0.42497555289881439</v>
      </c>
      <c r="N70" s="45">
        <v>0.40320261185845763</v>
      </c>
      <c r="O70" s="45">
        <v>0</v>
      </c>
      <c r="P70" s="45">
        <v>0</v>
      </c>
      <c r="Q70" s="45">
        <v>0</v>
      </c>
      <c r="R70" s="45">
        <v>10.34218539387145</v>
      </c>
      <c r="S70" s="45">
        <v>2.5606304365412442</v>
      </c>
      <c r="T70" s="45">
        <v>21.362695657929471</v>
      </c>
      <c r="U70" s="45">
        <v>29.05072713952076</v>
      </c>
      <c r="V70" s="45" t="s">
        <v>609</v>
      </c>
      <c r="W70" s="45" t="s">
        <v>609</v>
      </c>
      <c r="X70" s="45" t="s">
        <v>609</v>
      </c>
      <c r="Y70" s="45" t="s">
        <v>609</v>
      </c>
      <c r="Z70" s="45">
        <v>0</v>
      </c>
      <c r="AA70" s="45">
        <v>0</v>
      </c>
      <c r="AB70" s="45">
        <v>0</v>
      </c>
      <c r="AC70" s="45">
        <v>0</v>
      </c>
      <c r="AD70" s="45">
        <v>0</v>
      </c>
      <c r="AE70" s="45">
        <v>0</v>
      </c>
      <c r="AF70" s="45">
        <v>0</v>
      </c>
      <c r="AG70" s="45">
        <v>0</v>
      </c>
      <c r="AH70" s="45">
        <v>10.34218539387145</v>
      </c>
      <c r="AI70" s="45">
        <v>2.5606304365412442</v>
      </c>
      <c r="AJ70" s="45">
        <v>21.362695657929471</v>
      </c>
      <c r="AK70" s="45">
        <v>29.05072713952076</v>
      </c>
      <c r="AL70" s="45">
        <v>63.316238627862923</v>
      </c>
      <c r="AM70" s="45">
        <v>872.01656686595436</v>
      </c>
      <c r="AN70" s="45">
        <v>150.1644677657271</v>
      </c>
      <c r="AO70" s="45">
        <v>102.21810346316815</v>
      </c>
      <c r="AP70" s="45">
        <v>0</v>
      </c>
      <c r="AQ70" s="45">
        <v>1124.3991380948496</v>
      </c>
      <c r="AR70" s="45">
        <v>10.34218539387145</v>
      </c>
      <c r="AS70" s="199">
        <v>108.71968498661256</v>
      </c>
      <c r="AT70" s="45">
        <v>872.01656686595436</v>
      </c>
      <c r="AU70" s="45">
        <v>169.86930742729305</v>
      </c>
      <c r="AV70" s="45">
        <v>104.18858742932474</v>
      </c>
      <c r="AW70" s="45">
        <v>0</v>
      </c>
      <c r="AX70" s="45">
        <v>1146.0744617225723</v>
      </c>
      <c r="AY70" s="45">
        <v>2.5606304365412442</v>
      </c>
      <c r="AZ70" s="199">
        <v>447.57511484969513</v>
      </c>
      <c r="BA70" s="45">
        <v>872.01656686595436</v>
      </c>
      <c r="BB70" s="45">
        <v>320.03377519302012</v>
      </c>
      <c r="BC70" s="45">
        <v>119.20503420589746</v>
      </c>
      <c r="BD70" s="45">
        <v>0</v>
      </c>
      <c r="BE70" s="45">
        <v>1311.255376264872</v>
      </c>
      <c r="BF70" s="45">
        <v>12.902815830412694</v>
      </c>
      <c r="BG70" s="45">
        <v>-17.254274197178763</v>
      </c>
      <c r="BH70" s="199">
        <v>101.62552062272843</v>
      </c>
      <c r="BI70" s="45">
        <v>0.41855931771156418</v>
      </c>
      <c r="BJ70" s="45">
        <v>0.10363145579127585</v>
      </c>
      <c r="BK70" s="45">
        <v>0.86457116929670608</v>
      </c>
      <c r="BL70" s="45">
        <v>1.1757140360051999</v>
      </c>
      <c r="BM70" s="45">
        <v>2.5624759788047458</v>
      </c>
      <c r="BN70" s="45">
        <v>872.01656686595436</v>
      </c>
      <c r="BO70" s="45">
        <v>0</v>
      </c>
      <c r="BP70" s="45">
        <v>320.03377519302012</v>
      </c>
      <c r="BQ70" s="45">
        <v>0</v>
      </c>
      <c r="BR70" s="45">
        <v>0</v>
      </c>
      <c r="BS70" s="45">
        <v>0</v>
      </c>
      <c r="BT70" s="45">
        <v>0</v>
      </c>
      <c r="BU70" s="45">
        <v>0</v>
      </c>
      <c r="BV70" s="45">
        <v>0</v>
      </c>
      <c r="BW70" s="45">
        <v>119.20503420589746</v>
      </c>
      <c r="BX70" s="45">
        <v>63.316238627862923</v>
      </c>
      <c r="BY70" s="45"/>
      <c r="BZ70" s="45">
        <v>0</v>
      </c>
      <c r="CA70" s="45">
        <v>0</v>
      </c>
      <c r="CB70" s="45">
        <v>1311.255376264872</v>
      </c>
      <c r="CC70" s="45">
        <v>63.316238627862923</v>
      </c>
      <c r="CD70" s="199">
        <v>20.709622123507529</v>
      </c>
      <c r="CE70" s="45">
        <v>-15.213988991876855</v>
      </c>
      <c r="CF70" s="45">
        <v>17.27233426068965</v>
      </c>
      <c r="CG70" s="45">
        <v>0</v>
      </c>
      <c r="CH70" s="45">
        <v>17.27233426068965</v>
      </c>
      <c r="CI70" s="45">
        <v>0.86361271597258116</v>
      </c>
      <c r="CJ70" s="45">
        <v>0</v>
      </c>
      <c r="CK70" s="45">
        <v>0.86361271597258116</v>
      </c>
      <c r="CL70" s="45"/>
      <c r="CM70" s="45">
        <v>0</v>
      </c>
      <c r="CN70" s="45"/>
      <c r="CO70" s="45">
        <v>0</v>
      </c>
      <c r="CP70" s="45">
        <v>0</v>
      </c>
      <c r="CQ70" s="45">
        <v>0</v>
      </c>
      <c r="CR70" s="45">
        <v>0</v>
      </c>
      <c r="CS70" s="45">
        <v>0</v>
      </c>
      <c r="CT70" s="45">
        <v>0</v>
      </c>
      <c r="CU70" s="45">
        <v>21.362695657929471</v>
      </c>
      <c r="CV70" s="45">
        <v>9999</v>
      </c>
      <c r="CW70" s="200">
        <v>0</v>
      </c>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row>
    <row r="71" spans="1:131">
      <c r="A71" s="24" t="s">
        <v>431</v>
      </c>
      <c r="B71" s="24" t="s">
        <v>620</v>
      </c>
      <c r="C71" s="45">
        <v>16.744186046511629</v>
      </c>
      <c r="D71" s="45">
        <v>649.36581632653053</v>
      </c>
      <c r="E71" s="45">
        <v>0</v>
      </c>
      <c r="F71" s="45">
        <v>186.95819668884204</v>
      </c>
      <c r="G71" s="45">
        <v>0</v>
      </c>
      <c r="H71" s="45">
        <v>0</v>
      </c>
      <c r="I71" s="45" t="s">
        <v>369</v>
      </c>
      <c r="J71" s="45"/>
      <c r="K71" s="45"/>
      <c r="L71" s="45">
        <v>734.71773160610712</v>
      </c>
      <c r="M71" s="45">
        <v>0.17173509318301433</v>
      </c>
      <c r="N71" s="45">
        <v>0.16293652104650316</v>
      </c>
      <c r="O71" s="45">
        <v>0</v>
      </c>
      <c r="P71" s="45">
        <v>0</v>
      </c>
      <c r="Q71" s="45">
        <v>0</v>
      </c>
      <c r="R71" s="45">
        <v>37.281961901231682</v>
      </c>
      <c r="S71" s="45">
        <v>9.2306725070733666</v>
      </c>
      <c r="T71" s="45">
        <v>77.00917893992586</v>
      </c>
      <c r="U71" s="45">
        <v>104.72333082140382</v>
      </c>
      <c r="V71" s="45" t="s">
        <v>609</v>
      </c>
      <c r="W71" s="45" t="s">
        <v>609</v>
      </c>
      <c r="X71" s="45" t="s">
        <v>609</v>
      </c>
      <c r="Y71" s="45" t="s">
        <v>609</v>
      </c>
      <c r="Z71" s="45">
        <v>0</v>
      </c>
      <c r="AA71" s="45">
        <v>0</v>
      </c>
      <c r="AB71" s="45">
        <v>0</v>
      </c>
      <c r="AC71" s="45">
        <v>0</v>
      </c>
      <c r="AD71" s="45">
        <v>0</v>
      </c>
      <c r="AE71" s="45">
        <v>0</v>
      </c>
      <c r="AF71" s="45">
        <v>0</v>
      </c>
      <c r="AG71" s="45">
        <v>0</v>
      </c>
      <c r="AH71" s="45">
        <v>37.281961901231682</v>
      </c>
      <c r="AI71" s="45">
        <v>9.2306725070733666</v>
      </c>
      <c r="AJ71" s="45">
        <v>77.00917893992586</v>
      </c>
      <c r="AK71" s="45">
        <v>104.72333082140382</v>
      </c>
      <c r="AL71" s="45">
        <v>228.24514416963473</v>
      </c>
      <c r="AM71" s="45">
        <v>352.38696754755102</v>
      </c>
      <c r="AN71" s="45">
        <v>60.682334992255591</v>
      </c>
      <c r="AO71" s="45">
        <v>41.306930253980667</v>
      </c>
      <c r="AP71" s="45">
        <v>0</v>
      </c>
      <c r="AQ71" s="45">
        <v>454.37623279378727</v>
      </c>
      <c r="AR71" s="45">
        <v>37.281961901231682</v>
      </c>
      <c r="AS71" s="199">
        <v>12.187562285416531</v>
      </c>
      <c r="AT71" s="45">
        <v>352.38696754755102</v>
      </c>
      <c r="AU71" s="45">
        <v>68.645175330605881</v>
      </c>
      <c r="AV71" s="45">
        <v>42.103214287815696</v>
      </c>
      <c r="AW71" s="45">
        <v>0</v>
      </c>
      <c r="AX71" s="45">
        <v>463.13535716597261</v>
      </c>
      <c r="AY71" s="45">
        <v>9.2306725070733666</v>
      </c>
      <c r="AZ71" s="199">
        <v>50.173522764573967</v>
      </c>
      <c r="BA71" s="45">
        <v>352.38696754755102</v>
      </c>
      <c r="BB71" s="45">
        <v>129.32751032286149</v>
      </c>
      <c r="BC71" s="45">
        <v>48.171447787041252</v>
      </c>
      <c r="BD71" s="45">
        <v>0</v>
      </c>
      <c r="BE71" s="45">
        <v>529.88592565745375</v>
      </c>
      <c r="BF71" s="45">
        <v>46.512634408305047</v>
      </c>
      <c r="BG71" s="45">
        <v>-13.118239226385102</v>
      </c>
      <c r="BH71" s="199">
        <v>11.392300874767054</v>
      </c>
      <c r="BI71" s="45">
        <v>3.7337767885103803</v>
      </c>
      <c r="BJ71" s="45">
        <v>0.92444895578611774</v>
      </c>
      <c r="BK71" s="45">
        <v>7.7124451119252466</v>
      </c>
      <c r="BL71" s="45">
        <v>10.488008728519553</v>
      </c>
      <c r="BM71" s="45">
        <v>22.858679584741296</v>
      </c>
      <c r="BN71" s="45">
        <v>352.38696754755102</v>
      </c>
      <c r="BO71" s="45">
        <v>0</v>
      </c>
      <c r="BP71" s="45">
        <v>129.32751032286149</v>
      </c>
      <c r="BQ71" s="45">
        <v>0</v>
      </c>
      <c r="BR71" s="45">
        <v>0</v>
      </c>
      <c r="BS71" s="45">
        <v>0</v>
      </c>
      <c r="BT71" s="45">
        <v>0</v>
      </c>
      <c r="BU71" s="45">
        <v>0</v>
      </c>
      <c r="BV71" s="45">
        <v>0</v>
      </c>
      <c r="BW71" s="45">
        <v>48.171447787041252</v>
      </c>
      <c r="BX71" s="45">
        <v>228.24514416963473</v>
      </c>
      <c r="BY71" s="45"/>
      <c r="BZ71" s="45">
        <v>0</v>
      </c>
      <c r="CA71" s="45">
        <v>0</v>
      </c>
      <c r="CB71" s="45">
        <v>529.88592565745375</v>
      </c>
      <c r="CC71" s="45">
        <v>228.24514416963473</v>
      </c>
      <c r="CD71" s="199">
        <v>2.3215649453801115</v>
      </c>
      <c r="CE71" s="45">
        <v>5.0822146140596933</v>
      </c>
      <c r="CF71" s="45">
        <v>6.9798507549773587</v>
      </c>
      <c r="CG71" s="45">
        <v>0</v>
      </c>
      <c r="CH71" s="45">
        <v>6.9798507549773587</v>
      </c>
      <c r="CI71" s="45">
        <v>0.34899092251290081</v>
      </c>
      <c r="CJ71" s="45">
        <v>0</v>
      </c>
      <c r="CK71" s="45">
        <v>0.34899092251290081</v>
      </c>
      <c r="CL71" s="45"/>
      <c r="CM71" s="45">
        <v>0</v>
      </c>
      <c r="CN71" s="45"/>
      <c r="CO71" s="45">
        <v>0</v>
      </c>
      <c r="CP71" s="45">
        <v>0</v>
      </c>
      <c r="CQ71" s="45">
        <v>0</v>
      </c>
      <c r="CR71" s="45">
        <v>0</v>
      </c>
      <c r="CS71" s="45">
        <v>0</v>
      </c>
      <c r="CT71" s="45">
        <v>0</v>
      </c>
      <c r="CU71" s="45">
        <v>77.00917893992586</v>
      </c>
      <c r="CV71" s="45">
        <v>9999</v>
      </c>
      <c r="CW71" s="200">
        <v>0</v>
      </c>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row>
    <row r="72" spans="1:131">
      <c r="A72" s="24" t="s">
        <v>426</v>
      </c>
      <c r="B72" s="24" t="s">
        <v>621</v>
      </c>
      <c r="C72" s="45">
        <v>16.744186046511629</v>
      </c>
      <c r="D72" s="45">
        <v>1606.9202380952379</v>
      </c>
      <c r="E72" s="45">
        <v>0</v>
      </c>
      <c r="F72" s="45">
        <v>332.28218672874203</v>
      </c>
      <c r="G72" s="45">
        <v>0</v>
      </c>
      <c r="H72" s="45">
        <v>0</v>
      </c>
      <c r="I72" s="45" t="s">
        <v>369</v>
      </c>
      <c r="J72" s="45"/>
      <c r="K72" s="45"/>
      <c r="L72" s="45">
        <v>1818.1320336264869</v>
      </c>
      <c r="M72" s="45">
        <v>0.42497555289881439</v>
      </c>
      <c r="N72" s="45">
        <v>0.40320261185845763</v>
      </c>
      <c r="O72" s="45">
        <v>0</v>
      </c>
      <c r="P72" s="45">
        <v>0</v>
      </c>
      <c r="Q72" s="45">
        <v>0</v>
      </c>
      <c r="R72" s="45">
        <v>66.261506826024373</v>
      </c>
      <c r="S72" s="45">
        <v>16.405742566783498</v>
      </c>
      <c r="T72" s="45">
        <v>136.86898370618874</v>
      </c>
      <c r="U72" s="45">
        <v>186.12555096885092</v>
      </c>
      <c r="V72" s="45" t="s">
        <v>609</v>
      </c>
      <c r="W72" s="45" t="s">
        <v>609</v>
      </c>
      <c r="X72" s="45" t="s">
        <v>609</v>
      </c>
      <c r="Y72" s="45" t="s">
        <v>609</v>
      </c>
      <c r="Z72" s="45">
        <v>0</v>
      </c>
      <c r="AA72" s="45">
        <v>0</v>
      </c>
      <c r="AB72" s="45">
        <v>0</v>
      </c>
      <c r="AC72" s="45">
        <v>0</v>
      </c>
      <c r="AD72" s="45">
        <v>0</v>
      </c>
      <c r="AE72" s="45">
        <v>0</v>
      </c>
      <c r="AF72" s="45">
        <v>0</v>
      </c>
      <c r="AG72" s="45">
        <v>0</v>
      </c>
      <c r="AH72" s="45">
        <v>66.261506826024373</v>
      </c>
      <c r="AI72" s="45">
        <v>16.405742566783498</v>
      </c>
      <c r="AJ72" s="45">
        <v>136.86898370618874</v>
      </c>
      <c r="AK72" s="45">
        <v>186.12555096885092</v>
      </c>
      <c r="AL72" s="45">
        <v>405.66178406784752</v>
      </c>
      <c r="AM72" s="45">
        <v>872.01656686595436</v>
      </c>
      <c r="AN72" s="45">
        <v>150.1644677657271</v>
      </c>
      <c r="AO72" s="45">
        <v>102.21810346316815</v>
      </c>
      <c r="AP72" s="45">
        <v>0</v>
      </c>
      <c r="AQ72" s="45">
        <v>1124.3991380948496</v>
      </c>
      <c r="AR72" s="45">
        <v>66.261506826024373</v>
      </c>
      <c r="AS72" s="199">
        <v>16.969115131158457</v>
      </c>
      <c r="AT72" s="45">
        <v>872.01656686595436</v>
      </c>
      <c r="AU72" s="45">
        <v>169.86930742729305</v>
      </c>
      <c r="AV72" s="45">
        <v>104.18858742932474</v>
      </c>
      <c r="AW72" s="45">
        <v>0</v>
      </c>
      <c r="AX72" s="45">
        <v>1146.0744617225723</v>
      </c>
      <c r="AY72" s="45">
        <v>16.405742566783498</v>
      </c>
      <c r="AZ72" s="199">
        <v>69.858127851098615</v>
      </c>
      <c r="BA72" s="45">
        <v>872.01656686595436</v>
      </c>
      <c r="BB72" s="45">
        <v>320.03377519302012</v>
      </c>
      <c r="BC72" s="45">
        <v>119.20503420589746</v>
      </c>
      <c r="BD72" s="45">
        <v>0</v>
      </c>
      <c r="BE72" s="45">
        <v>1311.255376264872</v>
      </c>
      <c r="BF72" s="45">
        <v>82.667249392807875</v>
      </c>
      <c r="BG72" s="45">
        <v>-14.430832864391062</v>
      </c>
      <c r="BH72" s="199">
        <v>15.861848384893188</v>
      </c>
      <c r="BI72" s="45">
        <v>2.6816741366941352</v>
      </c>
      <c r="BJ72" s="45">
        <v>0.6639579695964033</v>
      </c>
      <c r="BK72" s="45">
        <v>5.5392343353161149</v>
      </c>
      <c r="BL72" s="45">
        <v>7.5327003583184391</v>
      </c>
      <c r="BM72" s="45">
        <v>16.417566799925094</v>
      </c>
      <c r="BN72" s="45">
        <v>872.01656686595436</v>
      </c>
      <c r="BO72" s="45">
        <v>0</v>
      </c>
      <c r="BP72" s="45">
        <v>320.03377519302012</v>
      </c>
      <c r="BQ72" s="45">
        <v>0</v>
      </c>
      <c r="BR72" s="45">
        <v>0</v>
      </c>
      <c r="BS72" s="45">
        <v>0</v>
      </c>
      <c r="BT72" s="45">
        <v>0</v>
      </c>
      <c r="BU72" s="45">
        <v>0</v>
      </c>
      <c r="BV72" s="45">
        <v>0</v>
      </c>
      <c r="BW72" s="45">
        <v>119.20503420589746</v>
      </c>
      <c r="BX72" s="45">
        <v>405.66178406784752</v>
      </c>
      <c r="BY72" s="45"/>
      <c r="BZ72" s="45">
        <v>0</v>
      </c>
      <c r="CA72" s="45">
        <v>0</v>
      </c>
      <c r="CB72" s="45">
        <v>1311.255376264872</v>
      </c>
      <c r="CC72" s="45">
        <v>405.66178406784752</v>
      </c>
      <c r="CD72" s="199">
        <v>3.232385765097268</v>
      </c>
      <c r="CE72" s="45">
        <v>-1.35889817075651</v>
      </c>
      <c r="CF72" s="45">
        <v>17.27233426068965</v>
      </c>
      <c r="CG72" s="45">
        <v>0</v>
      </c>
      <c r="CH72" s="45">
        <v>17.27233426068965</v>
      </c>
      <c r="CI72" s="45">
        <v>0.86361271597258116</v>
      </c>
      <c r="CJ72" s="45">
        <v>0</v>
      </c>
      <c r="CK72" s="45">
        <v>0.86361271597258116</v>
      </c>
      <c r="CL72" s="45"/>
      <c r="CM72" s="45">
        <v>0</v>
      </c>
      <c r="CN72" s="45"/>
      <c r="CO72" s="45">
        <v>0</v>
      </c>
      <c r="CP72" s="45">
        <v>0</v>
      </c>
      <c r="CQ72" s="45">
        <v>0</v>
      </c>
      <c r="CR72" s="45">
        <v>0</v>
      </c>
      <c r="CS72" s="45">
        <v>0</v>
      </c>
      <c r="CT72" s="45">
        <v>0</v>
      </c>
      <c r="CU72" s="45">
        <v>136.86898370618874</v>
      </c>
      <c r="CV72" s="45">
        <v>9999</v>
      </c>
      <c r="CW72" s="200">
        <v>0</v>
      </c>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row>
    <row r="73" spans="1:131">
      <c r="A73" s="24" t="s">
        <v>436</v>
      </c>
      <c r="B73" s="24" t="s">
        <v>622</v>
      </c>
      <c r="C73" s="45">
        <v>16.744186046511629</v>
      </c>
      <c r="D73" s="45">
        <v>649.36581632653053</v>
      </c>
      <c r="E73" s="45">
        <v>0</v>
      </c>
      <c r="F73" s="45">
        <v>228.79070335550873</v>
      </c>
      <c r="G73" s="45">
        <v>0</v>
      </c>
      <c r="H73" s="45">
        <v>0</v>
      </c>
      <c r="I73" s="45" t="s">
        <v>369</v>
      </c>
      <c r="J73" s="45"/>
      <c r="K73" s="45"/>
      <c r="L73" s="45">
        <v>734.71773160610712</v>
      </c>
      <c r="M73" s="45">
        <v>0.17173509318301433</v>
      </c>
      <c r="N73" s="45">
        <v>0.16293652104650316</v>
      </c>
      <c r="O73" s="45">
        <v>0</v>
      </c>
      <c r="P73" s="45">
        <v>0</v>
      </c>
      <c r="Q73" s="45">
        <v>0</v>
      </c>
      <c r="R73" s="45">
        <v>45.623922550196198</v>
      </c>
      <c r="S73" s="45">
        <v>11.296065605791723</v>
      </c>
      <c r="T73" s="45">
        <v>94.240234055206827</v>
      </c>
      <c r="U73" s="45">
        <v>128.15551786818534</v>
      </c>
      <c r="V73" s="45" t="s">
        <v>609</v>
      </c>
      <c r="W73" s="45" t="s">
        <v>609</v>
      </c>
      <c r="X73" s="45" t="s">
        <v>609</v>
      </c>
      <c r="Y73" s="45" t="s">
        <v>609</v>
      </c>
      <c r="Z73" s="45">
        <v>0</v>
      </c>
      <c r="AA73" s="45">
        <v>0</v>
      </c>
      <c r="AB73" s="45">
        <v>0</v>
      </c>
      <c r="AC73" s="45">
        <v>0</v>
      </c>
      <c r="AD73" s="45">
        <v>0</v>
      </c>
      <c r="AE73" s="45">
        <v>0</v>
      </c>
      <c r="AF73" s="45">
        <v>0</v>
      </c>
      <c r="AG73" s="45">
        <v>0</v>
      </c>
      <c r="AH73" s="45">
        <v>45.623922550196198</v>
      </c>
      <c r="AI73" s="45">
        <v>11.296065605791723</v>
      </c>
      <c r="AJ73" s="45">
        <v>94.240234055206827</v>
      </c>
      <c r="AK73" s="45">
        <v>128.15551786818534</v>
      </c>
      <c r="AL73" s="45">
        <v>279.31574007938013</v>
      </c>
      <c r="AM73" s="45">
        <v>352.38696754755102</v>
      </c>
      <c r="AN73" s="45">
        <v>60.682334992255591</v>
      </c>
      <c r="AO73" s="45">
        <v>41.306930253980667</v>
      </c>
      <c r="AP73" s="45">
        <v>0</v>
      </c>
      <c r="AQ73" s="45">
        <v>454.37623279378727</v>
      </c>
      <c r="AR73" s="45">
        <v>45.623922550196198</v>
      </c>
      <c r="AS73" s="199">
        <v>9.9591663188073092</v>
      </c>
      <c r="AT73" s="45">
        <v>352.38696754755102</v>
      </c>
      <c r="AU73" s="45">
        <v>68.645175330605881</v>
      </c>
      <c r="AV73" s="45">
        <v>42.103214287815696</v>
      </c>
      <c r="AW73" s="45">
        <v>0</v>
      </c>
      <c r="AX73" s="45">
        <v>463.13535716597261</v>
      </c>
      <c r="AY73" s="45">
        <v>11.296065605791723</v>
      </c>
      <c r="AZ73" s="199">
        <v>40.999704970597342</v>
      </c>
      <c r="BA73" s="45">
        <v>352.38696754755102</v>
      </c>
      <c r="BB73" s="45">
        <v>129.32751032286149</v>
      </c>
      <c r="BC73" s="45">
        <v>48.171447787041252</v>
      </c>
      <c r="BD73" s="45">
        <v>0</v>
      </c>
      <c r="BE73" s="45">
        <v>529.88592565745375</v>
      </c>
      <c r="BF73" s="45">
        <v>56.919988155987923</v>
      </c>
      <c r="BG73" s="45">
        <v>-12.075946013494098</v>
      </c>
      <c r="BH73" s="199">
        <v>9.3093119451345192</v>
      </c>
      <c r="BI73" s="45">
        <v>4.569221530508834</v>
      </c>
      <c r="BJ73" s="45">
        <v>1.1312974266786688</v>
      </c>
      <c r="BK73" s="45">
        <v>9.4381298760860517</v>
      </c>
      <c r="BL73" s="45">
        <v>12.834734910234147</v>
      </c>
      <c r="BM73" s="45">
        <v>27.973383743507704</v>
      </c>
      <c r="BN73" s="45">
        <v>352.38696754755102</v>
      </c>
      <c r="BO73" s="45">
        <v>0</v>
      </c>
      <c r="BP73" s="45">
        <v>129.32751032286149</v>
      </c>
      <c r="BQ73" s="45">
        <v>0</v>
      </c>
      <c r="BR73" s="45">
        <v>0</v>
      </c>
      <c r="BS73" s="45">
        <v>0</v>
      </c>
      <c r="BT73" s="45">
        <v>0</v>
      </c>
      <c r="BU73" s="45">
        <v>0</v>
      </c>
      <c r="BV73" s="45">
        <v>0</v>
      </c>
      <c r="BW73" s="45">
        <v>48.171447787041252</v>
      </c>
      <c r="BX73" s="45">
        <v>279.31574007938013</v>
      </c>
      <c r="BY73" s="45"/>
      <c r="BZ73" s="45">
        <v>0</v>
      </c>
      <c r="CA73" s="45">
        <v>0</v>
      </c>
      <c r="CB73" s="45">
        <v>529.88592565745375</v>
      </c>
      <c r="CC73" s="45">
        <v>279.31574007938013</v>
      </c>
      <c r="CD73" s="199">
        <v>1.8970858051424628</v>
      </c>
      <c r="CE73" s="45">
        <v>10.196918772826104</v>
      </c>
      <c r="CF73" s="45">
        <v>6.9798507549773587</v>
      </c>
      <c r="CG73" s="45">
        <v>0</v>
      </c>
      <c r="CH73" s="45">
        <v>6.9798507549773587</v>
      </c>
      <c r="CI73" s="45">
        <v>0.34899092251290081</v>
      </c>
      <c r="CJ73" s="45">
        <v>0</v>
      </c>
      <c r="CK73" s="45">
        <v>0.34899092251290081</v>
      </c>
      <c r="CL73" s="45"/>
      <c r="CM73" s="45">
        <v>0</v>
      </c>
      <c r="CN73" s="45"/>
      <c r="CO73" s="45">
        <v>0</v>
      </c>
      <c r="CP73" s="45">
        <v>0</v>
      </c>
      <c r="CQ73" s="45">
        <v>0</v>
      </c>
      <c r="CR73" s="45">
        <v>0</v>
      </c>
      <c r="CS73" s="45">
        <v>0</v>
      </c>
      <c r="CT73" s="45">
        <v>0</v>
      </c>
      <c r="CU73" s="45">
        <v>94.240234055206827</v>
      </c>
      <c r="CV73" s="45">
        <v>9999</v>
      </c>
      <c r="CW73" s="200">
        <v>0</v>
      </c>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row>
    <row r="74" spans="1:131">
      <c r="A74" s="24" t="s">
        <v>427</v>
      </c>
      <c r="B74" s="24" t="s">
        <v>623</v>
      </c>
      <c r="C74" s="45">
        <v>16.744186046511629</v>
      </c>
      <c r="D74" s="45">
        <v>1606.9202380952379</v>
      </c>
      <c r="E74" s="45">
        <v>0</v>
      </c>
      <c r="F74" s="45">
        <v>371.54658006207535</v>
      </c>
      <c r="G74" s="45">
        <v>0</v>
      </c>
      <c r="H74" s="45">
        <v>0</v>
      </c>
      <c r="I74" s="45" t="s">
        <v>369</v>
      </c>
      <c r="J74" s="45"/>
      <c r="K74" s="45"/>
      <c r="L74" s="45">
        <v>1818.1320336264869</v>
      </c>
      <c r="M74" s="45">
        <v>0.42497555289881439</v>
      </c>
      <c r="N74" s="45">
        <v>0.40320261185845763</v>
      </c>
      <c r="O74" s="45">
        <v>0</v>
      </c>
      <c r="P74" s="45">
        <v>0</v>
      </c>
      <c r="Q74" s="45">
        <v>0</v>
      </c>
      <c r="R74" s="45">
        <v>74.091351370174664</v>
      </c>
      <c r="S74" s="45">
        <v>18.344340405594089</v>
      </c>
      <c r="T74" s="45">
        <v>153.04221786080956</v>
      </c>
      <c r="U74" s="45">
        <v>208.11922723110064</v>
      </c>
      <c r="V74" s="45" t="s">
        <v>609</v>
      </c>
      <c r="W74" s="45" t="s">
        <v>609</v>
      </c>
      <c r="X74" s="45" t="s">
        <v>609</v>
      </c>
      <c r="Y74" s="45" t="s">
        <v>609</v>
      </c>
      <c r="Z74" s="45">
        <v>0</v>
      </c>
      <c r="AA74" s="45">
        <v>0</v>
      </c>
      <c r="AB74" s="45">
        <v>0</v>
      </c>
      <c r="AC74" s="45">
        <v>0</v>
      </c>
      <c r="AD74" s="45">
        <v>0</v>
      </c>
      <c r="AE74" s="45">
        <v>0</v>
      </c>
      <c r="AF74" s="45">
        <v>0</v>
      </c>
      <c r="AG74" s="45">
        <v>0</v>
      </c>
      <c r="AH74" s="45">
        <v>74.091351370174664</v>
      </c>
      <c r="AI74" s="45">
        <v>18.344340405594089</v>
      </c>
      <c r="AJ74" s="45">
        <v>153.04221786080956</v>
      </c>
      <c r="AK74" s="45">
        <v>208.11922723110064</v>
      </c>
      <c r="AL74" s="45">
        <v>453.59713686767896</v>
      </c>
      <c r="AM74" s="45">
        <v>872.01656686595436</v>
      </c>
      <c r="AN74" s="45">
        <v>150.1644677657271</v>
      </c>
      <c r="AO74" s="45">
        <v>102.21810346316815</v>
      </c>
      <c r="AP74" s="45">
        <v>0</v>
      </c>
      <c r="AQ74" s="45">
        <v>1124.3991380948496</v>
      </c>
      <c r="AR74" s="45">
        <v>74.091351370174664</v>
      </c>
      <c r="AS74" s="199">
        <v>15.17584869625518</v>
      </c>
      <c r="AT74" s="45">
        <v>872.01656686595436</v>
      </c>
      <c r="AU74" s="45">
        <v>169.86930742729305</v>
      </c>
      <c r="AV74" s="45">
        <v>104.18858742932474</v>
      </c>
      <c r="AW74" s="45">
        <v>0</v>
      </c>
      <c r="AX74" s="45">
        <v>1146.0744617225723</v>
      </c>
      <c r="AY74" s="45">
        <v>18.344340405594089</v>
      </c>
      <c r="AZ74" s="199">
        <v>62.475642971228226</v>
      </c>
      <c r="BA74" s="45">
        <v>872.01656686595436</v>
      </c>
      <c r="BB74" s="45">
        <v>320.03377519302012</v>
      </c>
      <c r="BC74" s="45">
        <v>119.20503420589746</v>
      </c>
      <c r="BD74" s="45">
        <v>0</v>
      </c>
      <c r="BE74" s="45">
        <v>1311.255376264872</v>
      </c>
      <c r="BF74" s="45">
        <v>92.43569177576876</v>
      </c>
      <c r="BG74" s="45">
        <v>-14.035493540717779</v>
      </c>
      <c r="BH74" s="199">
        <v>14.185595964876054</v>
      </c>
      <c r="BI74" s="45">
        <v>2.9985563299034341</v>
      </c>
      <c r="BJ74" s="45">
        <v>0.74241510006038647</v>
      </c>
      <c r="BK74" s="45">
        <v>6.1937824404930817</v>
      </c>
      <c r="BL74" s="45">
        <v>8.4228079883509999</v>
      </c>
      <c r="BM74" s="45">
        <v>18.357561858807902</v>
      </c>
      <c r="BN74" s="45">
        <v>872.01656686595436</v>
      </c>
      <c r="BO74" s="45">
        <v>0</v>
      </c>
      <c r="BP74" s="45">
        <v>320.03377519302012</v>
      </c>
      <c r="BQ74" s="45">
        <v>0</v>
      </c>
      <c r="BR74" s="45">
        <v>0</v>
      </c>
      <c r="BS74" s="45">
        <v>0</v>
      </c>
      <c r="BT74" s="45">
        <v>0</v>
      </c>
      <c r="BU74" s="45">
        <v>0</v>
      </c>
      <c r="BV74" s="45">
        <v>0</v>
      </c>
      <c r="BW74" s="45">
        <v>119.20503420589746</v>
      </c>
      <c r="BX74" s="45">
        <v>453.59713686767896</v>
      </c>
      <c r="BY74" s="45"/>
      <c r="BZ74" s="45">
        <v>0</v>
      </c>
      <c r="CA74" s="45">
        <v>0</v>
      </c>
      <c r="CB74" s="45">
        <v>1311.255376264872</v>
      </c>
      <c r="CC74" s="45">
        <v>453.59713686767896</v>
      </c>
      <c r="CD74" s="199">
        <v>2.890792885774728</v>
      </c>
      <c r="CE74" s="45">
        <v>0.58109688812629812</v>
      </c>
      <c r="CF74" s="45">
        <v>17.27233426068965</v>
      </c>
      <c r="CG74" s="45">
        <v>0</v>
      </c>
      <c r="CH74" s="45">
        <v>17.27233426068965</v>
      </c>
      <c r="CI74" s="45">
        <v>0.86361271597258116</v>
      </c>
      <c r="CJ74" s="45">
        <v>0</v>
      </c>
      <c r="CK74" s="45">
        <v>0.86361271597258116</v>
      </c>
      <c r="CL74" s="45"/>
      <c r="CM74" s="45">
        <v>0</v>
      </c>
      <c r="CN74" s="45"/>
      <c r="CO74" s="45">
        <v>0</v>
      </c>
      <c r="CP74" s="45">
        <v>0</v>
      </c>
      <c r="CQ74" s="45">
        <v>0</v>
      </c>
      <c r="CR74" s="45">
        <v>0</v>
      </c>
      <c r="CS74" s="45">
        <v>0</v>
      </c>
      <c r="CT74" s="45">
        <v>0</v>
      </c>
      <c r="CU74" s="45">
        <v>153.04221786080956</v>
      </c>
      <c r="CV74" s="45">
        <v>9999</v>
      </c>
      <c r="CW74" s="200">
        <v>0</v>
      </c>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row>
    <row r="75" spans="1:131">
      <c r="A75" s="24" t="s">
        <v>415</v>
      </c>
      <c r="B75" s="24" t="s">
        <v>624</v>
      </c>
      <c r="C75" s="45">
        <v>16.744186046511629</v>
      </c>
      <c r="D75" s="45">
        <v>647.87397959183659</v>
      </c>
      <c r="E75" s="45">
        <v>0</v>
      </c>
      <c r="F75" s="45">
        <v>6.6707622506870052</v>
      </c>
      <c r="G75" s="45">
        <v>0</v>
      </c>
      <c r="H75" s="45">
        <v>0</v>
      </c>
      <c r="I75" s="45" t="s">
        <v>369</v>
      </c>
      <c r="J75" s="45"/>
      <c r="K75" s="45"/>
      <c r="L75" s="45">
        <v>733.02980952261714</v>
      </c>
      <c r="M75" s="45">
        <v>0.17134055328854339</v>
      </c>
      <c r="N75" s="45">
        <v>0.16256219477091402</v>
      </c>
      <c r="O75" s="45">
        <v>0</v>
      </c>
      <c r="P75" s="45">
        <v>0</v>
      </c>
      <c r="Q75" s="45">
        <v>0</v>
      </c>
      <c r="R75" s="45">
        <v>1.3302391041790051</v>
      </c>
      <c r="S75" s="45">
        <v>0.32935502587843651</v>
      </c>
      <c r="T75" s="45">
        <v>2.7477261383935736</v>
      </c>
      <c r="U75" s="45">
        <v>3.736580981107207</v>
      </c>
      <c r="V75" s="45" t="s">
        <v>609</v>
      </c>
      <c r="W75" s="45" t="s">
        <v>609</v>
      </c>
      <c r="X75" s="45" t="s">
        <v>609</v>
      </c>
      <c r="Y75" s="45" t="s">
        <v>609</v>
      </c>
      <c r="Z75" s="45">
        <v>0</v>
      </c>
      <c r="AA75" s="45">
        <v>0</v>
      </c>
      <c r="AB75" s="45">
        <v>0</v>
      </c>
      <c r="AC75" s="45">
        <v>0</v>
      </c>
      <c r="AD75" s="45">
        <v>0</v>
      </c>
      <c r="AE75" s="45">
        <v>0</v>
      </c>
      <c r="AF75" s="45">
        <v>0</v>
      </c>
      <c r="AG75" s="45">
        <v>0</v>
      </c>
      <c r="AH75" s="45">
        <v>1.3302391041790051</v>
      </c>
      <c r="AI75" s="45">
        <v>0.32935502587843651</v>
      </c>
      <c r="AJ75" s="45">
        <v>2.7477261383935736</v>
      </c>
      <c r="AK75" s="45">
        <v>3.736580981107207</v>
      </c>
      <c r="AL75" s="45">
        <v>8.1439012495582226</v>
      </c>
      <c r="AM75" s="45">
        <v>351.5774025692325</v>
      </c>
      <c r="AN75" s="45">
        <v>60.542924918284392</v>
      </c>
      <c r="AO75" s="45">
        <v>41.212032748751689</v>
      </c>
      <c r="AP75" s="45">
        <v>0</v>
      </c>
      <c r="AQ75" s="45">
        <v>453.33236023626858</v>
      </c>
      <c r="AR75" s="45">
        <v>1.3302391041790051</v>
      </c>
      <c r="AS75" s="199">
        <v>340.79013224923614</v>
      </c>
      <c r="AT75" s="45">
        <v>351.5774025692325</v>
      </c>
      <c r="AU75" s="45">
        <v>68.487471627018536</v>
      </c>
      <c r="AV75" s="45">
        <v>42.00648741962511</v>
      </c>
      <c r="AW75" s="45">
        <v>0</v>
      </c>
      <c r="AX75" s="45">
        <v>462.07136161587613</v>
      </c>
      <c r="AY75" s="45">
        <v>0.32935502587843651</v>
      </c>
      <c r="AZ75" s="199">
        <v>1402.9582830365694</v>
      </c>
      <c r="BA75" s="45">
        <v>351.5774025692325</v>
      </c>
      <c r="BB75" s="45">
        <v>129.03039654530292</v>
      </c>
      <c r="BC75" s="45">
        <v>48.060779911453544</v>
      </c>
      <c r="BD75" s="45">
        <v>0</v>
      </c>
      <c r="BE75" s="45">
        <v>528.66857902598895</v>
      </c>
      <c r="BF75" s="45">
        <v>1.6595941300574417</v>
      </c>
      <c r="BG75" s="45">
        <v>-17.609874418239706</v>
      </c>
      <c r="BH75" s="199">
        <v>318.55293378730539</v>
      </c>
      <c r="BI75" s="45">
        <v>0.13352979697350001</v>
      </c>
      <c r="BJ75" s="45">
        <v>3.3060755468387902E-2</v>
      </c>
      <c r="BK75" s="45">
        <v>0.27581756711694166</v>
      </c>
      <c r="BL75" s="45">
        <v>0.37507911037559283</v>
      </c>
      <c r="BM75" s="45">
        <v>0.81748722993442247</v>
      </c>
      <c r="BN75" s="45">
        <v>351.5774025692325</v>
      </c>
      <c r="BO75" s="45">
        <v>0</v>
      </c>
      <c r="BP75" s="45">
        <v>129.03039654530292</v>
      </c>
      <c r="BQ75" s="45">
        <v>0</v>
      </c>
      <c r="BR75" s="45">
        <v>0</v>
      </c>
      <c r="BS75" s="45">
        <v>0</v>
      </c>
      <c r="BT75" s="45">
        <v>0</v>
      </c>
      <c r="BU75" s="45">
        <v>0</v>
      </c>
      <c r="BV75" s="45">
        <v>0</v>
      </c>
      <c r="BW75" s="45">
        <v>48.060779911453544</v>
      </c>
      <c r="BX75" s="45">
        <v>8.1439012495582226</v>
      </c>
      <c r="BY75" s="45"/>
      <c r="BZ75" s="45">
        <v>0</v>
      </c>
      <c r="CA75" s="45">
        <v>0</v>
      </c>
      <c r="CB75" s="45">
        <v>528.66857902598895</v>
      </c>
      <c r="CC75" s="45">
        <v>8.1439012495582226</v>
      </c>
      <c r="CD75" s="199">
        <v>64.915887708568093</v>
      </c>
      <c r="CE75" s="45">
        <v>-16.958977740747173</v>
      </c>
      <c r="CF75" s="45">
        <v>6.9638154209681566</v>
      </c>
      <c r="CG75" s="45">
        <v>0</v>
      </c>
      <c r="CH75" s="45">
        <v>6.9638154209681566</v>
      </c>
      <c r="CI75" s="45">
        <v>0.34818915952324303</v>
      </c>
      <c r="CJ75" s="45">
        <v>0</v>
      </c>
      <c r="CK75" s="45">
        <v>0.34818915952324303</v>
      </c>
      <c r="CL75" s="45"/>
      <c r="CM75" s="45">
        <v>0</v>
      </c>
      <c r="CN75" s="45"/>
      <c r="CO75" s="45">
        <v>0</v>
      </c>
      <c r="CP75" s="45">
        <v>0</v>
      </c>
      <c r="CQ75" s="45">
        <v>0</v>
      </c>
      <c r="CR75" s="45">
        <v>0</v>
      </c>
      <c r="CS75" s="45">
        <v>0</v>
      </c>
      <c r="CT75" s="45">
        <v>0</v>
      </c>
      <c r="CU75" s="45">
        <v>2.7477261383935736</v>
      </c>
      <c r="CV75" s="45">
        <v>9999</v>
      </c>
      <c r="CW75" s="200">
        <v>0</v>
      </c>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row>
    <row r="76" spans="1:131">
      <c r="A76" s="24" t="s">
        <v>421</v>
      </c>
      <c r="B76" s="24" t="s">
        <v>625</v>
      </c>
      <c r="C76" s="45">
        <v>6.6762790697674417</v>
      </c>
      <c r="D76" s="45">
        <v>68.226666666666659</v>
      </c>
      <c r="E76" s="45">
        <v>0</v>
      </c>
      <c r="F76" s="45">
        <v>4.0008899869194874</v>
      </c>
      <c r="G76" s="45">
        <v>0</v>
      </c>
      <c r="H76" s="45">
        <v>0</v>
      </c>
      <c r="I76" s="45" t="s">
        <v>369</v>
      </c>
      <c r="J76" s="45"/>
      <c r="K76" s="45"/>
      <c r="L76" s="45">
        <v>77.194303284934591</v>
      </c>
      <c r="M76" s="45">
        <v>1.8043624507137073E-2</v>
      </c>
      <c r="N76" s="45">
        <v>1.7119188336942193E-2</v>
      </c>
      <c r="O76" s="45">
        <v>0</v>
      </c>
      <c r="P76" s="45">
        <v>0</v>
      </c>
      <c r="Q76" s="45">
        <v>0</v>
      </c>
      <c r="R76" s="45">
        <v>0.79783090928932687</v>
      </c>
      <c r="S76" s="45">
        <v>0.1975356302112157</v>
      </c>
      <c r="T76" s="45">
        <v>1.6479900768107303</v>
      </c>
      <c r="U76" s="45">
        <v>7.9972084671416068</v>
      </c>
      <c r="V76" s="45" t="s">
        <v>609</v>
      </c>
      <c r="W76" s="45" t="s">
        <v>609</v>
      </c>
      <c r="X76" s="45" t="s">
        <v>609</v>
      </c>
      <c r="Y76" s="45" t="s">
        <v>609</v>
      </c>
      <c r="Z76" s="45">
        <v>0</v>
      </c>
      <c r="AA76" s="45">
        <v>0</v>
      </c>
      <c r="AB76" s="45">
        <v>0</v>
      </c>
      <c r="AC76" s="45">
        <v>0</v>
      </c>
      <c r="AD76" s="45">
        <v>0</v>
      </c>
      <c r="AE76" s="45">
        <v>0</v>
      </c>
      <c r="AF76" s="45">
        <v>0</v>
      </c>
      <c r="AG76" s="45">
        <v>0</v>
      </c>
      <c r="AH76" s="45">
        <v>0.79783090928932687</v>
      </c>
      <c r="AI76" s="45">
        <v>0.1975356302112157</v>
      </c>
      <c r="AJ76" s="45">
        <v>1.6479900768107303</v>
      </c>
      <c r="AK76" s="45">
        <v>7.9972084671416068</v>
      </c>
      <c r="AL76" s="45">
        <v>10.640565083452881</v>
      </c>
      <c r="AM76" s="45">
        <v>37.024105008408256</v>
      </c>
      <c r="AN76" s="45">
        <v>6.3756873829492875</v>
      </c>
      <c r="AO76" s="45">
        <v>4.3399792391357543</v>
      </c>
      <c r="AP76" s="45">
        <v>0</v>
      </c>
      <c r="AQ76" s="45">
        <v>47.739771630493294</v>
      </c>
      <c r="AR76" s="45">
        <v>0.79783090928932687</v>
      </c>
      <c r="AS76" s="199">
        <v>59.836954265181092</v>
      </c>
      <c r="AT76" s="45">
        <v>37.024105008408256</v>
      </c>
      <c r="AU76" s="45">
        <v>7.2123160440602803</v>
      </c>
      <c r="AV76" s="45">
        <v>4.423642105246854</v>
      </c>
      <c r="AW76" s="45">
        <v>0</v>
      </c>
      <c r="AX76" s="45">
        <v>48.660063157715392</v>
      </c>
      <c r="AY76" s="45">
        <v>0.1975356302112157</v>
      </c>
      <c r="AZ76" s="199">
        <v>246.33562616367203</v>
      </c>
      <c r="BA76" s="45">
        <v>37.024105008408256</v>
      </c>
      <c r="BB76" s="45">
        <v>13.588003427009568</v>
      </c>
      <c r="BC76" s="45">
        <v>5.0612108435417831</v>
      </c>
      <c r="BD76" s="45">
        <v>0</v>
      </c>
      <c r="BE76" s="45">
        <v>55.67331927895961</v>
      </c>
      <c r="BF76" s="45">
        <v>0.99536653950054255</v>
      </c>
      <c r="BG76" s="45">
        <v>-16.827679774387281</v>
      </c>
      <c r="BH76" s="199">
        <v>55.932480216680283</v>
      </c>
      <c r="BI76" s="45">
        <v>0.76049387420596526</v>
      </c>
      <c r="BJ76" s="45">
        <v>0.18829132208835822</v>
      </c>
      <c r="BK76" s="45">
        <v>1.5708671393580773</v>
      </c>
      <c r="BL76" s="45">
        <v>7.6229536599762699</v>
      </c>
      <c r="BM76" s="45">
        <v>10.142605995628671</v>
      </c>
      <c r="BN76" s="45">
        <v>37.024105008408256</v>
      </c>
      <c r="BO76" s="45">
        <v>0</v>
      </c>
      <c r="BP76" s="45">
        <v>13.588003427009568</v>
      </c>
      <c r="BQ76" s="45">
        <v>0</v>
      </c>
      <c r="BR76" s="45">
        <v>0</v>
      </c>
      <c r="BS76" s="45">
        <v>0</v>
      </c>
      <c r="BT76" s="45">
        <v>0</v>
      </c>
      <c r="BU76" s="45">
        <v>0</v>
      </c>
      <c r="BV76" s="45">
        <v>0</v>
      </c>
      <c r="BW76" s="45">
        <v>5.0612108435417831</v>
      </c>
      <c r="BX76" s="45">
        <v>10.640565083452881</v>
      </c>
      <c r="BY76" s="45"/>
      <c r="BZ76" s="45">
        <v>0</v>
      </c>
      <c r="CA76" s="45">
        <v>0</v>
      </c>
      <c r="CB76" s="45">
        <v>55.673319278959603</v>
      </c>
      <c r="CC76" s="45">
        <v>10.640565083452881</v>
      </c>
      <c r="CD76" s="199">
        <v>5.2321769419499216</v>
      </c>
      <c r="CE76" s="45">
        <v>-7.6338589750529326</v>
      </c>
      <c r="CF76" s="45">
        <v>0.73334927535431171</v>
      </c>
      <c r="CG76" s="45">
        <v>0</v>
      </c>
      <c r="CH76" s="45">
        <v>0.73334927535431171</v>
      </c>
      <c r="CI76" s="45">
        <v>3.666729406034392E-2</v>
      </c>
      <c r="CJ76" s="45">
        <v>0</v>
      </c>
      <c r="CK76" s="45">
        <v>3.666729406034392E-2</v>
      </c>
      <c r="CL76" s="45"/>
      <c r="CM76" s="45">
        <v>0</v>
      </c>
      <c r="CN76" s="45"/>
      <c r="CO76" s="45">
        <v>0</v>
      </c>
      <c r="CP76" s="45">
        <v>0</v>
      </c>
      <c r="CQ76" s="45">
        <v>0</v>
      </c>
      <c r="CR76" s="45">
        <v>0</v>
      </c>
      <c r="CS76" s="45">
        <v>0</v>
      </c>
      <c r="CT76" s="45">
        <v>0</v>
      </c>
      <c r="CU76" s="45">
        <v>1.6479900768107303</v>
      </c>
      <c r="CV76" s="45">
        <v>9999</v>
      </c>
      <c r="CW76" s="200">
        <v>0</v>
      </c>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row>
    <row r="77" spans="1:131">
      <c r="A77" s="24" t="s">
        <v>417</v>
      </c>
      <c r="B77" s="24" t="s">
        <v>626</v>
      </c>
      <c r="C77" s="45">
        <v>6.6762790697674417</v>
      </c>
      <c r="D77" s="45">
        <v>278.92666666666668</v>
      </c>
      <c r="E77" s="45">
        <v>0</v>
      </c>
      <c r="F77" s="45">
        <v>4.7789999869194872</v>
      </c>
      <c r="G77" s="45">
        <v>0</v>
      </c>
      <c r="H77" s="45">
        <v>0</v>
      </c>
      <c r="I77" s="45" t="s">
        <v>369</v>
      </c>
      <c r="J77" s="45"/>
      <c r="K77" s="45"/>
      <c r="L77" s="45">
        <v>315.58847519429145</v>
      </c>
      <c r="M77" s="45">
        <v>7.3766582543883921E-2</v>
      </c>
      <c r="N77" s="45">
        <v>6.9987269965734261E-2</v>
      </c>
      <c r="O77" s="45">
        <v>0</v>
      </c>
      <c r="P77" s="45">
        <v>0</v>
      </c>
      <c r="Q77" s="45">
        <v>0</v>
      </c>
      <c r="R77" s="45">
        <v>0.9529964376734521</v>
      </c>
      <c r="S77" s="45">
        <v>0.23595319473465187</v>
      </c>
      <c r="T77" s="45">
        <v>1.9684981544783511</v>
      </c>
      <c r="U77" s="45">
        <v>9.5525393811912522</v>
      </c>
      <c r="V77" s="45" t="s">
        <v>609</v>
      </c>
      <c r="W77" s="45" t="s">
        <v>609</v>
      </c>
      <c r="X77" s="45" t="s">
        <v>609</v>
      </c>
      <c r="Y77" s="45" t="s">
        <v>609</v>
      </c>
      <c r="Z77" s="45">
        <v>0</v>
      </c>
      <c r="AA77" s="45">
        <v>0</v>
      </c>
      <c r="AB77" s="45">
        <v>0</v>
      </c>
      <c r="AC77" s="45">
        <v>0</v>
      </c>
      <c r="AD77" s="45">
        <v>0</v>
      </c>
      <c r="AE77" s="45">
        <v>0</v>
      </c>
      <c r="AF77" s="45">
        <v>0</v>
      </c>
      <c r="AG77" s="45">
        <v>0</v>
      </c>
      <c r="AH77" s="45">
        <v>0.9529964376734521</v>
      </c>
      <c r="AI77" s="45">
        <v>0.23595319473465187</v>
      </c>
      <c r="AJ77" s="45">
        <v>1.9684981544783511</v>
      </c>
      <c r="AK77" s="45">
        <v>9.5525393811912522</v>
      </c>
      <c r="AL77" s="45">
        <v>12.709987168077706</v>
      </c>
      <c r="AM77" s="45">
        <v>151.36325282849253</v>
      </c>
      <c r="AN77" s="45">
        <v>26.065310183233851</v>
      </c>
      <c r="AO77" s="45">
        <v>17.74285630117264</v>
      </c>
      <c r="AP77" s="45">
        <v>0</v>
      </c>
      <c r="AQ77" s="45">
        <v>195.17141931289905</v>
      </c>
      <c r="AR77" s="45">
        <v>0.9529964376734521</v>
      </c>
      <c r="AS77" s="199">
        <v>204.79763784780829</v>
      </c>
      <c r="AT77" s="45">
        <v>151.36325282849253</v>
      </c>
      <c r="AU77" s="45">
        <v>29.485645003658199</v>
      </c>
      <c r="AV77" s="45">
        <v>18.084889783215075</v>
      </c>
      <c r="AW77" s="45">
        <v>0</v>
      </c>
      <c r="AX77" s="45">
        <v>198.93378761536582</v>
      </c>
      <c r="AY77" s="45">
        <v>0.23595319473465187</v>
      </c>
      <c r="AZ77" s="199">
        <v>843.10698924455198</v>
      </c>
      <c r="BA77" s="45">
        <v>151.36325282849253</v>
      </c>
      <c r="BB77" s="45">
        <v>55.550955186892054</v>
      </c>
      <c r="BC77" s="45">
        <v>20.69142080153846</v>
      </c>
      <c r="BD77" s="45">
        <v>0</v>
      </c>
      <c r="BE77" s="45">
        <v>227.60562881692306</v>
      </c>
      <c r="BF77" s="45">
        <v>1.1889496324081039</v>
      </c>
      <c r="BG77" s="45">
        <v>-17.49925270888621</v>
      </c>
      <c r="BH77" s="199">
        <v>191.43420596878406</v>
      </c>
      <c r="BI77" s="45">
        <v>0.22219805681367</v>
      </c>
      <c r="BJ77" s="45">
        <v>5.5014204981720917E-2</v>
      </c>
      <c r="BK77" s="45">
        <v>0.45896967446615028</v>
      </c>
      <c r="BL77" s="45">
        <v>2.2272440947613026</v>
      </c>
      <c r="BM77" s="45">
        <v>2.9634260310228435</v>
      </c>
      <c r="BN77" s="45">
        <v>151.36325282849253</v>
      </c>
      <c r="BO77" s="45">
        <v>0</v>
      </c>
      <c r="BP77" s="45">
        <v>55.550955186892054</v>
      </c>
      <c r="BQ77" s="45">
        <v>0</v>
      </c>
      <c r="BR77" s="45">
        <v>0</v>
      </c>
      <c r="BS77" s="45">
        <v>0</v>
      </c>
      <c r="BT77" s="45">
        <v>0</v>
      </c>
      <c r="BU77" s="45">
        <v>0</v>
      </c>
      <c r="BV77" s="45">
        <v>0</v>
      </c>
      <c r="BW77" s="45">
        <v>20.69142080153846</v>
      </c>
      <c r="BX77" s="45">
        <v>12.709987168077706</v>
      </c>
      <c r="BY77" s="45"/>
      <c r="BZ77" s="45">
        <v>0</v>
      </c>
      <c r="CA77" s="45">
        <v>0</v>
      </c>
      <c r="CB77" s="45">
        <v>227.60562881692306</v>
      </c>
      <c r="CC77" s="45">
        <v>12.709987168077706</v>
      </c>
      <c r="CD77" s="199">
        <v>17.907620661378431</v>
      </c>
      <c r="CE77" s="45">
        <v>-14.81303893965876</v>
      </c>
      <c r="CF77" s="45">
        <v>2.9981043904191012</v>
      </c>
      <c r="CG77" s="45">
        <v>0</v>
      </c>
      <c r="CH77" s="45">
        <v>2.9981043904191012</v>
      </c>
      <c r="CI77" s="45">
        <v>0.14990452571728841</v>
      </c>
      <c r="CJ77" s="45">
        <v>0</v>
      </c>
      <c r="CK77" s="45">
        <v>0.14990452571728841</v>
      </c>
      <c r="CL77" s="45"/>
      <c r="CM77" s="45">
        <v>0</v>
      </c>
      <c r="CN77" s="45"/>
      <c r="CO77" s="45">
        <v>0</v>
      </c>
      <c r="CP77" s="45">
        <v>0</v>
      </c>
      <c r="CQ77" s="45">
        <v>0</v>
      </c>
      <c r="CR77" s="45">
        <v>0</v>
      </c>
      <c r="CS77" s="45">
        <v>0</v>
      </c>
      <c r="CT77" s="45">
        <v>0</v>
      </c>
      <c r="CU77" s="45">
        <v>1.9684981544783511</v>
      </c>
      <c r="CV77" s="45">
        <v>9999</v>
      </c>
      <c r="CW77" s="200">
        <v>0</v>
      </c>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row>
    <row r="78" spans="1:131">
      <c r="A78" s="24" t="s">
        <v>429</v>
      </c>
      <c r="B78" s="24" t="s">
        <v>627</v>
      </c>
      <c r="C78" s="45">
        <v>14.186046511627907</v>
      </c>
      <c r="D78" s="45">
        <v>640.16615646258492</v>
      </c>
      <c r="E78" s="45">
        <v>0</v>
      </c>
      <c r="F78" s="45">
        <v>154.26033291735365</v>
      </c>
      <c r="G78" s="45">
        <v>0</v>
      </c>
      <c r="H78" s="45">
        <v>0</v>
      </c>
      <c r="I78" s="45" t="s">
        <v>369</v>
      </c>
      <c r="J78" s="45"/>
      <c r="K78" s="45"/>
      <c r="L78" s="45">
        <v>724.30887875791984</v>
      </c>
      <c r="M78" s="45">
        <v>0.16930209716711028</v>
      </c>
      <c r="N78" s="45">
        <v>0.16062817568037027</v>
      </c>
      <c r="O78" s="45">
        <v>0</v>
      </c>
      <c r="P78" s="45">
        <v>0</v>
      </c>
      <c r="Q78" s="45">
        <v>0</v>
      </c>
      <c r="R78" s="45">
        <v>30.761571070712684</v>
      </c>
      <c r="S78" s="45">
        <v>7.6162834217002446</v>
      </c>
      <c r="T78" s="45">
        <v>63.540736867163027</v>
      </c>
      <c r="U78" s="45">
        <v>112.52368215561623</v>
      </c>
      <c r="V78" s="45" t="s">
        <v>609</v>
      </c>
      <c r="W78" s="45" t="s">
        <v>609</v>
      </c>
      <c r="X78" s="45" t="s">
        <v>609</v>
      </c>
      <c r="Y78" s="45" t="s">
        <v>609</v>
      </c>
      <c r="Z78" s="45">
        <v>0</v>
      </c>
      <c r="AA78" s="45">
        <v>0</v>
      </c>
      <c r="AB78" s="45">
        <v>0</v>
      </c>
      <c r="AC78" s="45">
        <v>0</v>
      </c>
      <c r="AD78" s="45">
        <v>0</v>
      </c>
      <c r="AE78" s="45">
        <v>0</v>
      </c>
      <c r="AF78" s="45">
        <v>0</v>
      </c>
      <c r="AG78" s="45">
        <v>0</v>
      </c>
      <c r="AH78" s="45">
        <v>30.761571070712684</v>
      </c>
      <c r="AI78" s="45">
        <v>7.6162834217002446</v>
      </c>
      <c r="AJ78" s="45">
        <v>63.540736867163027</v>
      </c>
      <c r="AK78" s="45">
        <v>112.52368215561623</v>
      </c>
      <c r="AL78" s="45">
        <v>214.4422735151922</v>
      </c>
      <c r="AM78" s="45">
        <v>347.39465018125691</v>
      </c>
      <c r="AN78" s="45">
        <v>59.822639536099899</v>
      </c>
      <c r="AO78" s="45">
        <v>40.721728971735686</v>
      </c>
      <c r="AP78" s="45">
        <v>0</v>
      </c>
      <c r="AQ78" s="45">
        <v>447.93901868909251</v>
      </c>
      <c r="AR78" s="45">
        <v>30.761571070712684</v>
      </c>
      <c r="AS78" s="199">
        <v>14.561643085764366</v>
      </c>
      <c r="AT78" s="45">
        <v>347.39465018125691</v>
      </c>
      <c r="AU78" s="45">
        <v>67.672669158484041</v>
      </c>
      <c r="AV78" s="45">
        <v>41.506731933974095</v>
      </c>
      <c r="AW78" s="45">
        <v>0</v>
      </c>
      <c r="AX78" s="45">
        <v>456.57405127371504</v>
      </c>
      <c r="AY78" s="45">
        <v>7.6162834217002446</v>
      </c>
      <c r="AZ78" s="199">
        <v>59.947093089110687</v>
      </c>
      <c r="BA78" s="45">
        <v>347.39465018125691</v>
      </c>
      <c r="BB78" s="45">
        <v>127.49530869458394</v>
      </c>
      <c r="BC78" s="45">
        <v>47.488995887584089</v>
      </c>
      <c r="BD78" s="45">
        <v>0</v>
      </c>
      <c r="BE78" s="45">
        <v>522.37895476342499</v>
      </c>
      <c r="BF78" s="45">
        <v>38.377854492412929</v>
      </c>
      <c r="BG78" s="45">
        <v>-13.877700520559507</v>
      </c>
      <c r="BH78" s="199">
        <v>13.611468428145095</v>
      </c>
      <c r="BI78" s="45">
        <v>3.1250345103087729</v>
      </c>
      <c r="BJ78" s="45">
        <v>0.77372993981332516</v>
      </c>
      <c r="BK78" s="45">
        <v>6.4550342719453626</v>
      </c>
      <c r="BL78" s="45">
        <v>11.431158348674334</v>
      </c>
      <c r="BM78" s="45">
        <v>21.784957070741797</v>
      </c>
      <c r="BN78" s="45">
        <v>347.39465018125691</v>
      </c>
      <c r="BO78" s="45">
        <v>0</v>
      </c>
      <c r="BP78" s="45">
        <v>127.49530869458394</v>
      </c>
      <c r="BQ78" s="45">
        <v>0</v>
      </c>
      <c r="BR78" s="45">
        <v>0</v>
      </c>
      <c r="BS78" s="45">
        <v>0</v>
      </c>
      <c r="BT78" s="45">
        <v>0</v>
      </c>
      <c r="BU78" s="45">
        <v>0</v>
      </c>
      <c r="BV78" s="45">
        <v>0</v>
      </c>
      <c r="BW78" s="45">
        <v>47.488995887584089</v>
      </c>
      <c r="BX78" s="45">
        <v>214.4422735151922</v>
      </c>
      <c r="BY78" s="45"/>
      <c r="BZ78" s="45">
        <v>0</v>
      </c>
      <c r="CA78" s="45">
        <v>0</v>
      </c>
      <c r="CB78" s="45">
        <v>522.37895476342499</v>
      </c>
      <c r="CC78" s="45">
        <v>214.4422735151922</v>
      </c>
      <c r="CD78" s="199">
        <v>2.4359886984989316</v>
      </c>
      <c r="CE78" s="45">
        <v>4.0084921000601872</v>
      </c>
      <c r="CF78" s="45">
        <v>6.8809661952539356</v>
      </c>
      <c r="CG78" s="45">
        <v>0</v>
      </c>
      <c r="CH78" s="45">
        <v>6.8809661952539356</v>
      </c>
      <c r="CI78" s="45">
        <v>0.34404671741001186</v>
      </c>
      <c r="CJ78" s="45">
        <v>0</v>
      </c>
      <c r="CK78" s="45">
        <v>0.34404671741001186</v>
      </c>
      <c r="CL78" s="45"/>
      <c r="CM78" s="45">
        <v>0</v>
      </c>
      <c r="CN78" s="45"/>
      <c r="CO78" s="45">
        <v>0</v>
      </c>
      <c r="CP78" s="45">
        <v>0</v>
      </c>
      <c r="CQ78" s="45">
        <v>0</v>
      </c>
      <c r="CR78" s="45">
        <v>0</v>
      </c>
      <c r="CS78" s="45">
        <v>0</v>
      </c>
      <c r="CT78" s="45">
        <v>0</v>
      </c>
      <c r="CU78" s="45">
        <v>63.540736867163027</v>
      </c>
      <c r="CV78" s="45">
        <v>9999</v>
      </c>
      <c r="CW78" s="200">
        <v>0</v>
      </c>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row>
    <row r="79" spans="1:131">
      <c r="A79" s="24" t="s">
        <v>422</v>
      </c>
      <c r="B79" s="24" t="s">
        <v>628</v>
      </c>
      <c r="C79" s="45">
        <v>6.6762790697674417</v>
      </c>
      <c r="D79" s="45">
        <v>68.226666666666659</v>
      </c>
      <c r="E79" s="45">
        <v>0</v>
      </c>
      <c r="F79" s="45">
        <v>4.0008899869194874</v>
      </c>
      <c r="G79" s="45">
        <v>0</v>
      </c>
      <c r="H79" s="45">
        <v>0</v>
      </c>
      <c r="I79" s="45" t="s">
        <v>369</v>
      </c>
      <c r="J79" s="45"/>
      <c r="K79" s="45"/>
      <c r="L79" s="45">
        <v>77.194303284934591</v>
      </c>
      <c r="M79" s="45">
        <v>1.8043624507137073E-2</v>
      </c>
      <c r="N79" s="45">
        <v>1.7119188336942193E-2</v>
      </c>
      <c r="O79" s="45">
        <v>0</v>
      </c>
      <c r="P79" s="45">
        <v>0</v>
      </c>
      <c r="Q79" s="45">
        <v>0</v>
      </c>
      <c r="R79" s="45">
        <v>0.79783090928932687</v>
      </c>
      <c r="S79" s="45">
        <v>0.1975356302112157</v>
      </c>
      <c r="T79" s="45">
        <v>1.6479900768107303</v>
      </c>
      <c r="U79" s="45">
        <v>7.9972084671416068</v>
      </c>
      <c r="V79" s="45" t="s">
        <v>609</v>
      </c>
      <c r="W79" s="45" t="s">
        <v>609</v>
      </c>
      <c r="X79" s="45" t="s">
        <v>609</v>
      </c>
      <c r="Y79" s="45" t="s">
        <v>609</v>
      </c>
      <c r="Z79" s="45">
        <v>0</v>
      </c>
      <c r="AA79" s="45">
        <v>0</v>
      </c>
      <c r="AB79" s="45">
        <v>0</v>
      </c>
      <c r="AC79" s="45">
        <v>0</v>
      </c>
      <c r="AD79" s="45">
        <v>0</v>
      </c>
      <c r="AE79" s="45">
        <v>0</v>
      </c>
      <c r="AF79" s="45">
        <v>0</v>
      </c>
      <c r="AG79" s="45">
        <v>0</v>
      </c>
      <c r="AH79" s="45">
        <v>0.79783090928932687</v>
      </c>
      <c r="AI79" s="45">
        <v>0.1975356302112157</v>
      </c>
      <c r="AJ79" s="45">
        <v>1.6479900768107303</v>
      </c>
      <c r="AK79" s="45">
        <v>7.9972084671416068</v>
      </c>
      <c r="AL79" s="45">
        <v>10.640565083452881</v>
      </c>
      <c r="AM79" s="45">
        <v>37.024105008408256</v>
      </c>
      <c r="AN79" s="45">
        <v>6.3756873829492875</v>
      </c>
      <c r="AO79" s="45">
        <v>4.3399792391357543</v>
      </c>
      <c r="AP79" s="45">
        <v>0</v>
      </c>
      <c r="AQ79" s="45">
        <v>47.739771630493294</v>
      </c>
      <c r="AR79" s="45">
        <v>0.79783090928932687</v>
      </c>
      <c r="AS79" s="199">
        <v>59.836954265181092</v>
      </c>
      <c r="AT79" s="45">
        <v>37.024105008408256</v>
      </c>
      <c r="AU79" s="45">
        <v>7.2123160440602803</v>
      </c>
      <c r="AV79" s="45">
        <v>4.423642105246854</v>
      </c>
      <c r="AW79" s="45">
        <v>0</v>
      </c>
      <c r="AX79" s="45">
        <v>48.660063157715392</v>
      </c>
      <c r="AY79" s="45">
        <v>0.1975356302112157</v>
      </c>
      <c r="AZ79" s="199">
        <v>246.33562616367203</v>
      </c>
      <c r="BA79" s="45">
        <v>37.024105008408256</v>
      </c>
      <c r="BB79" s="45">
        <v>13.588003427009568</v>
      </c>
      <c r="BC79" s="45">
        <v>5.0612108435417831</v>
      </c>
      <c r="BD79" s="45">
        <v>0</v>
      </c>
      <c r="BE79" s="45">
        <v>55.67331927895961</v>
      </c>
      <c r="BF79" s="45">
        <v>0.99536653950054255</v>
      </c>
      <c r="BG79" s="45">
        <v>-16.827679774387281</v>
      </c>
      <c r="BH79" s="199">
        <v>55.932480216680283</v>
      </c>
      <c r="BI79" s="45">
        <v>0.76049387420596526</v>
      </c>
      <c r="BJ79" s="45">
        <v>0.18829132208835822</v>
      </c>
      <c r="BK79" s="45">
        <v>1.5708671393580773</v>
      </c>
      <c r="BL79" s="45">
        <v>7.6229536599762699</v>
      </c>
      <c r="BM79" s="45">
        <v>10.142605995628671</v>
      </c>
      <c r="BN79" s="45">
        <v>37.024105008408256</v>
      </c>
      <c r="BO79" s="45">
        <v>0</v>
      </c>
      <c r="BP79" s="45">
        <v>13.588003427009568</v>
      </c>
      <c r="BQ79" s="45">
        <v>0</v>
      </c>
      <c r="BR79" s="45">
        <v>0</v>
      </c>
      <c r="BS79" s="45">
        <v>0</v>
      </c>
      <c r="BT79" s="45">
        <v>0</v>
      </c>
      <c r="BU79" s="45">
        <v>0</v>
      </c>
      <c r="BV79" s="45">
        <v>0</v>
      </c>
      <c r="BW79" s="45">
        <v>5.0612108435417831</v>
      </c>
      <c r="BX79" s="45">
        <v>10.640565083452881</v>
      </c>
      <c r="BY79" s="45"/>
      <c r="BZ79" s="45">
        <v>0</v>
      </c>
      <c r="CA79" s="45">
        <v>0</v>
      </c>
      <c r="CB79" s="45">
        <v>55.673319278959603</v>
      </c>
      <c r="CC79" s="45">
        <v>10.640565083452881</v>
      </c>
      <c r="CD79" s="199">
        <v>5.2321769419499216</v>
      </c>
      <c r="CE79" s="45">
        <v>-7.6338589750529326</v>
      </c>
      <c r="CF79" s="45">
        <v>0.73334927535431171</v>
      </c>
      <c r="CG79" s="45">
        <v>0</v>
      </c>
      <c r="CH79" s="45">
        <v>0.73334927535431171</v>
      </c>
      <c r="CI79" s="45">
        <v>3.666729406034392E-2</v>
      </c>
      <c r="CJ79" s="45">
        <v>0</v>
      </c>
      <c r="CK79" s="45">
        <v>3.666729406034392E-2</v>
      </c>
      <c r="CL79" s="45"/>
      <c r="CM79" s="45">
        <v>0</v>
      </c>
      <c r="CN79" s="45"/>
      <c r="CO79" s="45">
        <v>0</v>
      </c>
      <c r="CP79" s="45">
        <v>0</v>
      </c>
      <c r="CQ79" s="45">
        <v>0</v>
      </c>
      <c r="CR79" s="45">
        <v>0</v>
      </c>
      <c r="CS79" s="45">
        <v>0</v>
      </c>
      <c r="CT79" s="45">
        <v>0</v>
      </c>
      <c r="CU79" s="45">
        <v>1.6479900768107303</v>
      </c>
      <c r="CV79" s="45">
        <v>9999</v>
      </c>
      <c r="CW79" s="200">
        <v>0</v>
      </c>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row>
    <row r="80" spans="1:131">
      <c r="A80" s="24" t="s">
        <v>418</v>
      </c>
      <c r="B80" s="24" t="s">
        <v>629</v>
      </c>
      <c r="C80" s="45">
        <v>6.6762790697674417</v>
      </c>
      <c r="D80" s="45">
        <v>278.92666666666668</v>
      </c>
      <c r="E80" s="45">
        <v>0</v>
      </c>
      <c r="F80" s="45">
        <v>4.7789999869194872</v>
      </c>
      <c r="G80" s="45">
        <v>0</v>
      </c>
      <c r="H80" s="45">
        <v>0</v>
      </c>
      <c r="I80" s="45" t="s">
        <v>369</v>
      </c>
      <c r="J80" s="45"/>
      <c r="K80" s="45"/>
      <c r="L80" s="45">
        <v>315.58847519429145</v>
      </c>
      <c r="M80" s="45">
        <v>7.3766582543883921E-2</v>
      </c>
      <c r="N80" s="45">
        <v>6.9987269965734261E-2</v>
      </c>
      <c r="O80" s="45">
        <v>0</v>
      </c>
      <c r="P80" s="45">
        <v>0</v>
      </c>
      <c r="Q80" s="45">
        <v>0</v>
      </c>
      <c r="R80" s="45">
        <v>0.9529964376734521</v>
      </c>
      <c r="S80" s="45">
        <v>0.23595319473465187</v>
      </c>
      <c r="T80" s="45">
        <v>1.9684981544783511</v>
      </c>
      <c r="U80" s="45">
        <v>9.5525393811912522</v>
      </c>
      <c r="V80" s="45" t="s">
        <v>609</v>
      </c>
      <c r="W80" s="45" t="s">
        <v>609</v>
      </c>
      <c r="X80" s="45" t="s">
        <v>609</v>
      </c>
      <c r="Y80" s="45" t="s">
        <v>609</v>
      </c>
      <c r="Z80" s="45">
        <v>0</v>
      </c>
      <c r="AA80" s="45">
        <v>0</v>
      </c>
      <c r="AB80" s="45">
        <v>0</v>
      </c>
      <c r="AC80" s="45">
        <v>0</v>
      </c>
      <c r="AD80" s="45">
        <v>0</v>
      </c>
      <c r="AE80" s="45">
        <v>0</v>
      </c>
      <c r="AF80" s="45">
        <v>0</v>
      </c>
      <c r="AG80" s="45">
        <v>0</v>
      </c>
      <c r="AH80" s="45">
        <v>0.9529964376734521</v>
      </c>
      <c r="AI80" s="45">
        <v>0.23595319473465187</v>
      </c>
      <c r="AJ80" s="45">
        <v>1.9684981544783511</v>
      </c>
      <c r="AK80" s="45">
        <v>9.5525393811912522</v>
      </c>
      <c r="AL80" s="45">
        <v>12.709987168077706</v>
      </c>
      <c r="AM80" s="45">
        <v>151.36325282849253</v>
      </c>
      <c r="AN80" s="45">
        <v>26.065310183233851</v>
      </c>
      <c r="AO80" s="45">
        <v>17.74285630117264</v>
      </c>
      <c r="AP80" s="45">
        <v>0</v>
      </c>
      <c r="AQ80" s="45">
        <v>195.17141931289905</v>
      </c>
      <c r="AR80" s="45">
        <v>0.9529964376734521</v>
      </c>
      <c r="AS80" s="199">
        <v>204.79763784780829</v>
      </c>
      <c r="AT80" s="45">
        <v>151.36325282849253</v>
      </c>
      <c r="AU80" s="45">
        <v>29.485645003658199</v>
      </c>
      <c r="AV80" s="45">
        <v>18.084889783215075</v>
      </c>
      <c r="AW80" s="45">
        <v>0</v>
      </c>
      <c r="AX80" s="45">
        <v>198.93378761536582</v>
      </c>
      <c r="AY80" s="45">
        <v>0.23595319473465187</v>
      </c>
      <c r="AZ80" s="199">
        <v>843.10698924455198</v>
      </c>
      <c r="BA80" s="45">
        <v>151.36325282849253</v>
      </c>
      <c r="BB80" s="45">
        <v>55.550955186892054</v>
      </c>
      <c r="BC80" s="45">
        <v>20.69142080153846</v>
      </c>
      <c r="BD80" s="45">
        <v>0</v>
      </c>
      <c r="BE80" s="45">
        <v>227.60562881692306</v>
      </c>
      <c r="BF80" s="45">
        <v>1.1889496324081039</v>
      </c>
      <c r="BG80" s="45">
        <v>-17.49925270888621</v>
      </c>
      <c r="BH80" s="199">
        <v>191.43420596878406</v>
      </c>
      <c r="BI80" s="45">
        <v>0.22219805681367</v>
      </c>
      <c r="BJ80" s="45">
        <v>5.5014204981720917E-2</v>
      </c>
      <c r="BK80" s="45">
        <v>0.45896967446615028</v>
      </c>
      <c r="BL80" s="45">
        <v>2.2272440947613026</v>
      </c>
      <c r="BM80" s="45">
        <v>2.9634260310228435</v>
      </c>
      <c r="BN80" s="45">
        <v>151.36325282849253</v>
      </c>
      <c r="BO80" s="45">
        <v>0</v>
      </c>
      <c r="BP80" s="45">
        <v>55.550955186892054</v>
      </c>
      <c r="BQ80" s="45">
        <v>0</v>
      </c>
      <c r="BR80" s="45">
        <v>0</v>
      </c>
      <c r="BS80" s="45">
        <v>0</v>
      </c>
      <c r="BT80" s="45">
        <v>0</v>
      </c>
      <c r="BU80" s="45">
        <v>0</v>
      </c>
      <c r="BV80" s="45">
        <v>0</v>
      </c>
      <c r="BW80" s="45">
        <v>20.69142080153846</v>
      </c>
      <c r="BX80" s="45">
        <v>12.709987168077706</v>
      </c>
      <c r="BY80" s="45"/>
      <c r="BZ80" s="45">
        <v>0</v>
      </c>
      <c r="CA80" s="45">
        <v>0</v>
      </c>
      <c r="CB80" s="45">
        <v>227.60562881692306</v>
      </c>
      <c r="CC80" s="45">
        <v>12.709987168077706</v>
      </c>
      <c r="CD80" s="199">
        <v>17.907620661378431</v>
      </c>
      <c r="CE80" s="45">
        <v>-14.81303893965876</v>
      </c>
      <c r="CF80" s="45">
        <v>2.9981043904191012</v>
      </c>
      <c r="CG80" s="45">
        <v>0</v>
      </c>
      <c r="CH80" s="45">
        <v>2.9981043904191012</v>
      </c>
      <c r="CI80" s="45">
        <v>0.14990452571728841</v>
      </c>
      <c r="CJ80" s="45">
        <v>0</v>
      </c>
      <c r="CK80" s="45">
        <v>0.14990452571728841</v>
      </c>
      <c r="CL80" s="45"/>
      <c r="CM80" s="45">
        <v>0</v>
      </c>
      <c r="CN80" s="45"/>
      <c r="CO80" s="45">
        <v>0</v>
      </c>
      <c r="CP80" s="45">
        <v>0</v>
      </c>
      <c r="CQ80" s="45">
        <v>0</v>
      </c>
      <c r="CR80" s="45">
        <v>0</v>
      </c>
      <c r="CS80" s="45">
        <v>0</v>
      </c>
      <c r="CT80" s="45">
        <v>0</v>
      </c>
      <c r="CU80" s="45">
        <v>1.9684981544783511</v>
      </c>
      <c r="CV80" s="45">
        <v>9999</v>
      </c>
      <c r="CW80" s="200">
        <v>0</v>
      </c>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row>
    <row r="81" spans="1:131">
      <c r="A81" s="24" t="s">
        <v>420</v>
      </c>
      <c r="B81" s="24" t="s">
        <v>630</v>
      </c>
      <c r="C81" s="45">
        <v>14.186046511627907</v>
      </c>
      <c r="D81" s="45">
        <v>640.16615646258492</v>
      </c>
      <c r="E81" s="45">
        <v>0</v>
      </c>
      <c r="F81" s="45">
        <v>210.259506250687</v>
      </c>
      <c r="G81" s="45">
        <v>0</v>
      </c>
      <c r="H81" s="45">
        <v>0</v>
      </c>
      <c r="I81" s="45" t="s">
        <v>369</v>
      </c>
      <c r="J81" s="45"/>
      <c r="K81" s="45"/>
      <c r="L81" s="45">
        <v>724.30887875791984</v>
      </c>
      <c r="M81" s="45">
        <v>0.16930209716711028</v>
      </c>
      <c r="N81" s="45">
        <v>0.16062817568037027</v>
      </c>
      <c r="O81" s="45">
        <v>0</v>
      </c>
      <c r="P81" s="45">
        <v>0</v>
      </c>
      <c r="Q81" s="45">
        <v>0</v>
      </c>
      <c r="R81" s="45">
        <v>41.928554298457968</v>
      </c>
      <c r="S81" s="45">
        <v>10.381126252138639</v>
      </c>
      <c r="T81" s="45">
        <v>86.607125161931847</v>
      </c>
      <c r="U81" s="45">
        <v>153.37172819550909</v>
      </c>
      <c r="V81" s="45" t="s">
        <v>609</v>
      </c>
      <c r="W81" s="45" t="s">
        <v>609</v>
      </c>
      <c r="X81" s="45" t="s">
        <v>609</v>
      </c>
      <c r="Y81" s="45" t="s">
        <v>609</v>
      </c>
      <c r="Z81" s="45">
        <v>0</v>
      </c>
      <c r="AA81" s="45">
        <v>0</v>
      </c>
      <c r="AB81" s="45">
        <v>0</v>
      </c>
      <c r="AC81" s="45">
        <v>0</v>
      </c>
      <c r="AD81" s="45">
        <v>0</v>
      </c>
      <c r="AE81" s="45">
        <v>0</v>
      </c>
      <c r="AF81" s="45">
        <v>0</v>
      </c>
      <c r="AG81" s="45">
        <v>0</v>
      </c>
      <c r="AH81" s="45">
        <v>41.928554298457968</v>
      </c>
      <c r="AI81" s="45">
        <v>10.381126252138639</v>
      </c>
      <c r="AJ81" s="45">
        <v>86.607125161931847</v>
      </c>
      <c r="AK81" s="45">
        <v>153.37172819550909</v>
      </c>
      <c r="AL81" s="45">
        <v>292.28853390803755</v>
      </c>
      <c r="AM81" s="45">
        <v>347.39465018125691</v>
      </c>
      <c r="AN81" s="45">
        <v>59.822639536099899</v>
      </c>
      <c r="AO81" s="45">
        <v>40.721728971735686</v>
      </c>
      <c r="AP81" s="45">
        <v>0</v>
      </c>
      <c r="AQ81" s="45">
        <v>447.93901868909251</v>
      </c>
      <c r="AR81" s="45">
        <v>41.928554298457968</v>
      </c>
      <c r="AS81" s="199">
        <v>10.683388115424878</v>
      </c>
      <c r="AT81" s="45">
        <v>347.39465018125691</v>
      </c>
      <c r="AU81" s="45">
        <v>67.672669158484041</v>
      </c>
      <c r="AV81" s="45">
        <v>41.506731933974095</v>
      </c>
      <c r="AW81" s="45">
        <v>0</v>
      </c>
      <c r="AX81" s="45">
        <v>456.57405127371504</v>
      </c>
      <c r="AY81" s="45">
        <v>10.381126252138639</v>
      </c>
      <c r="AZ81" s="199">
        <v>43.981167378602606</v>
      </c>
      <c r="BA81" s="45">
        <v>347.39465018125691</v>
      </c>
      <c r="BB81" s="45">
        <v>127.49530869458394</v>
      </c>
      <c r="BC81" s="45">
        <v>47.488995887584089</v>
      </c>
      <c r="BD81" s="45">
        <v>0</v>
      </c>
      <c r="BE81" s="45">
        <v>522.37895476342499</v>
      </c>
      <c r="BF81" s="45">
        <v>52.30968055059661</v>
      </c>
      <c r="BG81" s="45">
        <v>-12.462381480990235</v>
      </c>
      <c r="BH81" s="199">
        <v>9.9862769044852655</v>
      </c>
      <c r="BI81" s="45">
        <v>4.2594761772354666</v>
      </c>
      <c r="BJ81" s="45">
        <v>1.054607312455905</v>
      </c>
      <c r="BK81" s="45">
        <v>8.7983235429528364</v>
      </c>
      <c r="BL81" s="45">
        <v>15.580866868434581</v>
      </c>
      <c r="BM81" s="45">
        <v>29.693273901078786</v>
      </c>
      <c r="BN81" s="45">
        <v>347.39465018125691</v>
      </c>
      <c r="BO81" s="45">
        <v>0</v>
      </c>
      <c r="BP81" s="45">
        <v>127.49530869458394</v>
      </c>
      <c r="BQ81" s="45">
        <v>0</v>
      </c>
      <c r="BR81" s="45">
        <v>0</v>
      </c>
      <c r="BS81" s="45">
        <v>0</v>
      </c>
      <c r="BT81" s="45">
        <v>0</v>
      </c>
      <c r="BU81" s="45">
        <v>0</v>
      </c>
      <c r="BV81" s="45">
        <v>0</v>
      </c>
      <c r="BW81" s="45">
        <v>47.488995887584089</v>
      </c>
      <c r="BX81" s="45">
        <v>292.28853390803755</v>
      </c>
      <c r="BY81" s="45"/>
      <c r="BZ81" s="45">
        <v>0</v>
      </c>
      <c r="CA81" s="45">
        <v>0</v>
      </c>
      <c r="CB81" s="45">
        <v>522.37895476342499</v>
      </c>
      <c r="CC81" s="45">
        <v>292.28853390803755</v>
      </c>
      <c r="CD81" s="199">
        <v>1.7872030345459278</v>
      </c>
      <c r="CE81" s="45">
        <v>11.916808930397181</v>
      </c>
      <c r="CF81" s="45">
        <v>6.8809661952539356</v>
      </c>
      <c r="CG81" s="45">
        <v>0</v>
      </c>
      <c r="CH81" s="45">
        <v>6.8809661952539356</v>
      </c>
      <c r="CI81" s="45">
        <v>0.34404671741001186</v>
      </c>
      <c r="CJ81" s="45">
        <v>0</v>
      </c>
      <c r="CK81" s="45">
        <v>0.34404671741001186</v>
      </c>
      <c r="CL81" s="45"/>
      <c r="CM81" s="45">
        <v>0</v>
      </c>
      <c r="CN81" s="45"/>
      <c r="CO81" s="45">
        <v>0</v>
      </c>
      <c r="CP81" s="45">
        <v>0</v>
      </c>
      <c r="CQ81" s="45">
        <v>0</v>
      </c>
      <c r="CR81" s="45">
        <v>0</v>
      </c>
      <c r="CS81" s="45">
        <v>0</v>
      </c>
      <c r="CT81" s="45">
        <v>0</v>
      </c>
      <c r="CU81" s="45">
        <v>86.607125161931847</v>
      </c>
      <c r="CV81" s="45">
        <v>9999</v>
      </c>
      <c r="CW81" s="200">
        <v>0</v>
      </c>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row>
    <row r="82" spans="1:131">
      <c r="A82" s="24" t="s">
        <v>437</v>
      </c>
      <c r="B82" s="24" t="s">
        <v>631</v>
      </c>
      <c r="C82" s="45">
        <v>6.6762790697674417</v>
      </c>
      <c r="D82" s="45">
        <v>68.226666666666659</v>
      </c>
      <c r="E82" s="45">
        <v>0</v>
      </c>
      <c r="F82" s="45">
        <v>30.451059986919489</v>
      </c>
      <c r="G82" s="45">
        <v>0</v>
      </c>
      <c r="H82" s="45">
        <v>0</v>
      </c>
      <c r="I82" s="45" t="s">
        <v>369</v>
      </c>
      <c r="J82" s="45"/>
      <c r="K82" s="45"/>
      <c r="L82" s="45">
        <v>77.194303284934591</v>
      </c>
      <c r="M82" s="45">
        <v>1.8043624507137073E-2</v>
      </c>
      <c r="N82" s="45">
        <v>1.7119188336942193E-2</v>
      </c>
      <c r="O82" s="45">
        <v>0</v>
      </c>
      <c r="P82" s="45">
        <v>0</v>
      </c>
      <c r="Q82" s="45">
        <v>0</v>
      </c>
      <c r="R82" s="45">
        <v>6.0723481419427285</v>
      </c>
      <c r="S82" s="45">
        <v>1.5034578168311736</v>
      </c>
      <c r="T82" s="45">
        <v>12.54297040180562</v>
      </c>
      <c r="U82" s="45">
        <v>60.867325909236541</v>
      </c>
      <c r="V82" s="45" t="s">
        <v>609</v>
      </c>
      <c r="W82" s="45" t="s">
        <v>609</v>
      </c>
      <c r="X82" s="45" t="s">
        <v>609</v>
      </c>
      <c r="Y82" s="45" t="s">
        <v>609</v>
      </c>
      <c r="Z82" s="45">
        <v>0</v>
      </c>
      <c r="AA82" s="45">
        <v>0</v>
      </c>
      <c r="AB82" s="45">
        <v>0</v>
      </c>
      <c r="AC82" s="45">
        <v>0</v>
      </c>
      <c r="AD82" s="45">
        <v>0</v>
      </c>
      <c r="AE82" s="45">
        <v>0</v>
      </c>
      <c r="AF82" s="45">
        <v>0</v>
      </c>
      <c r="AG82" s="45">
        <v>0</v>
      </c>
      <c r="AH82" s="45">
        <v>6.0723481419427285</v>
      </c>
      <c r="AI82" s="45">
        <v>1.5034578168311736</v>
      </c>
      <c r="AJ82" s="45">
        <v>12.54297040180562</v>
      </c>
      <c r="AK82" s="45">
        <v>60.867325909236541</v>
      </c>
      <c r="AL82" s="45">
        <v>80.986102269816058</v>
      </c>
      <c r="AM82" s="45">
        <v>37.024105008408256</v>
      </c>
      <c r="AN82" s="45">
        <v>6.3756873829492875</v>
      </c>
      <c r="AO82" s="45">
        <v>4.3399792391357543</v>
      </c>
      <c r="AP82" s="45">
        <v>0</v>
      </c>
      <c r="AQ82" s="45">
        <v>47.739771630493294</v>
      </c>
      <c r="AR82" s="45">
        <v>6.0723481419427285</v>
      </c>
      <c r="AS82" s="199">
        <v>7.8618304673190051</v>
      </c>
      <c r="AT82" s="45">
        <v>37.024105008408256</v>
      </c>
      <c r="AU82" s="45">
        <v>7.2123160440602803</v>
      </c>
      <c r="AV82" s="45">
        <v>4.423642105246854</v>
      </c>
      <c r="AW82" s="45">
        <v>0</v>
      </c>
      <c r="AX82" s="45">
        <v>48.660063157715392</v>
      </c>
      <c r="AY82" s="45">
        <v>1.5034578168311736</v>
      </c>
      <c r="AZ82" s="199">
        <v>32.365432945951106</v>
      </c>
      <c r="BA82" s="45">
        <v>37.024105008408256</v>
      </c>
      <c r="BB82" s="45">
        <v>13.588003427009568</v>
      </c>
      <c r="BC82" s="45">
        <v>5.0612108435417831</v>
      </c>
      <c r="BD82" s="45">
        <v>0</v>
      </c>
      <c r="BE82" s="45">
        <v>55.67331927895961</v>
      </c>
      <c r="BF82" s="45">
        <v>7.5758059587739019</v>
      </c>
      <c r="BG82" s="45">
        <v>-10.555192948327191</v>
      </c>
      <c r="BH82" s="199">
        <v>7.3488312110847671</v>
      </c>
      <c r="BI82" s="45">
        <v>5.7881732961523387</v>
      </c>
      <c r="BJ82" s="45">
        <v>1.4330987262020802</v>
      </c>
      <c r="BK82" s="45">
        <v>11.955982206075099</v>
      </c>
      <c r="BL82" s="45">
        <v>58.018845790901807</v>
      </c>
      <c r="BM82" s="45">
        <v>77.196100019331311</v>
      </c>
      <c r="BN82" s="45">
        <v>37.024105008408256</v>
      </c>
      <c r="BO82" s="45">
        <v>0</v>
      </c>
      <c r="BP82" s="45">
        <v>13.588003427009568</v>
      </c>
      <c r="BQ82" s="45">
        <v>0</v>
      </c>
      <c r="BR82" s="45">
        <v>0</v>
      </c>
      <c r="BS82" s="45">
        <v>0</v>
      </c>
      <c r="BT82" s="45">
        <v>0</v>
      </c>
      <c r="BU82" s="45">
        <v>0</v>
      </c>
      <c r="BV82" s="45">
        <v>0</v>
      </c>
      <c r="BW82" s="45">
        <v>5.0612108435417831</v>
      </c>
      <c r="BX82" s="45">
        <v>80.986102269816058</v>
      </c>
      <c r="BY82" s="45"/>
      <c r="BZ82" s="45">
        <v>0</v>
      </c>
      <c r="CA82" s="45">
        <v>0</v>
      </c>
      <c r="CB82" s="45">
        <v>55.673319278959603</v>
      </c>
      <c r="CC82" s="45">
        <v>80.986102269816058</v>
      </c>
      <c r="CD82" s="200">
        <v>0.68744287869882259</v>
      </c>
      <c r="CE82" s="45">
        <v>59.419635048649724</v>
      </c>
      <c r="CF82" s="45">
        <v>0.73334927535431171</v>
      </c>
      <c r="CG82" s="45">
        <v>0</v>
      </c>
      <c r="CH82" s="45">
        <v>0.73334927535431171</v>
      </c>
      <c r="CI82" s="45">
        <v>3.666729406034392E-2</v>
      </c>
      <c r="CJ82" s="45">
        <v>0</v>
      </c>
      <c r="CK82" s="45">
        <v>3.666729406034392E-2</v>
      </c>
      <c r="CL82" s="45"/>
      <c r="CM82" s="45">
        <v>0</v>
      </c>
      <c r="CN82" s="45"/>
      <c r="CO82" s="45">
        <v>0</v>
      </c>
      <c r="CP82" s="45">
        <v>0</v>
      </c>
      <c r="CQ82" s="45">
        <v>0</v>
      </c>
      <c r="CR82" s="45">
        <v>0</v>
      </c>
      <c r="CS82" s="45">
        <v>0</v>
      </c>
      <c r="CT82" s="45">
        <v>0</v>
      </c>
      <c r="CU82" s="45">
        <v>12.54297040180562</v>
      </c>
      <c r="CV82" s="45">
        <v>9999</v>
      </c>
      <c r="CW82" s="200">
        <v>0</v>
      </c>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row>
    <row r="83" spans="1:131">
      <c r="A83" s="24" t="s">
        <v>423</v>
      </c>
      <c r="B83" s="24" t="s">
        <v>632</v>
      </c>
      <c r="C83" s="45">
        <v>6.6762790697674417</v>
      </c>
      <c r="D83" s="45">
        <v>278.92666666666668</v>
      </c>
      <c r="E83" s="45">
        <v>0</v>
      </c>
      <c r="F83" s="45">
        <v>30.451059986919489</v>
      </c>
      <c r="G83" s="45">
        <v>0</v>
      </c>
      <c r="H83" s="45">
        <v>0</v>
      </c>
      <c r="I83" s="45" t="s">
        <v>369</v>
      </c>
      <c r="J83" s="45"/>
      <c r="K83" s="45"/>
      <c r="L83" s="45">
        <v>315.58847519429145</v>
      </c>
      <c r="M83" s="45">
        <v>7.3766582543883921E-2</v>
      </c>
      <c r="N83" s="45">
        <v>6.9987269965734261E-2</v>
      </c>
      <c r="O83" s="45">
        <v>0</v>
      </c>
      <c r="P83" s="45">
        <v>0</v>
      </c>
      <c r="Q83" s="45">
        <v>0</v>
      </c>
      <c r="R83" s="45">
        <v>6.0723481419427285</v>
      </c>
      <c r="S83" s="45">
        <v>1.5034578168311736</v>
      </c>
      <c r="T83" s="45">
        <v>12.54297040180562</v>
      </c>
      <c r="U83" s="45">
        <v>60.867325909236541</v>
      </c>
      <c r="V83" s="45" t="s">
        <v>609</v>
      </c>
      <c r="W83" s="45" t="s">
        <v>609</v>
      </c>
      <c r="X83" s="45" t="s">
        <v>609</v>
      </c>
      <c r="Y83" s="45" t="s">
        <v>609</v>
      </c>
      <c r="Z83" s="45">
        <v>0</v>
      </c>
      <c r="AA83" s="45">
        <v>0</v>
      </c>
      <c r="AB83" s="45">
        <v>0</v>
      </c>
      <c r="AC83" s="45">
        <v>0</v>
      </c>
      <c r="AD83" s="45">
        <v>0</v>
      </c>
      <c r="AE83" s="45">
        <v>0</v>
      </c>
      <c r="AF83" s="45">
        <v>0</v>
      </c>
      <c r="AG83" s="45">
        <v>0</v>
      </c>
      <c r="AH83" s="45">
        <v>6.0723481419427285</v>
      </c>
      <c r="AI83" s="45">
        <v>1.5034578168311736</v>
      </c>
      <c r="AJ83" s="45">
        <v>12.54297040180562</v>
      </c>
      <c r="AK83" s="45">
        <v>60.867325909236541</v>
      </c>
      <c r="AL83" s="45">
        <v>80.986102269816058</v>
      </c>
      <c r="AM83" s="45">
        <v>151.36325282849253</v>
      </c>
      <c r="AN83" s="45">
        <v>26.065310183233851</v>
      </c>
      <c r="AO83" s="45">
        <v>17.74285630117264</v>
      </c>
      <c r="AP83" s="45">
        <v>0</v>
      </c>
      <c r="AQ83" s="45">
        <v>195.17141931289905</v>
      </c>
      <c r="AR83" s="45">
        <v>6.0723481419427285</v>
      </c>
      <c r="AS83" s="199">
        <v>32.141012792862988</v>
      </c>
      <c r="AT83" s="45">
        <v>151.36325282849253</v>
      </c>
      <c r="AU83" s="45">
        <v>29.485645003658199</v>
      </c>
      <c r="AV83" s="45">
        <v>18.084889783215075</v>
      </c>
      <c r="AW83" s="45">
        <v>0</v>
      </c>
      <c r="AX83" s="45">
        <v>198.93378761536582</v>
      </c>
      <c r="AY83" s="45">
        <v>1.5034578168311736</v>
      </c>
      <c r="AZ83" s="199">
        <v>132.31750527903537</v>
      </c>
      <c r="BA83" s="45">
        <v>151.36325282849253</v>
      </c>
      <c r="BB83" s="45">
        <v>55.550955186892054</v>
      </c>
      <c r="BC83" s="45">
        <v>20.69142080153846</v>
      </c>
      <c r="BD83" s="45">
        <v>0</v>
      </c>
      <c r="BE83" s="45">
        <v>227.60562881692306</v>
      </c>
      <c r="BF83" s="45">
        <v>7.5758059587739019</v>
      </c>
      <c r="BG83" s="45">
        <v>-16.01011066305534</v>
      </c>
      <c r="BH83" s="199">
        <v>30.04375112767007</v>
      </c>
      <c r="BI83" s="45">
        <v>1.4158121731595648</v>
      </c>
      <c r="BJ83" s="45">
        <v>0.35054213446669585</v>
      </c>
      <c r="BK83" s="45">
        <v>2.9244848561622545</v>
      </c>
      <c r="BL83" s="45">
        <v>14.191660121515548</v>
      </c>
      <c r="BM83" s="45">
        <v>18.882499285304061</v>
      </c>
      <c r="BN83" s="45">
        <v>151.36325282849253</v>
      </c>
      <c r="BO83" s="45">
        <v>0</v>
      </c>
      <c r="BP83" s="45">
        <v>55.550955186892054</v>
      </c>
      <c r="BQ83" s="45">
        <v>0</v>
      </c>
      <c r="BR83" s="45">
        <v>0</v>
      </c>
      <c r="BS83" s="45">
        <v>0</v>
      </c>
      <c r="BT83" s="45">
        <v>0</v>
      </c>
      <c r="BU83" s="45">
        <v>0</v>
      </c>
      <c r="BV83" s="45">
        <v>0</v>
      </c>
      <c r="BW83" s="45">
        <v>20.69142080153846</v>
      </c>
      <c r="BX83" s="45">
        <v>80.986102269816058</v>
      </c>
      <c r="BY83" s="45"/>
      <c r="BZ83" s="45">
        <v>0</v>
      </c>
      <c r="CA83" s="45">
        <v>0</v>
      </c>
      <c r="CB83" s="45">
        <v>227.60562881692306</v>
      </c>
      <c r="CC83" s="45">
        <v>80.986102269816058</v>
      </c>
      <c r="CD83" s="199">
        <v>2.8104282393863627</v>
      </c>
      <c r="CE83" s="45">
        <v>1.1060343146224598</v>
      </c>
      <c r="CF83" s="45">
        <v>2.9981043904191012</v>
      </c>
      <c r="CG83" s="45">
        <v>0</v>
      </c>
      <c r="CH83" s="45">
        <v>2.9981043904191012</v>
      </c>
      <c r="CI83" s="45">
        <v>0.14990452571728841</v>
      </c>
      <c r="CJ83" s="45">
        <v>0</v>
      </c>
      <c r="CK83" s="45">
        <v>0.14990452571728841</v>
      </c>
      <c r="CL83" s="45"/>
      <c r="CM83" s="45">
        <v>0</v>
      </c>
      <c r="CN83" s="45"/>
      <c r="CO83" s="45">
        <v>0</v>
      </c>
      <c r="CP83" s="45">
        <v>0</v>
      </c>
      <c r="CQ83" s="45">
        <v>0</v>
      </c>
      <c r="CR83" s="45">
        <v>0</v>
      </c>
      <c r="CS83" s="45">
        <v>0</v>
      </c>
      <c r="CT83" s="45">
        <v>0</v>
      </c>
      <c r="CU83" s="45">
        <v>12.54297040180562</v>
      </c>
      <c r="CV83" s="45">
        <v>9999</v>
      </c>
      <c r="CW83" s="200">
        <v>0</v>
      </c>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row>
    <row r="84" spans="1:131">
      <c r="A84" s="24"/>
      <c r="B84" s="24"/>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row>
    <row r="85" spans="1:131">
      <c r="A85" s="24"/>
      <c r="B85" s="24"/>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row>
    <row r="86" spans="1:131" ht="13.5" thickBot="1">
      <c r="A86" s="187" t="s">
        <v>633</v>
      </c>
      <c r="B86" s="188"/>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row>
    <row r="87" spans="1:131" ht="26.25" thickBot="1">
      <c r="A87" s="213" t="s">
        <v>512</v>
      </c>
      <c r="B87" s="214"/>
      <c r="C87" s="215" t="s">
        <v>513</v>
      </c>
      <c r="D87" s="216"/>
      <c r="E87" s="216"/>
      <c r="F87" s="216"/>
      <c r="G87" s="216"/>
      <c r="H87" s="216"/>
      <c r="I87" s="216"/>
      <c r="J87" s="216"/>
      <c r="K87" s="217"/>
      <c r="L87" s="215" t="s">
        <v>514</v>
      </c>
      <c r="M87" s="216"/>
      <c r="N87" s="216"/>
      <c r="O87" s="216"/>
      <c r="P87" s="216"/>
      <c r="Q87" s="217"/>
      <c r="R87" s="215" t="s">
        <v>515</v>
      </c>
      <c r="S87" s="216"/>
      <c r="T87" s="216"/>
      <c r="U87" s="217"/>
      <c r="V87" s="215" t="s">
        <v>516</v>
      </c>
      <c r="W87" s="216"/>
      <c r="X87" s="216"/>
      <c r="Y87" s="217"/>
      <c r="Z87" s="215" t="s">
        <v>517</v>
      </c>
      <c r="AA87" s="216"/>
      <c r="AB87" s="216"/>
      <c r="AC87" s="217"/>
      <c r="AD87" s="215" t="s">
        <v>518</v>
      </c>
      <c r="AE87" s="216"/>
      <c r="AF87" s="216"/>
      <c r="AG87" s="217"/>
      <c r="AH87" s="215" t="s">
        <v>519</v>
      </c>
      <c r="AI87" s="216"/>
      <c r="AJ87" s="216"/>
      <c r="AK87" s="216"/>
      <c r="AL87" s="217"/>
      <c r="AM87" s="215" t="s">
        <v>520</v>
      </c>
      <c r="AN87" s="216"/>
      <c r="AO87" s="216"/>
      <c r="AP87" s="216"/>
      <c r="AQ87" s="216"/>
      <c r="AR87" s="216"/>
      <c r="AS87" s="217"/>
      <c r="AT87" s="215" t="s">
        <v>521</v>
      </c>
      <c r="AU87" s="216"/>
      <c r="AV87" s="216"/>
      <c r="AW87" s="216"/>
      <c r="AX87" s="216"/>
      <c r="AY87" s="216"/>
      <c r="AZ87" s="217"/>
      <c r="BA87" s="215" t="s">
        <v>522</v>
      </c>
      <c r="BB87" s="216"/>
      <c r="BC87" s="216"/>
      <c r="BD87" s="216"/>
      <c r="BE87" s="216"/>
      <c r="BF87" s="217"/>
      <c r="BG87" s="215" t="s">
        <v>523</v>
      </c>
      <c r="BH87" s="217"/>
      <c r="BI87" s="215" t="s">
        <v>524</v>
      </c>
      <c r="BJ87" s="216"/>
      <c r="BK87" s="216"/>
      <c r="BL87" s="216"/>
      <c r="BM87" s="217"/>
      <c r="BN87" s="215" t="s">
        <v>525</v>
      </c>
      <c r="BO87" s="216"/>
      <c r="BP87" s="216"/>
      <c r="BQ87" s="216"/>
      <c r="BR87" s="216"/>
      <c r="BS87" s="216"/>
      <c r="BT87" s="216"/>
      <c r="BU87" s="216"/>
      <c r="BV87" s="216"/>
      <c r="BW87" s="216"/>
      <c r="BX87" s="216"/>
      <c r="BY87" s="216"/>
      <c r="BZ87" s="216"/>
      <c r="CA87" s="216"/>
      <c r="CB87" s="216"/>
      <c r="CC87" s="217"/>
      <c r="CD87" s="215" t="s">
        <v>526</v>
      </c>
      <c r="CE87" s="217"/>
      <c r="CF87" s="215" t="s">
        <v>527</v>
      </c>
      <c r="CG87" s="216"/>
      <c r="CH87" s="216"/>
      <c r="CI87" s="216"/>
      <c r="CJ87" s="216"/>
      <c r="CK87" s="217"/>
      <c r="CL87" s="218"/>
      <c r="CM87" s="215" t="s">
        <v>19</v>
      </c>
      <c r="CN87" s="216"/>
      <c r="CO87" s="216"/>
      <c r="CP87" s="217"/>
      <c r="CQ87" s="215" t="s">
        <v>528</v>
      </c>
      <c r="CR87" s="216"/>
      <c r="CS87" s="216"/>
      <c r="CT87" s="216"/>
      <c r="CU87" s="217"/>
      <c r="CV87" s="215" t="s">
        <v>529</v>
      </c>
      <c r="CW87" s="217"/>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row>
    <row r="88" spans="1:131" ht="127.5">
      <c r="A88" s="195" t="s">
        <v>388</v>
      </c>
      <c r="B88" s="196" t="s">
        <v>389</v>
      </c>
      <c r="C88" s="197" t="s">
        <v>11</v>
      </c>
      <c r="D88" s="197" t="s">
        <v>530</v>
      </c>
      <c r="E88" s="197" t="s">
        <v>531</v>
      </c>
      <c r="F88" s="197" t="s">
        <v>532</v>
      </c>
      <c r="G88" s="197" t="s">
        <v>533</v>
      </c>
      <c r="H88" s="197" t="s">
        <v>534</v>
      </c>
      <c r="I88" s="197" t="s">
        <v>535</v>
      </c>
      <c r="J88" s="197" t="s">
        <v>536</v>
      </c>
      <c r="K88" s="197" t="s">
        <v>537</v>
      </c>
      <c r="L88" s="197" t="s">
        <v>538</v>
      </c>
      <c r="M88" s="197" t="s">
        <v>539</v>
      </c>
      <c r="N88" s="197" t="s">
        <v>540</v>
      </c>
      <c r="O88" s="197" t="s">
        <v>541</v>
      </c>
      <c r="P88" s="197" t="s">
        <v>542</v>
      </c>
      <c r="Q88" s="197" t="s">
        <v>543</v>
      </c>
      <c r="R88" s="197" t="s">
        <v>544</v>
      </c>
      <c r="S88" s="197" t="s">
        <v>545</v>
      </c>
      <c r="T88" s="197" t="s">
        <v>546</v>
      </c>
      <c r="U88" s="197" t="s">
        <v>453</v>
      </c>
      <c r="V88" s="197" t="s">
        <v>544</v>
      </c>
      <c r="W88" s="197" t="s">
        <v>545</v>
      </c>
      <c r="X88" s="197" t="s">
        <v>546</v>
      </c>
      <c r="Y88" s="197" t="s">
        <v>453</v>
      </c>
      <c r="Z88" s="197" t="s">
        <v>544</v>
      </c>
      <c r="AA88" s="197" t="s">
        <v>545</v>
      </c>
      <c r="AB88" s="197" t="s">
        <v>546</v>
      </c>
      <c r="AC88" s="197" t="s">
        <v>453</v>
      </c>
      <c r="AD88" s="197" t="s">
        <v>544</v>
      </c>
      <c r="AE88" s="197" t="s">
        <v>545</v>
      </c>
      <c r="AF88" s="197" t="s">
        <v>546</v>
      </c>
      <c r="AG88" s="197" t="s">
        <v>453</v>
      </c>
      <c r="AH88" s="197" t="s">
        <v>544</v>
      </c>
      <c r="AI88" s="197" t="s">
        <v>545</v>
      </c>
      <c r="AJ88" s="197" t="s">
        <v>546</v>
      </c>
      <c r="AK88" s="197" t="s">
        <v>453</v>
      </c>
      <c r="AL88" s="197" t="s">
        <v>547</v>
      </c>
      <c r="AM88" s="197" t="s">
        <v>548</v>
      </c>
      <c r="AN88" s="197" t="s">
        <v>549</v>
      </c>
      <c r="AO88" s="197" t="s">
        <v>550</v>
      </c>
      <c r="AP88" s="197" t="s">
        <v>551</v>
      </c>
      <c r="AQ88" s="197" t="s">
        <v>552</v>
      </c>
      <c r="AR88" s="197" t="s">
        <v>553</v>
      </c>
      <c r="AS88" s="197" t="s">
        <v>554</v>
      </c>
      <c r="AT88" s="197" t="s">
        <v>555</v>
      </c>
      <c r="AU88" s="197" t="s">
        <v>556</v>
      </c>
      <c r="AV88" s="197" t="s">
        <v>557</v>
      </c>
      <c r="AW88" s="197" t="s">
        <v>558</v>
      </c>
      <c r="AX88" s="197" t="s">
        <v>559</v>
      </c>
      <c r="AY88" s="197" t="s">
        <v>560</v>
      </c>
      <c r="AZ88" s="197" t="s">
        <v>561</v>
      </c>
      <c r="BA88" s="197" t="s">
        <v>562</v>
      </c>
      <c r="BB88" s="197" t="s">
        <v>563</v>
      </c>
      <c r="BC88" s="197" t="s">
        <v>564</v>
      </c>
      <c r="BD88" s="197" t="s">
        <v>565</v>
      </c>
      <c r="BE88" s="197" t="s">
        <v>566</v>
      </c>
      <c r="BF88" s="197" t="s">
        <v>567</v>
      </c>
      <c r="BG88" s="197" t="s">
        <v>568</v>
      </c>
      <c r="BH88" s="197" t="s">
        <v>569</v>
      </c>
      <c r="BI88" s="197" t="s">
        <v>570</v>
      </c>
      <c r="BJ88" s="197" t="s">
        <v>571</v>
      </c>
      <c r="BK88" s="197" t="s">
        <v>572</v>
      </c>
      <c r="BL88" s="197" t="s">
        <v>573</v>
      </c>
      <c r="BM88" s="197" t="s">
        <v>574</v>
      </c>
      <c r="BN88" s="197" t="s">
        <v>575</v>
      </c>
      <c r="BO88" s="197" t="s">
        <v>576</v>
      </c>
      <c r="BP88" s="197" t="s">
        <v>577</v>
      </c>
      <c r="BQ88" s="197" t="s">
        <v>578</v>
      </c>
      <c r="BR88" s="197" t="s">
        <v>579</v>
      </c>
      <c r="BS88" s="197" t="s">
        <v>580</v>
      </c>
      <c r="BT88" s="197" t="s">
        <v>581</v>
      </c>
      <c r="BU88" s="197" t="s">
        <v>582</v>
      </c>
      <c r="BV88" s="197" t="s">
        <v>583</v>
      </c>
      <c r="BW88" s="197" t="s">
        <v>584</v>
      </c>
      <c r="BX88" s="197" t="s">
        <v>585</v>
      </c>
      <c r="BY88" s="197" t="s">
        <v>586</v>
      </c>
      <c r="BZ88" s="197" t="s">
        <v>587</v>
      </c>
      <c r="CA88" s="197" t="s">
        <v>588</v>
      </c>
      <c r="CB88" s="197" t="s">
        <v>589</v>
      </c>
      <c r="CC88" s="197" t="s">
        <v>590</v>
      </c>
      <c r="CD88" s="197" t="s">
        <v>399</v>
      </c>
      <c r="CE88" s="197" t="s">
        <v>398</v>
      </c>
      <c r="CF88" s="197" t="s">
        <v>591</v>
      </c>
      <c r="CG88" s="197" t="s">
        <v>592</v>
      </c>
      <c r="CH88" s="197" t="s">
        <v>593</v>
      </c>
      <c r="CI88" s="197" t="s">
        <v>594</v>
      </c>
      <c r="CJ88" s="197" t="s">
        <v>595</v>
      </c>
      <c r="CK88" s="197" t="s">
        <v>596</v>
      </c>
      <c r="CL88" s="197"/>
      <c r="CM88" s="197" t="s">
        <v>597</v>
      </c>
      <c r="CN88" s="197" t="s">
        <v>598</v>
      </c>
      <c r="CO88" s="197" t="s">
        <v>599</v>
      </c>
      <c r="CP88" s="197" t="s">
        <v>600</v>
      </c>
      <c r="CQ88" s="197" t="s">
        <v>601</v>
      </c>
      <c r="CR88" s="197" t="s">
        <v>602</v>
      </c>
      <c r="CS88" s="197" t="s">
        <v>603</v>
      </c>
      <c r="CT88" s="197" t="s">
        <v>604</v>
      </c>
      <c r="CU88" s="197" t="s">
        <v>605</v>
      </c>
      <c r="CV88" s="197" t="s">
        <v>606</v>
      </c>
      <c r="CW88" s="197" t="s">
        <v>607</v>
      </c>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row>
    <row r="89" spans="1:131">
      <c r="A89" s="24" t="s">
        <v>414</v>
      </c>
      <c r="B89" s="24"/>
      <c r="C89" s="45">
        <v>16.279069767441861</v>
      </c>
      <c r="D89" s="45">
        <v>743.50510204081638</v>
      </c>
      <c r="E89" s="45">
        <v>0</v>
      </c>
      <c r="F89" s="45">
        <v>2.0115772129567233</v>
      </c>
      <c r="G89" s="45">
        <v>0</v>
      </c>
      <c r="H89" s="45">
        <v>0</v>
      </c>
      <c r="I89" s="45"/>
      <c r="J89" s="45"/>
      <c r="K89" s="45"/>
      <c r="L89" s="45">
        <v>841.23057955103127</v>
      </c>
      <c r="M89" s="45">
        <v>0.1966317209355842</v>
      </c>
      <c r="N89" s="45">
        <v>0.18655760999581042</v>
      </c>
      <c r="O89" s="45">
        <v>0</v>
      </c>
      <c r="P89" s="45">
        <v>0</v>
      </c>
      <c r="Q89" s="45">
        <v>0</v>
      </c>
      <c r="R89" s="45">
        <v>0.40113536792213955</v>
      </c>
      <c r="S89" s="45">
        <v>9.9317445313180402E-2</v>
      </c>
      <c r="T89" s="45">
        <v>0.82858046497892279</v>
      </c>
      <c r="U89" s="45">
        <v>1.1804883425692743</v>
      </c>
      <c r="V89" s="45">
        <v>0.1206946327774034</v>
      </c>
      <c r="W89" s="45">
        <v>3.0173658194350843E-2</v>
      </c>
      <c r="X89" s="45">
        <v>0.25144715161959041</v>
      </c>
      <c r="Y89" s="45">
        <v>0</v>
      </c>
      <c r="Z89" s="45">
        <v>0</v>
      </c>
      <c r="AA89" s="45">
        <v>0</v>
      </c>
      <c r="AB89" s="45">
        <v>0</v>
      </c>
      <c r="AC89" s="45">
        <v>0</v>
      </c>
      <c r="AD89" s="45">
        <v>0</v>
      </c>
      <c r="AE89" s="45">
        <v>0</v>
      </c>
      <c r="AF89" s="45">
        <v>0</v>
      </c>
      <c r="AG89" s="45">
        <v>0</v>
      </c>
      <c r="AH89" s="45">
        <v>0.521830000699543</v>
      </c>
      <c r="AI89" s="45">
        <v>0.12949110350753124</v>
      </c>
      <c r="AJ89" s="45">
        <v>1.0800276165985132</v>
      </c>
      <c r="AK89" s="45">
        <v>1.1804883425692743</v>
      </c>
      <c r="AL89" s="45">
        <v>2.9118370633748616</v>
      </c>
      <c r="AM89" s="45">
        <v>403.4728987528805</v>
      </c>
      <c r="AN89" s="45">
        <v>69.479520689467293</v>
      </c>
      <c r="AO89" s="45">
        <v>47.295241944234782</v>
      </c>
      <c r="AP89" s="45">
        <v>0</v>
      </c>
      <c r="AQ89" s="45">
        <v>520.24766138658254</v>
      </c>
      <c r="AR89" s="45">
        <v>0.521830000699543</v>
      </c>
      <c r="AS89" s="199">
        <v>996.9677111112062</v>
      </c>
      <c r="AT89" s="45">
        <v>403.4728987528805</v>
      </c>
      <c r="AU89" s="45">
        <v>78.596742861388336</v>
      </c>
      <c r="AV89" s="45">
        <v>48.206964161426889</v>
      </c>
      <c r="AW89" s="45">
        <v>0</v>
      </c>
      <c r="AX89" s="45">
        <v>530.27660577569577</v>
      </c>
      <c r="AY89" s="45">
        <v>0.12949110350753124</v>
      </c>
      <c r="AZ89" s="199">
        <v>4095.0813717087117</v>
      </c>
      <c r="BA89" s="45">
        <v>403.4728987528805</v>
      </c>
      <c r="BB89" s="45">
        <v>148.07626355085563</v>
      </c>
      <c r="BC89" s="45">
        <v>55.154916230373615</v>
      </c>
      <c r="BD89" s="45">
        <v>0</v>
      </c>
      <c r="BE89" s="45">
        <v>606.70407853410973</v>
      </c>
      <c r="BF89" s="45">
        <v>0.65132110420707423</v>
      </c>
      <c r="BG89" s="45">
        <v>-17.719494446739034</v>
      </c>
      <c r="BH89" s="199">
        <v>931.49765087486026</v>
      </c>
      <c r="BI89" s="45">
        <v>4.5644043094527936E-2</v>
      </c>
      <c r="BJ89" s="45">
        <v>1.132648084803935E-2</v>
      </c>
      <c r="BK89" s="45">
        <v>9.4469131727224612E-2</v>
      </c>
      <c r="BL89" s="45">
        <v>0.10325634921063863</v>
      </c>
      <c r="BM89" s="45">
        <v>0.25469600488043048</v>
      </c>
      <c r="BN89" s="45">
        <v>403.4728987528805</v>
      </c>
      <c r="BO89" s="45">
        <v>0</v>
      </c>
      <c r="BP89" s="45">
        <v>148.07626355085563</v>
      </c>
      <c r="BQ89" s="45">
        <v>0</v>
      </c>
      <c r="BR89" s="45">
        <v>0</v>
      </c>
      <c r="BS89" s="45">
        <v>0</v>
      </c>
      <c r="BT89" s="45">
        <v>0</v>
      </c>
      <c r="BU89" s="45">
        <v>0</v>
      </c>
      <c r="BV89" s="45">
        <v>0</v>
      </c>
      <c r="BW89" s="45">
        <v>55.154916230373615</v>
      </c>
      <c r="BX89" s="45">
        <v>2.5095216207835169</v>
      </c>
      <c r="BY89" s="45">
        <v>0.40231544259134466</v>
      </c>
      <c r="BZ89" s="45">
        <v>0</v>
      </c>
      <c r="CA89" s="45">
        <v>0</v>
      </c>
      <c r="CB89" s="45">
        <v>606.70407853410973</v>
      </c>
      <c r="CC89" s="45">
        <v>2.9118370633748616</v>
      </c>
      <c r="CD89" s="199">
        <v>208.35783916800992</v>
      </c>
      <c r="CE89" s="45">
        <v>-17.521768965801172</v>
      </c>
      <c r="CF89" s="45">
        <v>7.991727493705282</v>
      </c>
      <c r="CG89" s="45">
        <v>0</v>
      </c>
      <c r="CH89" s="45">
        <v>7.991727493705282</v>
      </c>
      <c r="CI89" s="45">
        <v>0.39958452528673977</v>
      </c>
      <c r="CJ89" s="45">
        <v>0</v>
      </c>
      <c r="CK89" s="45">
        <v>0.39958452528673977</v>
      </c>
      <c r="CL89" s="45"/>
      <c r="CM89" s="45">
        <v>0</v>
      </c>
      <c r="CN89" s="45"/>
      <c r="CO89" s="45">
        <v>0</v>
      </c>
      <c r="CP89" s="45">
        <v>0</v>
      </c>
      <c r="CQ89" s="45">
        <v>0</v>
      </c>
      <c r="CR89" s="45">
        <v>0</v>
      </c>
      <c r="CS89" s="45">
        <v>0</v>
      </c>
      <c r="CT89" s="45">
        <v>0</v>
      </c>
      <c r="CU89" s="45">
        <v>1.0800276165985132</v>
      </c>
      <c r="CV89" s="45">
        <v>9999</v>
      </c>
      <c r="CW89" s="200">
        <v>0</v>
      </c>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row>
    <row r="90" spans="1:131">
      <c r="A90" s="24" t="s">
        <v>415</v>
      </c>
      <c r="B90" s="24"/>
      <c r="C90" s="45">
        <v>16.744186046511629</v>
      </c>
      <c r="D90" s="45">
        <v>647.87397959183659</v>
      </c>
      <c r="E90" s="45">
        <v>0</v>
      </c>
      <c r="F90" s="45">
        <v>6.6707622506870052</v>
      </c>
      <c r="G90" s="45">
        <v>0</v>
      </c>
      <c r="H90" s="45">
        <v>0</v>
      </c>
      <c r="I90" s="45"/>
      <c r="J90" s="45"/>
      <c r="K90" s="45"/>
      <c r="L90" s="45">
        <v>733.02980952261714</v>
      </c>
      <c r="M90" s="45">
        <v>0.17134055328854339</v>
      </c>
      <c r="N90" s="45">
        <v>0.16256219477091402</v>
      </c>
      <c r="O90" s="45">
        <v>0</v>
      </c>
      <c r="P90" s="45">
        <v>0</v>
      </c>
      <c r="Q90" s="45">
        <v>0</v>
      </c>
      <c r="R90" s="45">
        <v>1.3302391041790051</v>
      </c>
      <c r="S90" s="45">
        <v>0.32935502587843651</v>
      </c>
      <c r="T90" s="45">
        <v>2.7477261383935736</v>
      </c>
      <c r="U90" s="45">
        <v>3.736580981107207</v>
      </c>
      <c r="V90" s="45">
        <v>0.4002457350412203</v>
      </c>
      <c r="W90" s="45">
        <v>0.10006143376030506</v>
      </c>
      <c r="X90" s="45">
        <v>0.83384528133587565</v>
      </c>
      <c r="Y90" s="45">
        <v>0</v>
      </c>
      <c r="Z90" s="45">
        <v>0</v>
      </c>
      <c r="AA90" s="45">
        <v>0</v>
      </c>
      <c r="AB90" s="45">
        <v>0</v>
      </c>
      <c r="AC90" s="45">
        <v>0</v>
      </c>
      <c r="AD90" s="45">
        <v>0</v>
      </c>
      <c r="AE90" s="45">
        <v>0</v>
      </c>
      <c r="AF90" s="45">
        <v>0</v>
      </c>
      <c r="AG90" s="45">
        <v>0</v>
      </c>
      <c r="AH90" s="45">
        <v>1.7304848392202254</v>
      </c>
      <c r="AI90" s="45">
        <v>0.42941645963874159</v>
      </c>
      <c r="AJ90" s="45">
        <v>3.5815714197294493</v>
      </c>
      <c r="AK90" s="45">
        <v>3.736580981107207</v>
      </c>
      <c r="AL90" s="45">
        <v>9.4780536996956233</v>
      </c>
      <c r="AM90" s="45">
        <v>351.5774025692325</v>
      </c>
      <c r="AN90" s="45">
        <v>60.542924918284392</v>
      </c>
      <c r="AO90" s="45">
        <v>41.212032748751689</v>
      </c>
      <c r="AP90" s="45">
        <v>0</v>
      </c>
      <c r="AQ90" s="45">
        <v>453.33236023626858</v>
      </c>
      <c r="AR90" s="45">
        <v>1.7304848392202254</v>
      </c>
      <c r="AS90" s="199">
        <v>261.96840906190482</v>
      </c>
      <c r="AT90" s="45">
        <v>351.5774025692325</v>
      </c>
      <c r="AU90" s="45">
        <v>68.487471627018536</v>
      </c>
      <c r="AV90" s="45">
        <v>42.00648741962511</v>
      </c>
      <c r="AW90" s="45">
        <v>0</v>
      </c>
      <c r="AX90" s="45">
        <v>462.07136161587613</v>
      </c>
      <c r="AY90" s="45">
        <v>0.42941645963874159</v>
      </c>
      <c r="AZ90" s="199">
        <v>1076.0448307095783</v>
      </c>
      <c r="BA90" s="45">
        <v>351.5774025692325</v>
      </c>
      <c r="BB90" s="45">
        <v>129.03039654530292</v>
      </c>
      <c r="BC90" s="45">
        <v>48.060779911453544</v>
      </c>
      <c r="BD90" s="45">
        <v>0</v>
      </c>
      <c r="BE90" s="45">
        <v>528.66857902598895</v>
      </c>
      <c r="BF90" s="45">
        <v>2.159901298858967</v>
      </c>
      <c r="BG90" s="45">
        <v>-17.559653435812884</v>
      </c>
      <c r="BH90" s="199">
        <v>244.76515630842673</v>
      </c>
      <c r="BI90" s="45">
        <v>0.17370658291496302</v>
      </c>
      <c r="BJ90" s="45">
        <v>4.3104951953753655E-2</v>
      </c>
      <c r="BK90" s="45">
        <v>0.35951920449498959</v>
      </c>
      <c r="BL90" s="45">
        <v>0.37507911037559283</v>
      </c>
      <c r="BM90" s="45">
        <v>0.9514098497392991</v>
      </c>
      <c r="BN90" s="45">
        <v>351.5774025692325</v>
      </c>
      <c r="BO90" s="45">
        <v>0</v>
      </c>
      <c r="BP90" s="45">
        <v>129.03039654530292</v>
      </c>
      <c r="BQ90" s="45">
        <v>0</v>
      </c>
      <c r="BR90" s="45">
        <v>0</v>
      </c>
      <c r="BS90" s="45">
        <v>0</v>
      </c>
      <c r="BT90" s="45">
        <v>0</v>
      </c>
      <c r="BU90" s="45">
        <v>0</v>
      </c>
      <c r="BV90" s="45">
        <v>0</v>
      </c>
      <c r="BW90" s="45">
        <v>48.060779911453544</v>
      </c>
      <c r="BX90" s="45">
        <v>8.1439012495582226</v>
      </c>
      <c r="BY90" s="45">
        <v>1.3341524501374011</v>
      </c>
      <c r="BZ90" s="45">
        <v>0</v>
      </c>
      <c r="CA90" s="45">
        <v>0</v>
      </c>
      <c r="CB90" s="45">
        <v>528.66857902598895</v>
      </c>
      <c r="CC90" s="45">
        <v>9.4780536996956233</v>
      </c>
      <c r="CD90" s="199">
        <v>55.778179336857576</v>
      </c>
      <c r="CE90" s="45">
        <v>-16.825055120942302</v>
      </c>
      <c r="CF90" s="45">
        <v>6.9638154209681566</v>
      </c>
      <c r="CG90" s="45">
        <v>0</v>
      </c>
      <c r="CH90" s="45">
        <v>6.9638154209681566</v>
      </c>
      <c r="CI90" s="45">
        <v>0.34818915952324303</v>
      </c>
      <c r="CJ90" s="45">
        <v>0</v>
      </c>
      <c r="CK90" s="45">
        <v>0.34818915952324303</v>
      </c>
      <c r="CL90" s="45"/>
      <c r="CM90" s="45">
        <v>0</v>
      </c>
      <c r="CN90" s="45"/>
      <c r="CO90" s="45">
        <v>0</v>
      </c>
      <c r="CP90" s="45">
        <v>0</v>
      </c>
      <c r="CQ90" s="45">
        <v>0</v>
      </c>
      <c r="CR90" s="45">
        <v>0</v>
      </c>
      <c r="CS90" s="45">
        <v>0</v>
      </c>
      <c r="CT90" s="45">
        <v>0</v>
      </c>
      <c r="CU90" s="45">
        <v>3.5815714197294493</v>
      </c>
      <c r="CV90" s="45">
        <v>9999</v>
      </c>
      <c r="CW90" s="200">
        <v>0</v>
      </c>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row>
    <row r="91" spans="1:131">
      <c r="A91" s="24" t="s">
        <v>416</v>
      </c>
      <c r="B91" s="24"/>
      <c r="C91" s="45">
        <v>16.744186046511629</v>
      </c>
      <c r="D91" s="45">
        <v>649.36581632653053</v>
      </c>
      <c r="E91" s="45">
        <v>0</v>
      </c>
      <c r="F91" s="45">
        <v>7.3019593555087283</v>
      </c>
      <c r="G91" s="45">
        <v>0</v>
      </c>
      <c r="H91" s="45">
        <v>0</v>
      </c>
      <c r="I91" s="45"/>
      <c r="J91" s="45"/>
      <c r="K91" s="45"/>
      <c r="L91" s="45">
        <v>734.71773160610712</v>
      </c>
      <c r="M91" s="45">
        <v>0.17173509318301433</v>
      </c>
      <c r="N91" s="45">
        <v>0.16293652104650316</v>
      </c>
      <c r="O91" s="45">
        <v>0</v>
      </c>
      <c r="P91" s="45">
        <v>0</v>
      </c>
      <c r="Q91" s="45">
        <v>0</v>
      </c>
      <c r="R91" s="45">
        <v>1.4561082387283526</v>
      </c>
      <c r="S91" s="45">
        <v>0.36051907145232021</v>
      </c>
      <c r="T91" s="45">
        <v>3.0077199319391883</v>
      </c>
      <c r="U91" s="45">
        <v>4.0901416400804571</v>
      </c>
      <c r="V91" s="45">
        <v>0.43811756133052371</v>
      </c>
      <c r="W91" s="45">
        <v>0.10952939033263091</v>
      </c>
      <c r="X91" s="45">
        <v>0.91274491943859104</v>
      </c>
      <c r="Y91" s="45">
        <v>0</v>
      </c>
      <c r="Z91" s="45">
        <v>0</v>
      </c>
      <c r="AA91" s="45">
        <v>0</v>
      </c>
      <c r="AB91" s="45">
        <v>0</v>
      </c>
      <c r="AC91" s="45">
        <v>0</v>
      </c>
      <c r="AD91" s="45">
        <v>0</v>
      </c>
      <c r="AE91" s="45">
        <v>0</v>
      </c>
      <c r="AF91" s="45">
        <v>0</v>
      </c>
      <c r="AG91" s="45">
        <v>0</v>
      </c>
      <c r="AH91" s="45">
        <v>1.8942258000588763</v>
      </c>
      <c r="AI91" s="45">
        <v>0.47004846178495113</v>
      </c>
      <c r="AJ91" s="45">
        <v>3.9204648513777793</v>
      </c>
      <c r="AK91" s="45">
        <v>4.0901416400804571</v>
      </c>
      <c r="AL91" s="45">
        <v>10.374880753302065</v>
      </c>
      <c r="AM91" s="45">
        <v>352.38696754755102</v>
      </c>
      <c r="AN91" s="45">
        <v>60.682334992255591</v>
      </c>
      <c r="AO91" s="45">
        <v>41.306930253980667</v>
      </c>
      <c r="AP91" s="45">
        <v>0</v>
      </c>
      <c r="AQ91" s="45">
        <v>454.37623279378727</v>
      </c>
      <c r="AR91" s="45">
        <v>1.8942258000588763</v>
      </c>
      <c r="AS91" s="199">
        <v>239.87437652874559</v>
      </c>
      <c r="AT91" s="45">
        <v>352.38696754755102</v>
      </c>
      <c r="AU91" s="45">
        <v>68.645175330605881</v>
      </c>
      <c r="AV91" s="45">
        <v>42.103214287815696</v>
      </c>
      <c r="AW91" s="45">
        <v>0</v>
      </c>
      <c r="AX91" s="45">
        <v>463.13535716597261</v>
      </c>
      <c r="AY91" s="45">
        <v>0.47004846178495113</v>
      </c>
      <c r="AZ91" s="199">
        <v>985.29278323190999</v>
      </c>
      <c r="BA91" s="45">
        <v>352.38696754755102</v>
      </c>
      <c r="BB91" s="45">
        <v>129.32751032286149</v>
      </c>
      <c r="BC91" s="45">
        <v>48.171447787041252</v>
      </c>
      <c r="BD91" s="45">
        <v>0</v>
      </c>
      <c r="BE91" s="45">
        <v>529.88592565745375</v>
      </c>
      <c r="BF91" s="45">
        <v>2.3642742618438275</v>
      </c>
      <c r="BG91" s="45">
        <v>-17.539683645065445</v>
      </c>
      <c r="BH91" s="199">
        <v>224.12202095547553</v>
      </c>
      <c r="BI91" s="45">
        <v>0.1897061196294951</v>
      </c>
      <c r="BJ91" s="45">
        <v>4.7075205986669852E-2</v>
      </c>
      <c r="BK91" s="45">
        <v>0.39263332495818976</v>
      </c>
      <c r="BL91" s="45">
        <v>0.40962640211666701</v>
      </c>
      <c r="BM91" s="45">
        <v>1.0390410526910219</v>
      </c>
      <c r="BN91" s="45">
        <v>352.38696754755102</v>
      </c>
      <c r="BO91" s="45">
        <v>0</v>
      </c>
      <c r="BP91" s="45">
        <v>129.32751032286149</v>
      </c>
      <c r="BQ91" s="45">
        <v>0</v>
      </c>
      <c r="BR91" s="45">
        <v>0</v>
      </c>
      <c r="BS91" s="45">
        <v>0</v>
      </c>
      <c r="BT91" s="45">
        <v>0</v>
      </c>
      <c r="BU91" s="45">
        <v>0</v>
      </c>
      <c r="BV91" s="45">
        <v>0</v>
      </c>
      <c r="BW91" s="45">
        <v>48.171447787041252</v>
      </c>
      <c r="BX91" s="45">
        <v>8.9144888822003185</v>
      </c>
      <c r="BY91" s="45">
        <v>1.4603918711017458</v>
      </c>
      <c r="BZ91" s="45">
        <v>0</v>
      </c>
      <c r="CA91" s="45">
        <v>0</v>
      </c>
      <c r="CB91" s="45">
        <v>529.88592565745375</v>
      </c>
      <c r="CC91" s="45">
        <v>10.374880753302065</v>
      </c>
      <c r="CD91" s="199">
        <v>51.073929258300566</v>
      </c>
      <c r="CE91" s="45">
        <v>-16.737423917990586</v>
      </c>
      <c r="CF91" s="45">
        <v>6.9798507549773587</v>
      </c>
      <c r="CG91" s="45">
        <v>0</v>
      </c>
      <c r="CH91" s="45">
        <v>6.9798507549773587</v>
      </c>
      <c r="CI91" s="45">
        <v>0.34899092251290081</v>
      </c>
      <c r="CJ91" s="45">
        <v>0</v>
      </c>
      <c r="CK91" s="45">
        <v>0.34899092251290081</v>
      </c>
      <c r="CL91" s="45"/>
      <c r="CM91" s="45">
        <v>0</v>
      </c>
      <c r="CN91" s="45"/>
      <c r="CO91" s="45">
        <v>0</v>
      </c>
      <c r="CP91" s="45">
        <v>0</v>
      </c>
      <c r="CQ91" s="45">
        <v>0</v>
      </c>
      <c r="CR91" s="45">
        <v>0</v>
      </c>
      <c r="CS91" s="45">
        <v>0</v>
      </c>
      <c r="CT91" s="45">
        <v>0</v>
      </c>
      <c r="CU91" s="45">
        <v>3.9204648513777793</v>
      </c>
      <c r="CV91" s="45">
        <v>9999</v>
      </c>
      <c r="CW91" s="200">
        <v>0</v>
      </c>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row>
    <row r="92" spans="1:131">
      <c r="A92" s="24" t="s">
        <v>419</v>
      </c>
      <c r="B92" s="24"/>
      <c r="C92" s="45">
        <v>16.744186046511629</v>
      </c>
      <c r="D92" s="45">
        <v>1606.9202380952379</v>
      </c>
      <c r="E92" s="45">
        <v>0</v>
      </c>
      <c r="F92" s="45">
        <v>51.863052062075326</v>
      </c>
      <c r="G92" s="45">
        <v>0</v>
      </c>
      <c r="H92" s="45">
        <v>0</v>
      </c>
      <c r="I92" s="45"/>
      <c r="J92" s="45"/>
      <c r="K92" s="45"/>
      <c r="L92" s="45">
        <v>1818.1320336264869</v>
      </c>
      <c r="M92" s="45">
        <v>0.42497555289881439</v>
      </c>
      <c r="N92" s="45">
        <v>0.40320261185845763</v>
      </c>
      <c r="O92" s="45">
        <v>0</v>
      </c>
      <c r="P92" s="45">
        <v>0</v>
      </c>
      <c r="Q92" s="45">
        <v>0</v>
      </c>
      <c r="R92" s="45">
        <v>10.34218539387145</v>
      </c>
      <c r="S92" s="45">
        <v>2.5606304365412442</v>
      </c>
      <c r="T92" s="45">
        <v>21.362695657929471</v>
      </c>
      <c r="U92" s="45">
        <v>29.05072713952076</v>
      </c>
      <c r="V92" s="45">
        <v>3.1117831237245195</v>
      </c>
      <c r="W92" s="45">
        <v>0.77794578093112976</v>
      </c>
      <c r="X92" s="45">
        <v>6.4828815077594157</v>
      </c>
      <c r="Y92" s="45">
        <v>0</v>
      </c>
      <c r="Z92" s="45">
        <v>0</v>
      </c>
      <c r="AA92" s="45">
        <v>0</v>
      </c>
      <c r="AB92" s="45">
        <v>0</v>
      </c>
      <c r="AC92" s="45">
        <v>0</v>
      </c>
      <c r="AD92" s="45">
        <v>0</v>
      </c>
      <c r="AE92" s="45">
        <v>0</v>
      </c>
      <c r="AF92" s="45">
        <v>0</v>
      </c>
      <c r="AG92" s="45">
        <v>0</v>
      </c>
      <c r="AH92" s="45">
        <v>13.453968517595969</v>
      </c>
      <c r="AI92" s="45">
        <v>3.3385762174723741</v>
      </c>
      <c r="AJ92" s="45">
        <v>27.845577165688887</v>
      </c>
      <c r="AK92" s="45">
        <v>29.05072713952076</v>
      </c>
      <c r="AL92" s="45">
        <v>73.688849040277987</v>
      </c>
      <c r="AM92" s="45">
        <v>872.01656686595436</v>
      </c>
      <c r="AN92" s="45">
        <v>150.1644677657271</v>
      </c>
      <c r="AO92" s="45">
        <v>102.21810346316815</v>
      </c>
      <c r="AP92" s="45">
        <v>0</v>
      </c>
      <c r="AQ92" s="45">
        <v>1124.3991380948496</v>
      </c>
      <c r="AR92" s="45">
        <v>13.453968517595969</v>
      </c>
      <c r="AS92" s="199">
        <v>83.573789891383186</v>
      </c>
      <c r="AT92" s="45">
        <v>872.01656686595436</v>
      </c>
      <c r="AU92" s="45">
        <v>169.86930742729305</v>
      </c>
      <c r="AV92" s="45">
        <v>104.18858742932474</v>
      </c>
      <c r="AW92" s="45">
        <v>0</v>
      </c>
      <c r="AX92" s="45">
        <v>1146.0744617225723</v>
      </c>
      <c r="AY92" s="45">
        <v>3.3385762174723741</v>
      </c>
      <c r="AZ92" s="199">
        <v>343.28240155926761</v>
      </c>
      <c r="BA92" s="45">
        <v>872.01656686595436</v>
      </c>
      <c r="BB92" s="45">
        <v>320.03377519302012</v>
      </c>
      <c r="BC92" s="45">
        <v>119.20503420589746</v>
      </c>
      <c r="BD92" s="45">
        <v>0</v>
      </c>
      <c r="BE92" s="45">
        <v>1311.255376264872</v>
      </c>
      <c r="BF92" s="45">
        <v>16.792544735068343</v>
      </c>
      <c r="BG92" s="45">
        <v>-17.096852703131638</v>
      </c>
      <c r="BH92" s="199">
        <v>78.085566955587169</v>
      </c>
      <c r="BI92" s="45">
        <v>0.54449651294926582</v>
      </c>
      <c r="BJ92" s="45">
        <v>0.13511575460070124</v>
      </c>
      <c r="BK92" s="45">
        <v>1.1269403260419177</v>
      </c>
      <c r="BL92" s="45">
        <v>1.1757140360051999</v>
      </c>
      <c r="BM92" s="45">
        <v>2.9822666295970848</v>
      </c>
      <c r="BN92" s="45">
        <v>872.01656686595436</v>
      </c>
      <c r="BO92" s="45">
        <v>0</v>
      </c>
      <c r="BP92" s="45">
        <v>320.03377519302012</v>
      </c>
      <c r="BQ92" s="45">
        <v>0</v>
      </c>
      <c r="BR92" s="45">
        <v>0</v>
      </c>
      <c r="BS92" s="45">
        <v>0</v>
      </c>
      <c r="BT92" s="45">
        <v>0</v>
      </c>
      <c r="BU92" s="45">
        <v>0</v>
      </c>
      <c r="BV92" s="45">
        <v>0</v>
      </c>
      <c r="BW92" s="45">
        <v>119.20503420589746</v>
      </c>
      <c r="BX92" s="45">
        <v>63.316238627862923</v>
      </c>
      <c r="BY92" s="45">
        <v>10.372610412415066</v>
      </c>
      <c r="BZ92" s="45">
        <v>0</v>
      </c>
      <c r="CA92" s="45">
        <v>0</v>
      </c>
      <c r="CB92" s="45">
        <v>1311.255376264872</v>
      </c>
      <c r="CC92" s="45">
        <v>73.688849040277987</v>
      </c>
      <c r="CD92" s="199">
        <v>17.794488492392464</v>
      </c>
      <c r="CE92" s="45">
        <v>-14.794198341084517</v>
      </c>
      <c r="CF92" s="45">
        <v>17.27233426068965</v>
      </c>
      <c r="CG92" s="45">
        <v>0</v>
      </c>
      <c r="CH92" s="45">
        <v>17.27233426068965</v>
      </c>
      <c r="CI92" s="45">
        <v>0.86361271597258116</v>
      </c>
      <c r="CJ92" s="45">
        <v>0</v>
      </c>
      <c r="CK92" s="45">
        <v>0.86361271597258116</v>
      </c>
      <c r="CL92" s="45"/>
      <c r="CM92" s="45">
        <v>0</v>
      </c>
      <c r="CN92" s="45"/>
      <c r="CO92" s="45">
        <v>0</v>
      </c>
      <c r="CP92" s="45">
        <v>0</v>
      </c>
      <c r="CQ92" s="45">
        <v>0</v>
      </c>
      <c r="CR92" s="45">
        <v>0</v>
      </c>
      <c r="CS92" s="45">
        <v>0</v>
      </c>
      <c r="CT92" s="45">
        <v>0</v>
      </c>
      <c r="CU92" s="45">
        <v>27.845577165688887</v>
      </c>
      <c r="CV92" s="45">
        <v>9999</v>
      </c>
      <c r="CW92" s="200">
        <v>0</v>
      </c>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row>
    <row r="93" spans="1:131">
      <c r="A93" s="24" t="s">
        <v>417</v>
      </c>
      <c r="B93" s="24"/>
      <c r="C93" s="45">
        <v>6.6762790697674417</v>
      </c>
      <c r="D93" s="45">
        <v>278.92666666666668</v>
      </c>
      <c r="E93" s="45">
        <v>0</v>
      </c>
      <c r="F93" s="45">
        <v>4.7789999869194872</v>
      </c>
      <c r="G93" s="45">
        <v>0</v>
      </c>
      <c r="H93" s="45">
        <v>0</v>
      </c>
      <c r="I93" s="45"/>
      <c r="J93" s="45"/>
      <c r="K93" s="45"/>
      <c r="L93" s="45">
        <v>315.58847519429145</v>
      </c>
      <c r="M93" s="45">
        <v>7.3766582543883921E-2</v>
      </c>
      <c r="N93" s="45">
        <v>6.9987269965734261E-2</v>
      </c>
      <c r="O93" s="45">
        <v>0</v>
      </c>
      <c r="P93" s="45">
        <v>0</v>
      </c>
      <c r="Q93" s="45">
        <v>0</v>
      </c>
      <c r="R93" s="45">
        <v>0.9529964376734521</v>
      </c>
      <c r="S93" s="45">
        <v>0.23595319473465187</v>
      </c>
      <c r="T93" s="45">
        <v>1.9684981544783511</v>
      </c>
      <c r="U93" s="45">
        <v>9.5525393811912522</v>
      </c>
      <c r="V93" s="45">
        <v>0.28673999921516924</v>
      </c>
      <c r="W93" s="45">
        <v>7.1684999803792296E-2</v>
      </c>
      <c r="X93" s="45">
        <v>0.59737499836493591</v>
      </c>
      <c r="Y93" s="45">
        <v>0</v>
      </c>
      <c r="Z93" s="45">
        <v>0</v>
      </c>
      <c r="AA93" s="45">
        <v>0</v>
      </c>
      <c r="AB93" s="45">
        <v>0</v>
      </c>
      <c r="AC93" s="45">
        <v>0</v>
      </c>
      <c r="AD93" s="45">
        <v>0</v>
      </c>
      <c r="AE93" s="45">
        <v>0</v>
      </c>
      <c r="AF93" s="45">
        <v>0</v>
      </c>
      <c r="AG93" s="45">
        <v>0</v>
      </c>
      <c r="AH93" s="45">
        <v>1.2397364368886215</v>
      </c>
      <c r="AI93" s="45">
        <v>0.30763819453844415</v>
      </c>
      <c r="AJ93" s="45">
        <v>2.5658731528432872</v>
      </c>
      <c r="AK93" s="45">
        <v>9.5525393811912522</v>
      </c>
      <c r="AL93" s="45">
        <v>13.665787165461603</v>
      </c>
      <c r="AM93" s="45">
        <v>151.36325282849253</v>
      </c>
      <c r="AN93" s="45">
        <v>26.065310183233851</v>
      </c>
      <c r="AO93" s="45">
        <v>17.74285630117264</v>
      </c>
      <c r="AP93" s="45">
        <v>0</v>
      </c>
      <c r="AQ93" s="45">
        <v>195.17141931289905</v>
      </c>
      <c r="AR93" s="45">
        <v>1.2397364368886215</v>
      </c>
      <c r="AS93" s="199">
        <v>157.4297677357315</v>
      </c>
      <c r="AT93" s="45">
        <v>151.36325282849253</v>
      </c>
      <c r="AU93" s="45">
        <v>29.485645003658199</v>
      </c>
      <c r="AV93" s="45">
        <v>18.084889783215075</v>
      </c>
      <c r="AW93" s="45">
        <v>0</v>
      </c>
      <c r="AX93" s="45">
        <v>198.93378761536582</v>
      </c>
      <c r="AY93" s="45">
        <v>0.30763819453844415</v>
      </c>
      <c r="AZ93" s="199">
        <v>646.64853437275633</v>
      </c>
      <c r="BA93" s="45">
        <v>151.36325282849253</v>
      </c>
      <c r="BB93" s="45">
        <v>55.550955186892054</v>
      </c>
      <c r="BC93" s="45">
        <v>20.69142080153846</v>
      </c>
      <c r="BD93" s="45">
        <v>0</v>
      </c>
      <c r="BE93" s="45">
        <v>227.60562881692306</v>
      </c>
      <c r="BF93" s="45">
        <v>1.5473746314270653</v>
      </c>
      <c r="BG93" s="45">
        <v>-17.415683311197924</v>
      </c>
      <c r="BH93" s="199">
        <v>147.09148269221262</v>
      </c>
      <c r="BI93" s="45">
        <v>0.28905357496430073</v>
      </c>
      <c r="BJ93" s="45">
        <v>7.1728084519378593E-2</v>
      </c>
      <c r="BK93" s="45">
        <v>0.59825200394663092</v>
      </c>
      <c r="BL93" s="45">
        <v>2.2272440947613026</v>
      </c>
      <c r="BM93" s="45">
        <v>3.1862777581916122</v>
      </c>
      <c r="BN93" s="45">
        <v>151.36325282849253</v>
      </c>
      <c r="BO93" s="45">
        <v>0</v>
      </c>
      <c r="BP93" s="45">
        <v>55.550955186892054</v>
      </c>
      <c r="BQ93" s="45">
        <v>0</v>
      </c>
      <c r="BR93" s="45">
        <v>0</v>
      </c>
      <c r="BS93" s="45">
        <v>0</v>
      </c>
      <c r="BT93" s="45">
        <v>0</v>
      </c>
      <c r="BU93" s="45">
        <v>0</v>
      </c>
      <c r="BV93" s="45">
        <v>0</v>
      </c>
      <c r="BW93" s="45">
        <v>20.69142080153846</v>
      </c>
      <c r="BX93" s="45">
        <v>12.709987168077706</v>
      </c>
      <c r="BY93" s="45">
        <v>0.95579999738389754</v>
      </c>
      <c r="BZ93" s="45">
        <v>0</v>
      </c>
      <c r="CA93" s="45">
        <v>0</v>
      </c>
      <c r="CB93" s="45">
        <v>227.60562881692306</v>
      </c>
      <c r="CC93" s="45">
        <v>13.665787165461603</v>
      </c>
      <c r="CD93" s="199">
        <v>16.655142222042283</v>
      </c>
      <c r="CE93" s="45">
        <v>-14.590187212489989</v>
      </c>
      <c r="CF93" s="45">
        <v>2.9981043904191012</v>
      </c>
      <c r="CG93" s="45">
        <v>0</v>
      </c>
      <c r="CH93" s="45">
        <v>2.9981043904191012</v>
      </c>
      <c r="CI93" s="45">
        <v>0.14990452571728841</v>
      </c>
      <c r="CJ93" s="45">
        <v>0</v>
      </c>
      <c r="CK93" s="45">
        <v>0.14990452571728841</v>
      </c>
      <c r="CL93" s="45"/>
      <c r="CM93" s="45">
        <v>0</v>
      </c>
      <c r="CN93" s="45"/>
      <c r="CO93" s="45">
        <v>0</v>
      </c>
      <c r="CP93" s="45">
        <v>0</v>
      </c>
      <c r="CQ93" s="45">
        <v>0</v>
      </c>
      <c r="CR93" s="45">
        <v>0</v>
      </c>
      <c r="CS93" s="45">
        <v>0</v>
      </c>
      <c r="CT93" s="45">
        <v>0</v>
      </c>
      <c r="CU93" s="45">
        <v>2.5658731528432872</v>
      </c>
      <c r="CV93" s="45">
        <v>9999</v>
      </c>
      <c r="CW93" s="200">
        <v>0</v>
      </c>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row>
    <row r="94" spans="1:131">
      <c r="A94" s="24" t="s">
        <v>418</v>
      </c>
      <c r="B94" s="24"/>
      <c r="C94" s="45">
        <v>6.6762790697674417</v>
      </c>
      <c r="D94" s="45">
        <v>278.92666666666668</v>
      </c>
      <c r="E94" s="45">
        <v>0</v>
      </c>
      <c r="F94" s="45">
        <v>4.7789999869194872</v>
      </c>
      <c r="G94" s="45">
        <v>0</v>
      </c>
      <c r="H94" s="45">
        <v>0</v>
      </c>
      <c r="I94" s="45"/>
      <c r="J94" s="45"/>
      <c r="K94" s="45"/>
      <c r="L94" s="45">
        <v>315.58847519429145</v>
      </c>
      <c r="M94" s="45">
        <v>7.3766582543883921E-2</v>
      </c>
      <c r="N94" s="45">
        <v>6.9987269965734261E-2</v>
      </c>
      <c r="O94" s="45">
        <v>0</v>
      </c>
      <c r="P94" s="45">
        <v>0</v>
      </c>
      <c r="Q94" s="45">
        <v>0</v>
      </c>
      <c r="R94" s="45">
        <v>0.9529964376734521</v>
      </c>
      <c r="S94" s="45">
        <v>0.23595319473465187</v>
      </c>
      <c r="T94" s="45">
        <v>1.9684981544783511</v>
      </c>
      <c r="U94" s="45">
        <v>9.5525393811912522</v>
      </c>
      <c r="V94" s="45">
        <v>0.28673999921516924</v>
      </c>
      <c r="W94" s="45">
        <v>7.1684999803792296E-2</v>
      </c>
      <c r="X94" s="45">
        <v>0.59737499836493591</v>
      </c>
      <c r="Y94" s="45">
        <v>0</v>
      </c>
      <c r="Z94" s="45">
        <v>0</v>
      </c>
      <c r="AA94" s="45">
        <v>0</v>
      </c>
      <c r="AB94" s="45">
        <v>0</v>
      </c>
      <c r="AC94" s="45">
        <v>0</v>
      </c>
      <c r="AD94" s="45">
        <v>0</v>
      </c>
      <c r="AE94" s="45">
        <v>0</v>
      </c>
      <c r="AF94" s="45">
        <v>0</v>
      </c>
      <c r="AG94" s="45">
        <v>0</v>
      </c>
      <c r="AH94" s="45">
        <v>1.2397364368886215</v>
      </c>
      <c r="AI94" s="45">
        <v>0.30763819453844415</v>
      </c>
      <c r="AJ94" s="45">
        <v>2.5658731528432872</v>
      </c>
      <c r="AK94" s="45">
        <v>9.5525393811912522</v>
      </c>
      <c r="AL94" s="45">
        <v>13.665787165461603</v>
      </c>
      <c r="AM94" s="45">
        <v>151.36325282849253</v>
      </c>
      <c r="AN94" s="45">
        <v>26.065310183233851</v>
      </c>
      <c r="AO94" s="45">
        <v>17.74285630117264</v>
      </c>
      <c r="AP94" s="45">
        <v>0</v>
      </c>
      <c r="AQ94" s="45">
        <v>195.17141931289905</v>
      </c>
      <c r="AR94" s="45">
        <v>1.2397364368886215</v>
      </c>
      <c r="AS94" s="199">
        <v>157.4297677357315</v>
      </c>
      <c r="AT94" s="45">
        <v>151.36325282849253</v>
      </c>
      <c r="AU94" s="45">
        <v>29.485645003658199</v>
      </c>
      <c r="AV94" s="45">
        <v>18.084889783215075</v>
      </c>
      <c r="AW94" s="45">
        <v>0</v>
      </c>
      <c r="AX94" s="45">
        <v>198.93378761536582</v>
      </c>
      <c r="AY94" s="45">
        <v>0.30763819453844415</v>
      </c>
      <c r="AZ94" s="199">
        <v>646.64853437275633</v>
      </c>
      <c r="BA94" s="45">
        <v>151.36325282849253</v>
      </c>
      <c r="BB94" s="45">
        <v>55.550955186892054</v>
      </c>
      <c r="BC94" s="45">
        <v>20.69142080153846</v>
      </c>
      <c r="BD94" s="45">
        <v>0</v>
      </c>
      <c r="BE94" s="45">
        <v>227.60562881692306</v>
      </c>
      <c r="BF94" s="45">
        <v>1.5473746314270653</v>
      </c>
      <c r="BG94" s="45">
        <v>-17.415683311197924</v>
      </c>
      <c r="BH94" s="199">
        <v>147.09148269221262</v>
      </c>
      <c r="BI94" s="45">
        <v>0.28905357496430073</v>
      </c>
      <c r="BJ94" s="45">
        <v>7.1728084519378593E-2</v>
      </c>
      <c r="BK94" s="45">
        <v>0.59825200394663092</v>
      </c>
      <c r="BL94" s="45">
        <v>2.2272440947613026</v>
      </c>
      <c r="BM94" s="45">
        <v>3.1862777581916122</v>
      </c>
      <c r="BN94" s="45">
        <v>151.36325282849253</v>
      </c>
      <c r="BO94" s="45">
        <v>0</v>
      </c>
      <c r="BP94" s="45">
        <v>55.550955186892054</v>
      </c>
      <c r="BQ94" s="45">
        <v>0</v>
      </c>
      <c r="BR94" s="45">
        <v>0</v>
      </c>
      <c r="BS94" s="45">
        <v>0</v>
      </c>
      <c r="BT94" s="45">
        <v>0</v>
      </c>
      <c r="BU94" s="45">
        <v>0</v>
      </c>
      <c r="BV94" s="45">
        <v>0</v>
      </c>
      <c r="BW94" s="45">
        <v>20.69142080153846</v>
      </c>
      <c r="BX94" s="45">
        <v>12.709987168077706</v>
      </c>
      <c r="BY94" s="45">
        <v>0.95579999738389754</v>
      </c>
      <c r="BZ94" s="45">
        <v>0</v>
      </c>
      <c r="CA94" s="45">
        <v>0</v>
      </c>
      <c r="CB94" s="45">
        <v>227.60562881692306</v>
      </c>
      <c r="CC94" s="45">
        <v>13.665787165461603</v>
      </c>
      <c r="CD94" s="199">
        <v>16.655142222042283</v>
      </c>
      <c r="CE94" s="45">
        <v>-14.590187212489989</v>
      </c>
      <c r="CF94" s="45">
        <v>2.9981043904191012</v>
      </c>
      <c r="CG94" s="45">
        <v>0</v>
      </c>
      <c r="CH94" s="45">
        <v>2.9981043904191012</v>
      </c>
      <c r="CI94" s="45">
        <v>0.14990452571728841</v>
      </c>
      <c r="CJ94" s="45">
        <v>0</v>
      </c>
      <c r="CK94" s="45">
        <v>0.14990452571728841</v>
      </c>
      <c r="CL94" s="45"/>
      <c r="CM94" s="45">
        <v>0</v>
      </c>
      <c r="CN94" s="45"/>
      <c r="CO94" s="45">
        <v>0</v>
      </c>
      <c r="CP94" s="45">
        <v>0</v>
      </c>
      <c r="CQ94" s="45">
        <v>0</v>
      </c>
      <c r="CR94" s="45">
        <v>0</v>
      </c>
      <c r="CS94" s="45">
        <v>0</v>
      </c>
      <c r="CT94" s="45">
        <v>0</v>
      </c>
      <c r="CU94" s="45">
        <v>2.5658731528432872</v>
      </c>
      <c r="CV94" s="45">
        <v>9999</v>
      </c>
      <c r="CW94" s="200">
        <v>0</v>
      </c>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row>
    <row r="95" spans="1:131">
      <c r="A95" s="24" t="s">
        <v>424</v>
      </c>
      <c r="B95" s="24"/>
      <c r="C95" s="45">
        <v>16.279069767441861</v>
      </c>
      <c r="D95" s="45">
        <v>1298.0734693877553</v>
      </c>
      <c r="E95" s="45">
        <v>0</v>
      </c>
      <c r="F95" s="45">
        <v>134.02315442591345</v>
      </c>
      <c r="G95" s="45">
        <v>0</v>
      </c>
      <c r="H95" s="45">
        <v>0</v>
      </c>
      <c r="I95" s="45"/>
      <c r="J95" s="45"/>
      <c r="K95" s="45"/>
      <c r="L95" s="45">
        <v>1468.6907917047924</v>
      </c>
      <c r="M95" s="45">
        <v>0.34329612464787984</v>
      </c>
      <c r="N95" s="45">
        <v>0.32570789814789353</v>
      </c>
      <c r="O95" s="45">
        <v>0</v>
      </c>
      <c r="P95" s="45">
        <v>0</v>
      </c>
      <c r="Q95" s="45">
        <v>0</v>
      </c>
      <c r="R95" s="45">
        <v>26.726007341126671</v>
      </c>
      <c r="S95" s="45">
        <v>6.617114781704359</v>
      </c>
      <c r="T95" s="45">
        <v>55.204924224081694</v>
      </c>
      <c r="U95" s="45">
        <v>78.651105418719141</v>
      </c>
      <c r="V95" s="45">
        <v>8.0413892655548072</v>
      </c>
      <c r="W95" s="45">
        <v>2.0103473163887013</v>
      </c>
      <c r="X95" s="45">
        <v>16.752894303239181</v>
      </c>
      <c r="Y95" s="45">
        <v>0</v>
      </c>
      <c r="Z95" s="45">
        <v>0</v>
      </c>
      <c r="AA95" s="45">
        <v>0</v>
      </c>
      <c r="AB95" s="45">
        <v>0</v>
      </c>
      <c r="AC95" s="45">
        <v>0</v>
      </c>
      <c r="AD95" s="45">
        <v>0</v>
      </c>
      <c r="AE95" s="45">
        <v>0</v>
      </c>
      <c r="AF95" s="45">
        <v>0</v>
      </c>
      <c r="AG95" s="45">
        <v>0</v>
      </c>
      <c r="AH95" s="45">
        <v>34.76739660668148</v>
      </c>
      <c r="AI95" s="45">
        <v>8.6274620980930603</v>
      </c>
      <c r="AJ95" s="45">
        <v>71.957818527320882</v>
      </c>
      <c r="AK95" s="45">
        <v>78.651105418719141</v>
      </c>
      <c r="AL95" s="45">
        <v>194.00378265081457</v>
      </c>
      <c r="AM95" s="45">
        <v>704.4167740752556</v>
      </c>
      <c r="AN95" s="45">
        <v>121.30316554011218</v>
      </c>
      <c r="AO95" s="45">
        <v>82.571993961536776</v>
      </c>
      <c r="AP95" s="45">
        <v>0</v>
      </c>
      <c r="AQ95" s="45">
        <v>908.29193357690463</v>
      </c>
      <c r="AR95" s="45">
        <v>34.76739660668148</v>
      </c>
      <c r="AS95" s="199">
        <v>26.124818716002228</v>
      </c>
      <c r="AT95" s="45">
        <v>704.4167740752556</v>
      </c>
      <c r="AU95" s="45">
        <v>137.22077549786442</v>
      </c>
      <c r="AV95" s="45">
        <v>84.163754957312008</v>
      </c>
      <c r="AW95" s="45">
        <v>0</v>
      </c>
      <c r="AX95" s="45">
        <v>925.80130453043205</v>
      </c>
      <c r="AY95" s="45">
        <v>8.6274620980930603</v>
      </c>
      <c r="AZ95" s="199">
        <v>107.30864928807547</v>
      </c>
      <c r="BA95" s="45">
        <v>704.4167740752556</v>
      </c>
      <c r="BB95" s="45">
        <v>258.52394103797661</v>
      </c>
      <c r="BC95" s="45">
        <v>96.294071511323224</v>
      </c>
      <c r="BD95" s="45">
        <v>0</v>
      </c>
      <c r="BE95" s="45">
        <v>1059.2347866245555</v>
      </c>
      <c r="BF95" s="45">
        <v>43.394858704774542</v>
      </c>
      <c r="BG95" s="45">
        <v>-15.602372454547242</v>
      </c>
      <c r="BH95" s="199">
        <v>24.409223079415455</v>
      </c>
      <c r="BI95" s="45">
        <v>1.7418546579976537</v>
      </c>
      <c r="BJ95" s="45">
        <v>0.43223785813671239</v>
      </c>
      <c r="BK95" s="45">
        <v>3.6051034478973989</v>
      </c>
      <c r="BL95" s="45">
        <v>3.940438678227995</v>
      </c>
      <c r="BM95" s="45">
        <v>9.7196346422597593</v>
      </c>
      <c r="BN95" s="45">
        <v>704.4167740752556</v>
      </c>
      <c r="BO95" s="45">
        <v>0</v>
      </c>
      <c r="BP95" s="45">
        <v>258.52394103797661</v>
      </c>
      <c r="BQ95" s="45">
        <v>0</v>
      </c>
      <c r="BR95" s="45">
        <v>0</v>
      </c>
      <c r="BS95" s="45">
        <v>0</v>
      </c>
      <c r="BT95" s="45">
        <v>0</v>
      </c>
      <c r="BU95" s="45">
        <v>0</v>
      </c>
      <c r="BV95" s="45">
        <v>0</v>
      </c>
      <c r="BW95" s="45">
        <v>96.294071511323224</v>
      </c>
      <c r="BX95" s="45">
        <v>167.19915176563188</v>
      </c>
      <c r="BY95" s="45">
        <v>26.804630885182689</v>
      </c>
      <c r="BZ95" s="45">
        <v>0</v>
      </c>
      <c r="CA95" s="45">
        <v>0</v>
      </c>
      <c r="CB95" s="45">
        <v>1059.2347866245555</v>
      </c>
      <c r="CC95" s="45">
        <v>194.00378265081457</v>
      </c>
      <c r="CD95" s="199">
        <v>5.4598666693579956</v>
      </c>
      <c r="CE95" s="45">
        <v>-8.0568303284218423</v>
      </c>
      <c r="CF95" s="45">
        <v>13.952627097891837</v>
      </c>
      <c r="CG95" s="45">
        <v>0</v>
      </c>
      <c r="CH95" s="45">
        <v>13.952627097891837</v>
      </c>
      <c r="CI95" s="45">
        <v>0.69762812605977631</v>
      </c>
      <c r="CJ95" s="45">
        <v>0</v>
      </c>
      <c r="CK95" s="45">
        <v>0.69762812605977631</v>
      </c>
      <c r="CL95" s="45"/>
      <c r="CM95" s="45">
        <v>0</v>
      </c>
      <c r="CN95" s="45"/>
      <c r="CO95" s="45">
        <v>0</v>
      </c>
      <c r="CP95" s="45">
        <v>0</v>
      </c>
      <c r="CQ95" s="45">
        <v>0</v>
      </c>
      <c r="CR95" s="45">
        <v>0</v>
      </c>
      <c r="CS95" s="45">
        <v>0</v>
      </c>
      <c r="CT95" s="45">
        <v>0</v>
      </c>
      <c r="CU95" s="45">
        <v>71.957818527320882</v>
      </c>
      <c r="CV95" s="45">
        <v>9999</v>
      </c>
      <c r="CW95" s="200">
        <v>0</v>
      </c>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row>
    <row r="96" spans="1:131">
      <c r="A96" s="24" t="s">
        <v>421</v>
      </c>
      <c r="B96" s="24"/>
      <c r="C96" s="45">
        <v>6.6762790697674417</v>
      </c>
      <c r="D96" s="45">
        <v>68.226666666666659</v>
      </c>
      <c r="E96" s="45">
        <v>0</v>
      </c>
      <c r="F96" s="45">
        <v>4.0008899869194874</v>
      </c>
      <c r="G96" s="45">
        <v>0</v>
      </c>
      <c r="H96" s="45">
        <v>0</v>
      </c>
      <c r="I96" s="45"/>
      <c r="J96" s="45"/>
      <c r="K96" s="45"/>
      <c r="L96" s="45">
        <v>77.194303284934591</v>
      </c>
      <c r="M96" s="45">
        <v>1.8043624507137073E-2</v>
      </c>
      <c r="N96" s="45">
        <v>1.7119188336942193E-2</v>
      </c>
      <c r="O96" s="45">
        <v>0</v>
      </c>
      <c r="P96" s="45">
        <v>0</v>
      </c>
      <c r="Q96" s="45">
        <v>0</v>
      </c>
      <c r="R96" s="45">
        <v>0.79783090928932687</v>
      </c>
      <c r="S96" s="45">
        <v>0.1975356302112157</v>
      </c>
      <c r="T96" s="45">
        <v>1.6479900768107303</v>
      </c>
      <c r="U96" s="45">
        <v>7.9972084671416068</v>
      </c>
      <c r="V96" s="45">
        <v>0.24005339921516924</v>
      </c>
      <c r="W96" s="45">
        <v>6.0013349803792304E-2</v>
      </c>
      <c r="X96" s="45">
        <v>0.50011124836493592</v>
      </c>
      <c r="Y96" s="45">
        <v>0</v>
      </c>
      <c r="Z96" s="45">
        <v>0</v>
      </c>
      <c r="AA96" s="45">
        <v>0</v>
      </c>
      <c r="AB96" s="45">
        <v>0</v>
      </c>
      <c r="AC96" s="45">
        <v>0</v>
      </c>
      <c r="AD96" s="45">
        <v>0</v>
      </c>
      <c r="AE96" s="45">
        <v>0</v>
      </c>
      <c r="AF96" s="45">
        <v>0</v>
      </c>
      <c r="AG96" s="45">
        <v>0</v>
      </c>
      <c r="AH96" s="45">
        <v>1.0378843085044962</v>
      </c>
      <c r="AI96" s="45">
        <v>0.25754898001500803</v>
      </c>
      <c r="AJ96" s="45">
        <v>2.1481013251756664</v>
      </c>
      <c r="AK96" s="45">
        <v>7.9972084671416068</v>
      </c>
      <c r="AL96" s="45">
        <v>11.440743080836778</v>
      </c>
      <c r="AM96" s="45">
        <v>37.024105008408256</v>
      </c>
      <c r="AN96" s="45">
        <v>6.3756873829492875</v>
      </c>
      <c r="AO96" s="45">
        <v>4.3399792391357543</v>
      </c>
      <c r="AP96" s="45">
        <v>0</v>
      </c>
      <c r="AQ96" s="45">
        <v>47.739771630493294</v>
      </c>
      <c r="AR96" s="45">
        <v>1.0378843085044962</v>
      </c>
      <c r="AS96" s="199">
        <v>45.997199533040714</v>
      </c>
      <c r="AT96" s="45">
        <v>37.024105008408256</v>
      </c>
      <c r="AU96" s="45">
        <v>7.2123160440602803</v>
      </c>
      <c r="AV96" s="45">
        <v>4.423642105246854</v>
      </c>
      <c r="AW96" s="45">
        <v>0</v>
      </c>
      <c r="AX96" s="45">
        <v>48.660063157715392</v>
      </c>
      <c r="AY96" s="45">
        <v>0.25754898001500803</v>
      </c>
      <c r="AZ96" s="199">
        <v>188.93518100859822</v>
      </c>
      <c r="BA96" s="45">
        <v>37.024105008408256</v>
      </c>
      <c r="BB96" s="45">
        <v>13.588003427009568</v>
      </c>
      <c r="BC96" s="45">
        <v>5.0612108435417831</v>
      </c>
      <c r="BD96" s="45">
        <v>0</v>
      </c>
      <c r="BE96" s="45">
        <v>55.67331927895961</v>
      </c>
      <c r="BF96" s="45">
        <v>1.2954332885195041</v>
      </c>
      <c r="BG96" s="45">
        <v>-16.541655603319395</v>
      </c>
      <c r="BH96" s="199">
        <v>42.976600780875636</v>
      </c>
      <c r="BI96" s="45">
        <v>0.98931321106027581</v>
      </c>
      <c r="BJ96" s="45">
        <v>0.24549615630193586</v>
      </c>
      <c r="BK96" s="45">
        <v>2.0475740911378906</v>
      </c>
      <c r="BL96" s="45">
        <v>7.6229536599762699</v>
      </c>
      <c r="BM96" s="45">
        <v>10.905337118476373</v>
      </c>
      <c r="BN96" s="45">
        <v>37.024105008408256</v>
      </c>
      <c r="BO96" s="45">
        <v>0</v>
      </c>
      <c r="BP96" s="45">
        <v>13.588003427009568</v>
      </c>
      <c r="BQ96" s="45">
        <v>0</v>
      </c>
      <c r="BR96" s="45">
        <v>0</v>
      </c>
      <c r="BS96" s="45">
        <v>0</v>
      </c>
      <c r="BT96" s="45">
        <v>0</v>
      </c>
      <c r="BU96" s="45">
        <v>0</v>
      </c>
      <c r="BV96" s="45">
        <v>0</v>
      </c>
      <c r="BW96" s="45">
        <v>5.0612108435417831</v>
      </c>
      <c r="BX96" s="45">
        <v>10.640565083452881</v>
      </c>
      <c r="BY96" s="45">
        <v>0.8001779973838975</v>
      </c>
      <c r="BZ96" s="45">
        <v>0</v>
      </c>
      <c r="CA96" s="45">
        <v>0</v>
      </c>
      <c r="CB96" s="45">
        <v>55.673319278959603</v>
      </c>
      <c r="CC96" s="45">
        <v>11.440743080836778</v>
      </c>
      <c r="CD96" s="199">
        <v>4.8662328037251621</v>
      </c>
      <c r="CE96" s="45">
        <v>-6.8711278522052313</v>
      </c>
      <c r="CF96" s="45">
        <v>0.73334927535431171</v>
      </c>
      <c r="CG96" s="45">
        <v>0</v>
      </c>
      <c r="CH96" s="45">
        <v>0.73334927535431171</v>
      </c>
      <c r="CI96" s="45">
        <v>3.666729406034392E-2</v>
      </c>
      <c r="CJ96" s="45">
        <v>0</v>
      </c>
      <c r="CK96" s="45">
        <v>3.666729406034392E-2</v>
      </c>
      <c r="CL96" s="45"/>
      <c r="CM96" s="45">
        <v>0</v>
      </c>
      <c r="CN96" s="45"/>
      <c r="CO96" s="45">
        <v>0</v>
      </c>
      <c r="CP96" s="45">
        <v>0</v>
      </c>
      <c r="CQ96" s="45">
        <v>0</v>
      </c>
      <c r="CR96" s="45">
        <v>0</v>
      </c>
      <c r="CS96" s="45">
        <v>0</v>
      </c>
      <c r="CT96" s="45">
        <v>0</v>
      </c>
      <c r="CU96" s="45">
        <v>2.1481013251756664</v>
      </c>
      <c r="CV96" s="45">
        <v>9999</v>
      </c>
      <c r="CW96" s="200">
        <v>0</v>
      </c>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row>
    <row r="97" spans="1:131">
      <c r="A97" s="24" t="s">
        <v>422</v>
      </c>
      <c r="B97" s="24"/>
      <c r="C97" s="45">
        <v>6.6762790697674417</v>
      </c>
      <c r="D97" s="45">
        <v>68.226666666666659</v>
      </c>
      <c r="E97" s="45">
        <v>0</v>
      </c>
      <c r="F97" s="45">
        <v>4.0008899869194874</v>
      </c>
      <c r="G97" s="45">
        <v>0</v>
      </c>
      <c r="H97" s="45">
        <v>0</v>
      </c>
      <c r="I97" s="45"/>
      <c r="J97" s="45"/>
      <c r="K97" s="45"/>
      <c r="L97" s="45">
        <v>77.194303284934591</v>
      </c>
      <c r="M97" s="45">
        <v>1.8043624507137073E-2</v>
      </c>
      <c r="N97" s="45">
        <v>1.7119188336942193E-2</v>
      </c>
      <c r="O97" s="45">
        <v>0</v>
      </c>
      <c r="P97" s="45">
        <v>0</v>
      </c>
      <c r="Q97" s="45">
        <v>0</v>
      </c>
      <c r="R97" s="45">
        <v>0.79783090928932687</v>
      </c>
      <c r="S97" s="45">
        <v>0.1975356302112157</v>
      </c>
      <c r="T97" s="45">
        <v>1.6479900768107303</v>
      </c>
      <c r="U97" s="45">
        <v>7.9972084671416068</v>
      </c>
      <c r="V97" s="45">
        <v>0.24005339921516924</v>
      </c>
      <c r="W97" s="45">
        <v>6.0013349803792304E-2</v>
      </c>
      <c r="X97" s="45">
        <v>0.50011124836493592</v>
      </c>
      <c r="Y97" s="45">
        <v>0</v>
      </c>
      <c r="Z97" s="45">
        <v>0</v>
      </c>
      <c r="AA97" s="45">
        <v>0</v>
      </c>
      <c r="AB97" s="45">
        <v>0</v>
      </c>
      <c r="AC97" s="45">
        <v>0</v>
      </c>
      <c r="AD97" s="45">
        <v>0</v>
      </c>
      <c r="AE97" s="45">
        <v>0</v>
      </c>
      <c r="AF97" s="45">
        <v>0</v>
      </c>
      <c r="AG97" s="45">
        <v>0</v>
      </c>
      <c r="AH97" s="45">
        <v>1.0378843085044962</v>
      </c>
      <c r="AI97" s="45">
        <v>0.25754898001500803</v>
      </c>
      <c r="AJ97" s="45">
        <v>2.1481013251756664</v>
      </c>
      <c r="AK97" s="45">
        <v>7.9972084671416068</v>
      </c>
      <c r="AL97" s="45">
        <v>11.440743080836778</v>
      </c>
      <c r="AM97" s="45">
        <v>37.024105008408256</v>
      </c>
      <c r="AN97" s="45">
        <v>6.3756873829492875</v>
      </c>
      <c r="AO97" s="45">
        <v>4.3399792391357543</v>
      </c>
      <c r="AP97" s="45">
        <v>0</v>
      </c>
      <c r="AQ97" s="45">
        <v>47.739771630493294</v>
      </c>
      <c r="AR97" s="45">
        <v>1.0378843085044962</v>
      </c>
      <c r="AS97" s="199">
        <v>45.997199533040714</v>
      </c>
      <c r="AT97" s="45">
        <v>37.024105008408256</v>
      </c>
      <c r="AU97" s="45">
        <v>7.2123160440602803</v>
      </c>
      <c r="AV97" s="45">
        <v>4.423642105246854</v>
      </c>
      <c r="AW97" s="45">
        <v>0</v>
      </c>
      <c r="AX97" s="45">
        <v>48.660063157715392</v>
      </c>
      <c r="AY97" s="45">
        <v>0.25754898001500803</v>
      </c>
      <c r="AZ97" s="199">
        <v>188.93518100859822</v>
      </c>
      <c r="BA97" s="45">
        <v>37.024105008408256</v>
      </c>
      <c r="BB97" s="45">
        <v>13.588003427009568</v>
      </c>
      <c r="BC97" s="45">
        <v>5.0612108435417831</v>
      </c>
      <c r="BD97" s="45">
        <v>0</v>
      </c>
      <c r="BE97" s="45">
        <v>55.67331927895961</v>
      </c>
      <c r="BF97" s="45">
        <v>1.2954332885195041</v>
      </c>
      <c r="BG97" s="45">
        <v>-16.541655603319395</v>
      </c>
      <c r="BH97" s="199">
        <v>42.976600780875636</v>
      </c>
      <c r="BI97" s="45">
        <v>0.98931321106027581</v>
      </c>
      <c r="BJ97" s="45">
        <v>0.24549615630193586</v>
      </c>
      <c r="BK97" s="45">
        <v>2.0475740911378906</v>
      </c>
      <c r="BL97" s="45">
        <v>7.6229536599762699</v>
      </c>
      <c r="BM97" s="45">
        <v>10.905337118476373</v>
      </c>
      <c r="BN97" s="45">
        <v>37.024105008408256</v>
      </c>
      <c r="BO97" s="45">
        <v>0</v>
      </c>
      <c r="BP97" s="45">
        <v>13.588003427009568</v>
      </c>
      <c r="BQ97" s="45">
        <v>0</v>
      </c>
      <c r="BR97" s="45">
        <v>0</v>
      </c>
      <c r="BS97" s="45">
        <v>0</v>
      </c>
      <c r="BT97" s="45">
        <v>0</v>
      </c>
      <c r="BU97" s="45">
        <v>0</v>
      </c>
      <c r="BV97" s="45">
        <v>0</v>
      </c>
      <c r="BW97" s="45">
        <v>5.0612108435417831</v>
      </c>
      <c r="BX97" s="45">
        <v>10.640565083452881</v>
      </c>
      <c r="BY97" s="45">
        <v>0.8001779973838975</v>
      </c>
      <c r="BZ97" s="45">
        <v>0</v>
      </c>
      <c r="CA97" s="45">
        <v>0</v>
      </c>
      <c r="CB97" s="45">
        <v>55.673319278959603</v>
      </c>
      <c r="CC97" s="45">
        <v>11.440743080836778</v>
      </c>
      <c r="CD97" s="199">
        <v>4.8662328037251621</v>
      </c>
      <c r="CE97" s="45">
        <v>-6.8711278522052313</v>
      </c>
      <c r="CF97" s="45">
        <v>0.73334927535431171</v>
      </c>
      <c r="CG97" s="45">
        <v>0</v>
      </c>
      <c r="CH97" s="45">
        <v>0.73334927535431171</v>
      </c>
      <c r="CI97" s="45">
        <v>3.666729406034392E-2</v>
      </c>
      <c r="CJ97" s="45">
        <v>0</v>
      </c>
      <c r="CK97" s="45">
        <v>3.666729406034392E-2</v>
      </c>
      <c r="CL97" s="45"/>
      <c r="CM97" s="45">
        <v>0</v>
      </c>
      <c r="CN97" s="45"/>
      <c r="CO97" s="45">
        <v>0</v>
      </c>
      <c r="CP97" s="45">
        <v>0</v>
      </c>
      <c r="CQ97" s="45">
        <v>0</v>
      </c>
      <c r="CR97" s="45">
        <v>0</v>
      </c>
      <c r="CS97" s="45">
        <v>0</v>
      </c>
      <c r="CT97" s="45">
        <v>0</v>
      </c>
      <c r="CU97" s="45">
        <v>2.1481013251756664</v>
      </c>
      <c r="CV97" s="45">
        <v>9999</v>
      </c>
      <c r="CW97" s="200">
        <v>0</v>
      </c>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row>
    <row r="98" spans="1:131">
      <c r="A98" s="24" t="s">
        <v>425</v>
      </c>
      <c r="B98" s="24"/>
      <c r="C98" s="45">
        <v>16.279069767441861</v>
      </c>
      <c r="D98" s="45">
        <v>3159.841836734694</v>
      </c>
      <c r="E98" s="45">
        <v>0</v>
      </c>
      <c r="F98" s="45">
        <v>532.0694632777404</v>
      </c>
      <c r="G98" s="45">
        <v>0</v>
      </c>
      <c r="H98" s="45">
        <v>0</v>
      </c>
      <c r="I98" s="45"/>
      <c r="J98" s="45"/>
      <c r="K98" s="45"/>
      <c r="L98" s="45">
        <v>3575.1679071329308</v>
      </c>
      <c r="M98" s="45">
        <v>0.83567030883305371</v>
      </c>
      <c r="N98" s="45">
        <v>0.79285608048676826</v>
      </c>
      <c r="O98" s="45">
        <v>0</v>
      </c>
      <c r="P98" s="45">
        <v>0</v>
      </c>
      <c r="Q98" s="45">
        <v>0</v>
      </c>
      <c r="R98" s="45">
        <v>106.10175862866241</v>
      </c>
      <c r="S98" s="45">
        <v>26.269824236191074</v>
      </c>
      <c r="T98" s="45">
        <v>219.16253596636892</v>
      </c>
      <c r="U98" s="45">
        <v>312.24344498973795</v>
      </c>
      <c r="V98" s="45">
        <v>31.924167796664424</v>
      </c>
      <c r="W98" s="45">
        <v>7.9810419491661042</v>
      </c>
      <c r="X98" s="45">
        <v>66.50868290971755</v>
      </c>
      <c r="Y98" s="45">
        <v>0</v>
      </c>
      <c r="Z98" s="45">
        <v>0</v>
      </c>
      <c r="AA98" s="45">
        <v>0</v>
      </c>
      <c r="AB98" s="45">
        <v>0</v>
      </c>
      <c r="AC98" s="45">
        <v>0</v>
      </c>
      <c r="AD98" s="45">
        <v>0</v>
      </c>
      <c r="AE98" s="45">
        <v>0</v>
      </c>
      <c r="AF98" s="45">
        <v>0</v>
      </c>
      <c r="AG98" s="45">
        <v>0</v>
      </c>
      <c r="AH98" s="45">
        <v>138.02592642532684</v>
      </c>
      <c r="AI98" s="45">
        <v>34.250866185357175</v>
      </c>
      <c r="AJ98" s="45">
        <v>285.67121887608647</v>
      </c>
      <c r="AK98" s="45">
        <v>312.24344498973795</v>
      </c>
      <c r="AL98" s="45">
        <v>770.19145647650839</v>
      </c>
      <c r="AM98" s="45">
        <v>1714.7300562814178</v>
      </c>
      <c r="AN98" s="45">
        <v>295.28283755986934</v>
      </c>
      <c r="AO98" s="45">
        <v>201.00128938412871</v>
      </c>
      <c r="AP98" s="45">
        <v>0</v>
      </c>
      <c r="AQ98" s="45">
        <v>2211.0141832254158</v>
      </c>
      <c r="AR98" s="45">
        <v>138.02592642532684</v>
      </c>
      <c r="AS98" s="199">
        <v>16.018832406979659</v>
      </c>
      <c r="AT98" s="45">
        <v>1714.7300562814178</v>
      </c>
      <c r="AU98" s="45">
        <v>334.0303592306214</v>
      </c>
      <c r="AV98" s="45">
        <v>204.87604155120394</v>
      </c>
      <c r="AW98" s="45">
        <v>0</v>
      </c>
      <c r="AX98" s="45">
        <v>2253.6364570632431</v>
      </c>
      <c r="AY98" s="45">
        <v>34.250866185357175</v>
      </c>
      <c r="AZ98" s="199">
        <v>65.797940550382663</v>
      </c>
      <c r="BA98" s="45">
        <v>1714.7300562814178</v>
      </c>
      <c r="BB98" s="45">
        <v>629.31319679049079</v>
      </c>
      <c r="BC98" s="45">
        <v>234.40432530719087</v>
      </c>
      <c r="BD98" s="45">
        <v>0</v>
      </c>
      <c r="BE98" s="45">
        <v>2578.4475783790995</v>
      </c>
      <c r="BF98" s="45">
        <v>172.276792610684</v>
      </c>
      <c r="BG98" s="45">
        <v>-14.230777531497223</v>
      </c>
      <c r="BH98" s="199">
        <v>14.966888687125426</v>
      </c>
      <c r="BI98" s="45">
        <v>2.8407586778912282</v>
      </c>
      <c r="BJ98" s="45">
        <v>0.70492876129314641</v>
      </c>
      <c r="BK98" s="45">
        <v>5.8794968095001172</v>
      </c>
      <c r="BL98" s="45">
        <v>6.4263888599880481</v>
      </c>
      <c r="BM98" s="45">
        <v>15.85157310867254</v>
      </c>
      <c r="BN98" s="45">
        <v>1714.7300562814178</v>
      </c>
      <c r="BO98" s="45">
        <v>0</v>
      </c>
      <c r="BP98" s="45">
        <v>629.31319679049079</v>
      </c>
      <c r="BQ98" s="45">
        <v>0</v>
      </c>
      <c r="BR98" s="45">
        <v>0</v>
      </c>
      <c r="BS98" s="45">
        <v>0</v>
      </c>
      <c r="BT98" s="45">
        <v>0</v>
      </c>
      <c r="BU98" s="45">
        <v>0</v>
      </c>
      <c r="BV98" s="45">
        <v>0</v>
      </c>
      <c r="BW98" s="45">
        <v>234.40432530719087</v>
      </c>
      <c r="BX98" s="45">
        <v>663.77756382096027</v>
      </c>
      <c r="BY98" s="45">
        <v>106.41389265554808</v>
      </c>
      <c r="BZ98" s="45">
        <v>0</v>
      </c>
      <c r="CA98" s="45">
        <v>0</v>
      </c>
      <c r="CB98" s="45">
        <v>2578.4475783790995</v>
      </c>
      <c r="CC98" s="45">
        <v>770.19145647650839</v>
      </c>
      <c r="CD98" s="199">
        <v>3.3478008054971777</v>
      </c>
      <c r="CE98" s="45">
        <v>-1.9248918620090572</v>
      </c>
      <c r="CF98" s="45">
        <v>33.964252313908865</v>
      </c>
      <c r="CG98" s="45">
        <v>0</v>
      </c>
      <c r="CH98" s="45">
        <v>33.964252313908865</v>
      </c>
      <c r="CI98" s="45">
        <v>1.6982047558881415</v>
      </c>
      <c r="CJ98" s="45">
        <v>0</v>
      </c>
      <c r="CK98" s="45">
        <v>1.6982047558881415</v>
      </c>
      <c r="CL98" s="45"/>
      <c r="CM98" s="45">
        <v>0</v>
      </c>
      <c r="CN98" s="45"/>
      <c r="CO98" s="45">
        <v>0</v>
      </c>
      <c r="CP98" s="45">
        <v>0</v>
      </c>
      <c r="CQ98" s="45">
        <v>0</v>
      </c>
      <c r="CR98" s="45">
        <v>0</v>
      </c>
      <c r="CS98" s="45">
        <v>0</v>
      </c>
      <c r="CT98" s="45">
        <v>0</v>
      </c>
      <c r="CU98" s="45">
        <v>285.67121887608647</v>
      </c>
      <c r="CV98" s="45">
        <v>9999</v>
      </c>
      <c r="CW98" s="200">
        <v>0</v>
      </c>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row>
    <row r="99" spans="1:131">
      <c r="A99" s="24" t="s">
        <v>426</v>
      </c>
      <c r="B99" s="24"/>
      <c r="C99" s="45">
        <v>16.744186046511629</v>
      </c>
      <c r="D99" s="45">
        <v>1606.9202380952379</v>
      </c>
      <c r="E99" s="45">
        <v>0</v>
      </c>
      <c r="F99" s="45">
        <v>332.28218672874203</v>
      </c>
      <c r="G99" s="45">
        <v>0</v>
      </c>
      <c r="H99" s="45">
        <v>0</v>
      </c>
      <c r="I99" s="45"/>
      <c r="J99" s="45"/>
      <c r="K99" s="45"/>
      <c r="L99" s="45">
        <v>1818.1320336264869</v>
      </c>
      <c r="M99" s="45">
        <v>0.42497555289881439</v>
      </c>
      <c r="N99" s="45">
        <v>0.40320261185845763</v>
      </c>
      <c r="O99" s="45">
        <v>0</v>
      </c>
      <c r="P99" s="45">
        <v>0</v>
      </c>
      <c r="Q99" s="45">
        <v>0</v>
      </c>
      <c r="R99" s="45">
        <v>66.261506826024373</v>
      </c>
      <c r="S99" s="45">
        <v>16.405742566783498</v>
      </c>
      <c r="T99" s="45">
        <v>136.86898370618874</v>
      </c>
      <c r="U99" s="45">
        <v>186.12555096885092</v>
      </c>
      <c r="V99" s="45">
        <v>19.936931203724523</v>
      </c>
      <c r="W99" s="45">
        <v>4.9842328009311299</v>
      </c>
      <c r="X99" s="45">
        <v>41.535273341092754</v>
      </c>
      <c r="Y99" s="45">
        <v>0</v>
      </c>
      <c r="Z99" s="45">
        <v>0</v>
      </c>
      <c r="AA99" s="45">
        <v>0</v>
      </c>
      <c r="AB99" s="45">
        <v>0</v>
      </c>
      <c r="AC99" s="45">
        <v>0</v>
      </c>
      <c r="AD99" s="45">
        <v>0</v>
      </c>
      <c r="AE99" s="45">
        <v>0</v>
      </c>
      <c r="AF99" s="45">
        <v>0</v>
      </c>
      <c r="AG99" s="45">
        <v>0</v>
      </c>
      <c r="AH99" s="45">
        <v>86.1984380297489</v>
      </c>
      <c r="AI99" s="45">
        <v>21.389975367714626</v>
      </c>
      <c r="AJ99" s="45">
        <v>178.4042570472815</v>
      </c>
      <c r="AK99" s="45">
        <v>186.12555096885092</v>
      </c>
      <c r="AL99" s="45">
        <v>472.11822141359596</v>
      </c>
      <c r="AM99" s="45">
        <v>872.01656686595436</v>
      </c>
      <c r="AN99" s="45">
        <v>150.1644677657271</v>
      </c>
      <c r="AO99" s="45">
        <v>102.21810346316815</v>
      </c>
      <c r="AP99" s="45">
        <v>0</v>
      </c>
      <c r="AQ99" s="45">
        <v>1124.3991380948496</v>
      </c>
      <c r="AR99" s="45">
        <v>86.1984380297489</v>
      </c>
      <c r="AS99" s="199">
        <v>13.044309894650246</v>
      </c>
      <c r="AT99" s="45">
        <v>872.01656686595436</v>
      </c>
      <c r="AU99" s="45">
        <v>169.86930742729305</v>
      </c>
      <c r="AV99" s="45">
        <v>104.18858742932474</v>
      </c>
      <c r="AW99" s="45">
        <v>0</v>
      </c>
      <c r="AX99" s="45">
        <v>1146.0744617225723</v>
      </c>
      <c r="AY99" s="45">
        <v>21.389975367714626</v>
      </c>
      <c r="AZ99" s="199">
        <v>53.579980435714852</v>
      </c>
      <c r="BA99" s="45">
        <v>872.01656686595436</v>
      </c>
      <c r="BB99" s="45">
        <v>320.03377519302012</v>
      </c>
      <c r="BC99" s="45">
        <v>119.20503420589746</v>
      </c>
      <c r="BD99" s="45">
        <v>0</v>
      </c>
      <c r="BE99" s="45">
        <v>1311.255376264872</v>
      </c>
      <c r="BF99" s="45">
        <v>107.58841339746353</v>
      </c>
      <c r="BG99" s="45">
        <v>-13.422246670553561</v>
      </c>
      <c r="BH99" s="199">
        <v>12.187700653421716</v>
      </c>
      <c r="BI99" s="45">
        <v>3.4885430917641407</v>
      </c>
      <c r="BJ99" s="45">
        <v>0.86567520836390455</v>
      </c>
      <c r="BK99" s="45">
        <v>7.2202113250452937</v>
      </c>
      <c r="BL99" s="45">
        <v>7.5327003583184391</v>
      </c>
      <c r="BM99" s="45">
        <v>19.107129983491777</v>
      </c>
      <c r="BN99" s="45">
        <v>872.01656686595436</v>
      </c>
      <c r="BO99" s="45">
        <v>0</v>
      </c>
      <c r="BP99" s="45">
        <v>320.03377519302012</v>
      </c>
      <c r="BQ99" s="45">
        <v>0</v>
      </c>
      <c r="BR99" s="45">
        <v>0</v>
      </c>
      <c r="BS99" s="45">
        <v>0</v>
      </c>
      <c r="BT99" s="45">
        <v>0</v>
      </c>
      <c r="BU99" s="45">
        <v>0</v>
      </c>
      <c r="BV99" s="45">
        <v>0</v>
      </c>
      <c r="BW99" s="45">
        <v>119.20503420589746</v>
      </c>
      <c r="BX99" s="45">
        <v>405.66178406784752</v>
      </c>
      <c r="BY99" s="45">
        <v>66.456437345748412</v>
      </c>
      <c r="BZ99" s="45">
        <v>0</v>
      </c>
      <c r="CA99" s="45">
        <v>0</v>
      </c>
      <c r="CB99" s="45">
        <v>1311.255376264872</v>
      </c>
      <c r="CC99" s="45">
        <v>472.11822141359596</v>
      </c>
      <c r="CD99" s="199">
        <v>2.7773877744831958</v>
      </c>
      <c r="CE99" s="45">
        <v>1.3306650128101762</v>
      </c>
      <c r="CF99" s="45">
        <v>17.27233426068965</v>
      </c>
      <c r="CG99" s="45">
        <v>0</v>
      </c>
      <c r="CH99" s="45">
        <v>17.27233426068965</v>
      </c>
      <c r="CI99" s="45">
        <v>0.86361271597258116</v>
      </c>
      <c r="CJ99" s="45">
        <v>0</v>
      </c>
      <c r="CK99" s="45">
        <v>0.86361271597258116</v>
      </c>
      <c r="CL99" s="45"/>
      <c r="CM99" s="45">
        <v>0</v>
      </c>
      <c r="CN99" s="45"/>
      <c r="CO99" s="45">
        <v>0</v>
      </c>
      <c r="CP99" s="45">
        <v>0</v>
      </c>
      <c r="CQ99" s="45">
        <v>0</v>
      </c>
      <c r="CR99" s="45">
        <v>0</v>
      </c>
      <c r="CS99" s="45">
        <v>0</v>
      </c>
      <c r="CT99" s="45">
        <v>0</v>
      </c>
      <c r="CU99" s="45">
        <v>178.4042570472815</v>
      </c>
      <c r="CV99" s="45">
        <v>9999</v>
      </c>
      <c r="CW99" s="200">
        <v>0</v>
      </c>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row>
    <row r="100" spans="1:131">
      <c r="A100" s="24" t="s">
        <v>423</v>
      </c>
      <c r="B100" s="24"/>
      <c r="C100" s="45">
        <v>6.6762790697674417</v>
      </c>
      <c r="D100" s="45">
        <v>278.92666666666668</v>
      </c>
      <c r="E100" s="45">
        <v>0</v>
      </c>
      <c r="F100" s="45">
        <v>30.451059986919489</v>
      </c>
      <c r="G100" s="45">
        <v>0</v>
      </c>
      <c r="H100" s="45">
        <v>0</v>
      </c>
      <c r="I100" s="45"/>
      <c r="J100" s="45"/>
      <c r="K100" s="45"/>
      <c r="L100" s="45">
        <v>315.58847519429145</v>
      </c>
      <c r="M100" s="45">
        <v>7.3766582543883921E-2</v>
      </c>
      <c r="N100" s="45">
        <v>6.9987269965734261E-2</v>
      </c>
      <c r="O100" s="45">
        <v>0</v>
      </c>
      <c r="P100" s="45">
        <v>0</v>
      </c>
      <c r="Q100" s="45">
        <v>0</v>
      </c>
      <c r="R100" s="45">
        <v>6.0723481419427285</v>
      </c>
      <c r="S100" s="45">
        <v>1.5034578168311736</v>
      </c>
      <c r="T100" s="45">
        <v>12.54297040180562</v>
      </c>
      <c r="U100" s="45">
        <v>60.867325909236541</v>
      </c>
      <c r="V100" s="45">
        <v>1.8270635992151694</v>
      </c>
      <c r="W100" s="45">
        <v>0.45676589980379229</v>
      </c>
      <c r="X100" s="45">
        <v>3.8063824983649361</v>
      </c>
      <c r="Y100" s="45">
        <v>0</v>
      </c>
      <c r="Z100" s="45">
        <v>0</v>
      </c>
      <c r="AA100" s="45">
        <v>0</v>
      </c>
      <c r="AB100" s="45">
        <v>0</v>
      </c>
      <c r="AC100" s="45">
        <v>0</v>
      </c>
      <c r="AD100" s="45">
        <v>0</v>
      </c>
      <c r="AE100" s="45">
        <v>0</v>
      </c>
      <c r="AF100" s="45">
        <v>0</v>
      </c>
      <c r="AG100" s="45">
        <v>0</v>
      </c>
      <c r="AH100" s="45">
        <v>7.8994117411578983</v>
      </c>
      <c r="AI100" s="45">
        <v>1.9602237166349659</v>
      </c>
      <c r="AJ100" s="45">
        <v>16.349352900170558</v>
      </c>
      <c r="AK100" s="45">
        <v>60.867325909236541</v>
      </c>
      <c r="AL100" s="45">
        <v>87.076314267199962</v>
      </c>
      <c r="AM100" s="45">
        <v>151.36325282849253</v>
      </c>
      <c r="AN100" s="45">
        <v>26.065310183233851</v>
      </c>
      <c r="AO100" s="45">
        <v>17.74285630117264</v>
      </c>
      <c r="AP100" s="45">
        <v>0</v>
      </c>
      <c r="AQ100" s="45">
        <v>195.17141931289905</v>
      </c>
      <c r="AR100" s="45">
        <v>7.8994117411578983</v>
      </c>
      <c r="AS100" s="199">
        <v>24.707082718072215</v>
      </c>
      <c r="AT100" s="45">
        <v>151.36325282849253</v>
      </c>
      <c r="AU100" s="45">
        <v>29.485645003658199</v>
      </c>
      <c r="AV100" s="45">
        <v>18.084889783215075</v>
      </c>
      <c r="AW100" s="45">
        <v>0</v>
      </c>
      <c r="AX100" s="45">
        <v>198.93378761536582</v>
      </c>
      <c r="AY100" s="45">
        <v>1.9602237166349659</v>
      </c>
      <c r="AZ100" s="199">
        <v>101.48524677421368</v>
      </c>
      <c r="BA100" s="45">
        <v>151.36325282849253</v>
      </c>
      <c r="BB100" s="45">
        <v>55.550955186892054</v>
      </c>
      <c r="BC100" s="45">
        <v>20.69142080153846</v>
      </c>
      <c r="BD100" s="45">
        <v>0</v>
      </c>
      <c r="BE100" s="45">
        <v>227.60562881692306</v>
      </c>
      <c r="BF100" s="45">
        <v>9.859635457792864</v>
      </c>
      <c r="BG100" s="45">
        <v>-15.477619190144257</v>
      </c>
      <c r="BH100" s="199">
        <v>23.084588653531608</v>
      </c>
      <c r="BI100" s="45">
        <v>1.8418053514884303</v>
      </c>
      <c r="BJ100" s="45">
        <v>0.45704042904891229</v>
      </c>
      <c r="BK100" s="45">
        <v>3.8119706443473915</v>
      </c>
      <c r="BL100" s="45">
        <v>14.191660121515548</v>
      </c>
      <c r="BM100" s="45">
        <v>20.302476546400285</v>
      </c>
      <c r="BN100" s="45">
        <v>151.36325282849253</v>
      </c>
      <c r="BO100" s="45">
        <v>0</v>
      </c>
      <c r="BP100" s="45">
        <v>55.550955186892054</v>
      </c>
      <c r="BQ100" s="45">
        <v>0</v>
      </c>
      <c r="BR100" s="45">
        <v>0</v>
      </c>
      <c r="BS100" s="45">
        <v>0</v>
      </c>
      <c r="BT100" s="45">
        <v>0</v>
      </c>
      <c r="BU100" s="45">
        <v>0</v>
      </c>
      <c r="BV100" s="45">
        <v>0</v>
      </c>
      <c r="BW100" s="45">
        <v>20.69142080153846</v>
      </c>
      <c r="BX100" s="45">
        <v>80.986102269816058</v>
      </c>
      <c r="BY100" s="45">
        <v>6.0902119973838982</v>
      </c>
      <c r="BZ100" s="45">
        <v>0</v>
      </c>
      <c r="CA100" s="45">
        <v>0</v>
      </c>
      <c r="CB100" s="45">
        <v>227.60562881692306</v>
      </c>
      <c r="CC100" s="45">
        <v>87.076314267199962</v>
      </c>
      <c r="CD100" s="199">
        <v>2.613863835790049</v>
      </c>
      <c r="CE100" s="45">
        <v>2.5260115757186798</v>
      </c>
      <c r="CF100" s="45">
        <v>2.9981043904191012</v>
      </c>
      <c r="CG100" s="45">
        <v>0</v>
      </c>
      <c r="CH100" s="45">
        <v>2.9981043904191012</v>
      </c>
      <c r="CI100" s="45">
        <v>0.14990452571728841</v>
      </c>
      <c r="CJ100" s="45">
        <v>0</v>
      </c>
      <c r="CK100" s="45">
        <v>0.14990452571728841</v>
      </c>
      <c r="CL100" s="45"/>
      <c r="CM100" s="45">
        <v>0</v>
      </c>
      <c r="CN100" s="45"/>
      <c r="CO100" s="45">
        <v>0</v>
      </c>
      <c r="CP100" s="45">
        <v>0</v>
      </c>
      <c r="CQ100" s="45">
        <v>0</v>
      </c>
      <c r="CR100" s="45">
        <v>0</v>
      </c>
      <c r="CS100" s="45">
        <v>0</v>
      </c>
      <c r="CT100" s="45">
        <v>0</v>
      </c>
      <c r="CU100" s="45">
        <v>16.349352900170558</v>
      </c>
      <c r="CV100" s="45">
        <v>9999</v>
      </c>
      <c r="CW100" s="200">
        <v>0</v>
      </c>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row>
    <row r="101" spans="1:131">
      <c r="A101" s="24" t="s">
        <v>427</v>
      </c>
      <c r="B101" s="24"/>
      <c r="C101" s="45">
        <v>16.744186046511629</v>
      </c>
      <c r="D101" s="45">
        <v>1606.9202380952379</v>
      </c>
      <c r="E101" s="45">
        <v>0</v>
      </c>
      <c r="F101" s="45">
        <v>371.54658006207535</v>
      </c>
      <c r="G101" s="45">
        <v>0</v>
      </c>
      <c r="H101" s="45">
        <v>0</v>
      </c>
      <c r="I101" s="45"/>
      <c r="J101" s="45"/>
      <c r="K101" s="45"/>
      <c r="L101" s="45">
        <v>1818.1320336264869</v>
      </c>
      <c r="M101" s="45">
        <v>0.42497555289881439</v>
      </c>
      <c r="N101" s="45">
        <v>0.40320261185845763</v>
      </c>
      <c r="O101" s="45">
        <v>0</v>
      </c>
      <c r="P101" s="45">
        <v>0</v>
      </c>
      <c r="Q101" s="45">
        <v>0</v>
      </c>
      <c r="R101" s="45">
        <v>74.091351370174664</v>
      </c>
      <c r="S101" s="45">
        <v>18.344340405594089</v>
      </c>
      <c r="T101" s="45">
        <v>153.04221786080956</v>
      </c>
      <c r="U101" s="45">
        <v>208.11922723110064</v>
      </c>
      <c r="V101" s="45">
        <v>22.292794803724522</v>
      </c>
      <c r="W101" s="45">
        <v>5.5731987009311297</v>
      </c>
      <c r="X101" s="45">
        <v>46.443322507759419</v>
      </c>
      <c r="Y101" s="45">
        <v>0</v>
      </c>
      <c r="Z101" s="45">
        <v>0</v>
      </c>
      <c r="AA101" s="45">
        <v>0</v>
      </c>
      <c r="AB101" s="45">
        <v>0</v>
      </c>
      <c r="AC101" s="45">
        <v>0</v>
      </c>
      <c r="AD101" s="45">
        <v>0</v>
      </c>
      <c r="AE101" s="45">
        <v>0</v>
      </c>
      <c r="AF101" s="45">
        <v>0</v>
      </c>
      <c r="AG101" s="45">
        <v>0</v>
      </c>
      <c r="AH101" s="45">
        <v>96.384146173899182</v>
      </c>
      <c r="AI101" s="45">
        <v>23.917539106525219</v>
      </c>
      <c r="AJ101" s="45">
        <v>199.48554036856899</v>
      </c>
      <c r="AK101" s="45">
        <v>208.11922723110064</v>
      </c>
      <c r="AL101" s="45">
        <v>527.90645288009398</v>
      </c>
      <c r="AM101" s="45">
        <v>872.01656686595436</v>
      </c>
      <c r="AN101" s="45">
        <v>150.1644677657271</v>
      </c>
      <c r="AO101" s="45">
        <v>102.21810346316815</v>
      </c>
      <c r="AP101" s="45">
        <v>0</v>
      </c>
      <c r="AQ101" s="45">
        <v>1124.3991380948496</v>
      </c>
      <c r="AR101" s="45">
        <v>96.384146173899182</v>
      </c>
      <c r="AS101" s="199">
        <v>11.665810018861139</v>
      </c>
      <c r="AT101" s="45">
        <v>872.01656686595436</v>
      </c>
      <c r="AU101" s="45">
        <v>169.86930742729305</v>
      </c>
      <c r="AV101" s="45">
        <v>104.18858742932474</v>
      </c>
      <c r="AW101" s="45">
        <v>0</v>
      </c>
      <c r="AX101" s="45">
        <v>1146.0744617225723</v>
      </c>
      <c r="AY101" s="45">
        <v>23.917539106525219</v>
      </c>
      <c r="AZ101" s="199">
        <v>47.917741729954926</v>
      </c>
      <c r="BA101" s="45">
        <v>872.01656686595436</v>
      </c>
      <c r="BB101" s="45">
        <v>320.03377519302012</v>
      </c>
      <c r="BC101" s="45">
        <v>119.20503420589746</v>
      </c>
      <c r="BD101" s="45">
        <v>0</v>
      </c>
      <c r="BE101" s="45">
        <v>1311.255376264872</v>
      </c>
      <c r="BF101" s="45">
        <v>120.30168528042441</v>
      </c>
      <c r="BG101" s="45">
        <v>-12.907726943575256</v>
      </c>
      <c r="BH101" s="199">
        <v>10.899725745390207</v>
      </c>
      <c r="BI101" s="45">
        <v>3.9007696076174549</v>
      </c>
      <c r="BJ101" s="45">
        <v>0.9679684194888919</v>
      </c>
      <c r="BK101" s="45">
        <v>8.0733934357306278</v>
      </c>
      <c r="BL101" s="45">
        <v>8.4228079883509999</v>
      </c>
      <c r="BM101" s="45">
        <v>21.364939451187968</v>
      </c>
      <c r="BN101" s="45">
        <v>872.01656686595436</v>
      </c>
      <c r="BO101" s="45">
        <v>0</v>
      </c>
      <c r="BP101" s="45">
        <v>320.03377519302012</v>
      </c>
      <c r="BQ101" s="45">
        <v>0</v>
      </c>
      <c r="BR101" s="45">
        <v>0</v>
      </c>
      <c r="BS101" s="45">
        <v>0</v>
      </c>
      <c r="BT101" s="45">
        <v>0</v>
      </c>
      <c r="BU101" s="45">
        <v>0</v>
      </c>
      <c r="BV101" s="45">
        <v>0</v>
      </c>
      <c r="BW101" s="45">
        <v>119.20503420589746</v>
      </c>
      <c r="BX101" s="45">
        <v>453.59713686767896</v>
      </c>
      <c r="BY101" s="45">
        <v>74.309316012415067</v>
      </c>
      <c r="BZ101" s="45">
        <v>0</v>
      </c>
      <c r="CA101" s="45">
        <v>0</v>
      </c>
      <c r="CB101" s="45">
        <v>1311.255376264872</v>
      </c>
      <c r="CC101" s="45">
        <v>527.90645288009398</v>
      </c>
      <c r="CD101" s="199">
        <v>2.4838782877365282</v>
      </c>
      <c r="CE101" s="45">
        <v>3.5884744805063682</v>
      </c>
      <c r="CF101" s="45">
        <v>17.27233426068965</v>
      </c>
      <c r="CG101" s="45">
        <v>0</v>
      </c>
      <c r="CH101" s="45">
        <v>17.27233426068965</v>
      </c>
      <c r="CI101" s="45">
        <v>0.86361271597258116</v>
      </c>
      <c r="CJ101" s="45">
        <v>0</v>
      </c>
      <c r="CK101" s="45">
        <v>0.86361271597258116</v>
      </c>
      <c r="CL101" s="45"/>
      <c r="CM101" s="45">
        <v>0</v>
      </c>
      <c r="CN101" s="45"/>
      <c r="CO101" s="45">
        <v>0</v>
      </c>
      <c r="CP101" s="45">
        <v>0</v>
      </c>
      <c r="CQ101" s="45">
        <v>0</v>
      </c>
      <c r="CR101" s="45">
        <v>0</v>
      </c>
      <c r="CS101" s="45">
        <v>0</v>
      </c>
      <c r="CT101" s="45">
        <v>0</v>
      </c>
      <c r="CU101" s="45">
        <v>199.48554036856899</v>
      </c>
      <c r="CV101" s="45">
        <v>9999</v>
      </c>
      <c r="CW101" s="200">
        <v>0</v>
      </c>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row>
    <row r="102" spans="1:131">
      <c r="A102" s="24" t="s">
        <v>428</v>
      </c>
      <c r="B102" s="24"/>
      <c r="C102" s="45">
        <v>16.279069767441861</v>
      </c>
      <c r="D102" s="45">
        <v>743.50510204081638</v>
      </c>
      <c r="E102" s="45">
        <v>0</v>
      </c>
      <c r="F102" s="45">
        <v>179.07824387962339</v>
      </c>
      <c r="G102" s="45">
        <v>0</v>
      </c>
      <c r="H102" s="45">
        <v>0</v>
      </c>
      <c r="I102" s="45"/>
      <c r="J102" s="45"/>
      <c r="K102" s="45"/>
      <c r="L102" s="45">
        <v>841.23057955103127</v>
      </c>
      <c r="M102" s="45">
        <v>0.1966317209355842</v>
      </c>
      <c r="N102" s="45">
        <v>0.18655760999581042</v>
      </c>
      <c r="O102" s="45">
        <v>0</v>
      </c>
      <c r="P102" s="45">
        <v>0</v>
      </c>
      <c r="Q102" s="45">
        <v>0</v>
      </c>
      <c r="R102" s="45">
        <v>35.710594046706774</v>
      </c>
      <c r="S102" s="45">
        <v>8.8416162097763387</v>
      </c>
      <c r="T102" s="45">
        <v>73.763380110718884</v>
      </c>
      <c r="U102" s="45">
        <v>105.09155599200004</v>
      </c>
      <c r="V102" s="45">
        <v>10.744694632777403</v>
      </c>
      <c r="W102" s="45">
        <v>2.6861736581943503</v>
      </c>
      <c r="X102" s="45">
        <v>22.384780484952923</v>
      </c>
      <c r="Y102" s="45">
        <v>0</v>
      </c>
      <c r="Z102" s="45">
        <v>0</v>
      </c>
      <c r="AA102" s="45">
        <v>0</v>
      </c>
      <c r="AB102" s="45">
        <v>0</v>
      </c>
      <c r="AC102" s="45">
        <v>0</v>
      </c>
      <c r="AD102" s="45">
        <v>0</v>
      </c>
      <c r="AE102" s="45">
        <v>0</v>
      </c>
      <c r="AF102" s="45">
        <v>0</v>
      </c>
      <c r="AG102" s="45">
        <v>0</v>
      </c>
      <c r="AH102" s="45">
        <v>46.455288679484177</v>
      </c>
      <c r="AI102" s="45">
        <v>11.527789867970689</v>
      </c>
      <c r="AJ102" s="45">
        <v>96.148160595671811</v>
      </c>
      <c r="AK102" s="45">
        <v>105.09155599200004</v>
      </c>
      <c r="AL102" s="45">
        <v>259.22279513512672</v>
      </c>
      <c r="AM102" s="45">
        <v>403.4728987528805</v>
      </c>
      <c r="AN102" s="45">
        <v>69.479520689467293</v>
      </c>
      <c r="AO102" s="45">
        <v>47.295241944234782</v>
      </c>
      <c r="AP102" s="45">
        <v>0</v>
      </c>
      <c r="AQ102" s="45">
        <v>520.24766138658254</v>
      </c>
      <c r="AR102" s="45">
        <v>46.455288679484177</v>
      </c>
      <c r="AS102" s="199">
        <v>11.198889861087807</v>
      </c>
      <c r="AT102" s="45">
        <v>403.4728987528805</v>
      </c>
      <c r="AU102" s="45">
        <v>78.596742861388336</v>
      </c>
      <c r="AV102" s="45">
        <v>48.206964161426889</v>
      </c>
      <c r="AW102" s="45">
        <v>0</v>
      </c>
      <c r="AX102" s="45">
        <v>530.27660577569577</v>
      </c>
      <c r="AY102" s="45">
        <v>11.527789867970689</v>
      </c>
      <c r="AZ102" s="199">
        <v>45.999850088267074</v>
      </c>
      <c r="BA102" s="45">
        <v>403.4728987528805</v>
      </c>
      <c r="BB102" s="45">
        <v>148.07626355085563</v>
      </c>
      <c r="BC102" s="45">
        <v>55.154916230373615</v>
      </c>
      <c r="BD102" s="45">
        <v>0</v>
      </c>
      <c r="BE102" s="45">
        <v>606.70407853410973</v>
      </c>
      <c r="BF102" s="45">
        <v>57.983078547454866</v>
      </c>
      <c r="BG102" s="45">
        <v>-12.70473254359705</v>
      </c>
      <c r="BH102" s="199">
        <v>10.463467855325536</v>
      </c>
      <c r="BI102" s="45">
        <v>4.0634060816982238</v>
      </c>
      <c r="BJ102" s="45">
        <v>1.0083263453863309</v>
      </c>
      <c r="BK102" s="45">
        <v>8.410000919466647</v>
      </c>
      <c r="BL102" s="45">
        <v>9.1922723954917416</v>
      </c>
      <c r="BM102" s="45">
        <v>22.674005742042944</v>
      </c>
      <c r="BN102" s="45">
        <v>403.4728987528805</v>
      </c>
      <c r="BO102" s="45">
        <v>0</v>
      </c>
      <c r="BP102" s="45">
        <v>148.07626355085563</v>
      </c>
      <c r="BQ102" s="45">
        <v>0</v>
      </c>
      <c r="BR102" s="45">
        <v>0</v>
      </c>
      <c r="BS102" s="45">
        <v>0</v>
      </c>
      <c r="BT102" s="45">
        <v>0</v>
      </c>
      <c r="BU102" s="45">
        <v>0</v>
      </c>
      <c r="BV102" s="45">
        <v>0</v>
      </c>
      <c r="BW102" s="45">
        <v>55.154916230373615</v>
      </c>
      <c r="BX102" s="45">
        <v>223.40714635920205</v>
      </c>
      <c r="BY102" s="45">
        <v>35.815648775924679</v>
      </c>
      <c r="BZ102" s="45">
        <v>0</v>
      </c>
      <c r="CA102" s="45">
        <v>0</v>
      </c>
      <c r="CB102" s="45">
        <v>606.70407853410973</v>
      </c>
      <c r="CC102" s="45">
        <v>259.22279513512672</v>
      </c>
      <c r="CD102" s="199">
        <v>2.3404734842776818</v>
      </c>
      <c r="CE102" s="45">
        <v>4.8975407713613412</v>
      </c>
      <c r="CF102" s="45">
        <v>7.991727493705282</v>
      </c>
      <c r="CG102" s="45">
        <v>0</v>
      </c>
      <c r="CH102" s="45">
        <v>7.991727493705282</v>
      </c>
      <c r="CI102" s="45">
        <v>0.39958452528673977</v>
      </c>
      <c r="CJ102" s="45">
        <v>0</v>
      </c>
      <c r="CK102" s="45">
        <v>0.39958452528673977</v>
      </c>
      <c r="CL102" s="45"/>
      <c r="CM102" s="45">
        <v>0</v>
      </c>
      <c r="CN102" s="45"/>
      <c r="CO102" s="45">
        <v>0</v>
      </c>
      <c r="CP102" s="45">
        <v>0</v>
      </c>
      <c r="CQ102" s="45">
        <v>0</v>
      </c>
      <c r="CR102" s="45">
        <v>0</v>
      </c>
      <c r="CS102" s="45">
        <v>0</v>
      </c>
      <c r="CT102" s="45">
        <v>0</v>
      </c>
      <c r="CU102" s="45">
        <v>96.148160595671811</v>
      </c>
      <c r="CV102" s="45">
        <v>9999</v>
      </c>
      <c r="CW102" s="200">
        <v>0</v>
      </c>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row>
    <row r="103" spans="1:131">
      <c r="A103" s="24" t="s">
        <v>430</v>
      </c>
      <c r="B103" s="24"/>
      <c r="C103" s="45">
        <v>16.279069767441861</v>
      </c>
      <c r="D103" s="45">
        <v>1298.0734693877553</v>
      </c>
      <c r="E103" s="45">
        <v>0</v>
      </c>
      <c r="F103" s="45">
        <v>338.08982109258011</v>
      </c>
      <c r="G103" s="45">
        <v>0</v>
      </c>
      <c r="H103" s="45">
        <v>0</v>
      </c>
      <c r="I103" s="45"/>
      <c r="J103" s="45"/>
      <c r="K103" s="45"/>
      <c r="L103" s="45">
        <v>1468.6907917047924</v>
      </c>
      <c r="M103" s="45">
        <v>0.34329612464787984</v>
      </c>
      <c r="N103" s="45">
        <v>0.32570789814789353</v>
      </c>
      <c r="O103" s="45">
        <v>0</v>
      </c>
      <c r="P103" s="45">
        <v>0</v>
      </c>
      <c r="Q103" s="45">
        <v>0</v>
      </c>
      <c r="R103" s="45">
        <v>67.419626699469944</v>
      </c>
      <c r="S103" s="45">
        <v>16.692482446622179</v>
      </c>
      <c r="T103" s="45">
        <v>139.26118240013969</v>
      </c>
      <c r="U103" s="45">
        <v>198.40704595897046</v>
      </c>
      <c r="V103" s="45">
        <v>20.285389265554809</v>
      </c>
      <c r="W103" s="45">
        <v>5.0713473163887004</v>
      </c>
      <c r="X103" s="45">
        <v>42.261227636572514</v>
      </c>
      <c r="Y103" s="45">
        <v>0</v>
      </c>
      <c r="Z103" s="45">
        <v>0</v>
      </c>
      <c r="AA103" s="45">
        <v>0</v>
      </c>
      <c r="AB103" s="45">
        <v>0</v>
      </c>
      <c r="AC103" s="45">
        <v>0</v>
      </c>
      <c r="AD103" s="45">
        <v>0</v>
      </c>
      <c r="AE103" s="45">
        <v>0</v>
      </c>
      <c r="AF103" s="45">
        <v>0</v>
      </c>
      <c r="AG103" s="45">
        <v>0</v>
      </c>
      <c r="AH103" s="45">
        <v>87.705015965024756</v>
      </c>
      <c r="AI103" s="45">
        <v>21.763829763010879</v>
      </c>
      <c r="AJ103" s="45">
        <v>181.52241003671219</v>
      </c>
      <c r="AK103" s="45">
        <v>198.40704595897046</v>
      </c>
      <c r="AL103" s="45">
        <v>489.3983017237183</v>
      </c>
      <c r="AM103" s="45">
        <v>704.4167740752556</v>
      </c>
      <c r="AN103" s="45">
        <v>121.30316554011218</v>
      </c>
      <c r="AO103" s="45">
        <v>82.571993961536776</v>
      </c>
      <c r="AP103" s="45">
        <v>0</v>
      </c>
      <c r="AQ103" s="45">
        <v>908.29193357690463</v>
      </c>
      <c r="AR103" s="45">
        <v>87.705015965024756</v>
      </c>
      <c r="AS103" s="199">
        <v>10.356214220850443</v>
      </c>
      <c r="AT103" s="45">
        <v>704.4167740752556</v>
      </c>
      <c r="AU103" s="45">
        <v>137.22077549786442</v>
      </c>
      <c r="AV103" s="45">
        <v>84.163754957312008</v>
      </c>
      <c r="AW103" s="45">
        <v>0</v>
      </c>
      <c r="AX103" s="45">
        <v>925.80130453043205</v>
      </c>
      <c r="AY103" s="45">
        <v>21.763829763010879</v>
      </c>
      <c r="AZ103" s="199">
        <v>42.538529046201916</v>
      </c>
      <c r="BA103" s="45">
        <v>704.4167740752556</v>
      </c>
      <c r="BB103" s="45">
        <v>258.52394103797661</v>
      </c>
      <c r="BC103" s="45">
        <v>96.294071511323224</v>
      </c>
      <c r="BD103" s="45">
        <v>0</v>
      </c>
      <c r="BE103" s="45">
        <v>1059.2347866245555</v>
      </c>
      <c r="BF103" s="45">
        <v>109.46884572803563</v>
      </c>
      <c r="BG103" s="45">
        <v>-12.292050333769698</v>
      </c>
      <c r="BH103" s="199">
        <v>9.6761300402866954</v>
      </c>
      <c r="BI103" s="45">
        <v>4.3940417028256364</v>
      </c>
      <c r="BJ103" s="45">
        <v>1.0903729340862744</v>
      </c>
      <c r="BK103" s="45">
        <v>9.0943149707287443</v>
      </c>
      <c r="BL103" s="45">
        <v>9.9402391583375493</v>
      </c>
      <c r="BM103" s="45">
        <v>24.518968765978205</v>
      </c>
      <c r="BN103" s="45">
        <v>704.4167740752556</v>
      </c>
      <c r="BO103" s="45">
        <v>0</v>
      </c>
      <c r="BP103" s="45">
        <v>258.52394103797661</v>
      </c>
      <c r="BQ103" s="45">
        <v>0</v>
      </c>
      <c r="BR103" s="45">
        <v>0</v>
      </c>
      <c r="BS103" s="45">
        <v>0</v>
      </c>
      <c r="BT103" s="45">
        <v>0</v>
      </c>
      <c r="BU103" s="45">
        <v>0</v>
      </c>
      <c r="BV103" s="45">
        <v>0</v>
      </c>
      <c r="BW103" s="45">
        <v>96.294071511323224</v>
      </c>
      <c r="BX103" s="45">
        <v>421.78033750520228</v>
      </c>
      <c r="BY103" s="45">
        <v>67.617964218516022</v>
      </c>
      <c r="BZ103" s="45">
        <v>0</v>
      </c>
      <c r="CA103" s="45">
        <v>0</v>
      </c>
      <c r="CB103" s="45">
        <v>1059.2347866245555</v>
      </c>
      <c r="CC103" s="45">
        <v>489.3983017237183</v>
      </c>
      <c r="CD103" s="199">
        <v>2.1643613859995146</v>
      </c>
      <c r="CE103" s="45">
        <v>6.7425037952965994</v>
      </c>
      <c r="CF103" s="45">
        <v>13.952627097891837</v>
      </c>
      <c r="CG103" s="45">
        <v>0</v>
      </c>
      <c r="CH103" s="45">
        <v>13.952627097891837</v>
      </c>
      <c r="CI103" s="45">
        <v>0.69762812605977631</v>
      </c>
      <c r="CJ103" s="45">
        <v>0</v>
      </c>
      <c r="CK103" s="45">
        <v>0.69762812605977631</v>
      </c>
      <c r="CL103" s="45"/>
      <c r="CM103" s="45">
        <v>0</v>
      </c>
      <c r="CN103" s="45"/>
      <c r="CO103" s="45">
        <v>0</v>
      </c>
      <c r="CP103" s="45">
        <v>0</v>
      </c>
      <c r="CQ103" s="45">
        <v>0</v>
      </c>
      <c r="CR103" s="45">
        <v>0</v>
      </c>
      <c r="CS103" s="45">
        <v>0</v>
      </c>
      <c r="CT103" s="45">
        <v>0</v>
      </c>
      <c r="CU103" s="45">
        <v>181.52241003671219</v>
      </c>
      <c r="CV103" s="45">
        <v>9999</v>
      </c>
      <c r="CW103" s="200">
        <v>0</v>
      </c>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row>
    <row r="104" spans="1:131">
      <c r="A104" s="24" t="s">
        <v>429</v>
      </c>
      <c r="B104" s="24"/>
      <c r="C104" s="45">
        <v>14.186046511627909</v>
      </c>
      <c r="D104" s="45">
        <v>640.16615646258492</v>
      </c>
      <c r="E104" s="45">
        <v>0</v>
      </c>
      <c r="F104" s="45">
        <v>154.26033291735365</v>
      </c>
      <c r="G104" s="45">
        <v>0</v>
      </c>
      <c r="H104" s="45">
        <v>0</v>
      </c>
      <c r="I104" s="45"/>
      <c r="J104" s="45"/>
      <c r="K104" s="45"/>
      <c r="L104" s="45">
        <v>724.30887875791984</v>
      </c>
      <c r="M104" s="45">
        <v>0.16930209716711028</v>
      </c>
      <c r="N104" s="45">
        <v>0.16062817568037027</v>
      </c>
      <c r="O104" s="45">
        <v>0</v>
      </c>
      <c r="P104" s="45">
        <v>0</v>
      </c>
      <c r="Q104" s="45">
        <v>0</v>
      </c>
      <c r="R104" s="45">
        <v>30.761571070712684</v>
      </c>
      <c r="S104" s="45">
        <v>7.6162834217002446</v>
      </c>
      <c r="T104" s="45">
        <v>63.540736867163027</v>
      </c>
      <c r="U104" s="45">
        <v>112.52368215561623</v>
      </c>
      <c r="V104" s="45">
        <v>9.2556199750412187</v>
      </c>
      <c r="W104" s="45">
        <v>2.3139049937603042</v>
      </c>
      <c r="X104" s="45">
        <v>19.282541614669206</v>
      </c>
      <c r="Y104" s="45">
        <v>0</v>
      </c>
      <c r="Z104" s="45">
        <v>0</v>
      </c>
      <c r="AA104" s="45">
        <v>0</v>
      </c>
      <c r="AB104" s="45">
        <v>0</v>
      </c>
      <c r="AC104" s="45">
        <v>0</v>
      </c>
      <c r="AD104" s="45">
        <v>0</v>
      </c>
      <c r="AE104" s="45">
        <v>0</v>
      </c>
      <c r="AF104" s="45">
        <v>0</v>
      </c>
      <c r="AG104" s="45">
        <v>0</v>
      </c>
      <c r="AH104" s="45">
        <v>40.017191045753904</v>
      </c>
      <c r="AI104" s="45">
        <v>9.9301884154605489</v>
      </c>
      <c r="AJ104" s="45">
        <v>82.823278481832233</v>
      </c>
      <c r="AK104" s="45">
        <v>112.52368215561623</v>
      </c>
      <c r="AL104" s="45">
        <v>245.29434009866293</v>
      </c>
      <c r="AM104" s="45">
        <v>347.39465018125691</v>
      </c>
      <c r="AN104" s="45">
        <v>59.822639536099899</v>
      </c>
      <c r="AO104" s="45">
        <v>40.721728971735686</v>
      </c>
      <c r="AP104" s="45">
        <v>0</v>
      </c>
      <c r="AQ104" s="45">
        <v>447.93901868909251</v>
      </c>
      <c r="AR104" s="45">
        <v>40.017191045753904</v>
      </c>
      <c r="AS104" s="199">
        <v>11.193664697178237</v>
      </c>
      <c r="AT104" s="45">
        <v>347.39465018125691</v>
      </c>
      <c r="AU104" s="45">
        <v>67.672669158484041</v>
      </c>
      <c r="AV104" s="45">
        <v>41.506731933974095</v>
      </c>
      <c r="AW104" s="45">
        <v>0</v>
      </c>
      <c r="AX104" s="45">
        <v>456.57405127371504</v>
      </c>
      <c r="AY104" s="45">
        <v>9.9301884154605489</v>
      </c>
      <c r="AZ104" s="199">
        <v>45.97838753621874</v>
      </c>
      <c r="BA104" s="45">
        <v>347.39465018125691</v>
      </c>
      <c r="BB104" s="45">
        <v>127.49530869458394</v>
      </c>
      <c r="BC104" s="45">
        <v>47.488995887584089</v>
      </c>
      <c r="BD104" s="45">
        <v>0</v>
      </c>
      <c r="BE104" s="45">
        <v>522.37895476342499</v>
      </c>
      <c r="BF104" s="45">
        <v>49.947379461214453</v>
      </c>
      <c r="BG104" s="45">
        <v>-12.70236507646686</v>
      </c>
      <c r="BH104" s="199">
        <v>10.458585823688047</v>
      </c>
      <c r="BI104" s="45">
        <v>4.0653028655828951</v>
      </c>
      <c r="BJ104" s="45">
        <v>1.0087970286318555</v>
      </c>
      <c r="BK104" s="45">
        <v>8.4139266787664511</v>
      </c>
      <c r="BL104" s="45">
        <v>11.431158348674334</v>
      </c>
      <c r="BM104" s="45">
        <v>24.919184921655539</v>
      </c>
      <c r="BN104" s="45">
        <v>347.39465018125691</v>
      </c>
      <c r="BO104" s="45">
        <v>0</v>
      </c>
      <c r="BP104" s="45">
        <v>127.49530869458394</v>
      </c>
      <c r="BQ104" s="45">
        <v>0</v>
      </c>
      <c r="BR104" s="45">
        <v>0</v>
      </c>
      <c r="BS104" s="45">
        <v>0</v>
      </c>
      <c r="BT104" s="45">
        <v>0</v>
      </c>
      <c r="BU104" s="45">
        <v>0</v>
      </c>
      <c r="BV104" s="45">
        <v>0</v>
      </c>
      <c r="BW104" s="45">
        <v>47.488995887584089</v>
      </c>
      <c r="BX104" s="45">
        <v>214.4422735151922</v>
      </c>
      <c r="BY104" s="45">
        <v>30.85206658347073</v>
      </c>
      <c r="BZ104" s="45">
        <v>0</v>
      </c>
      <c r="CA104" s="45">
        <v>0</v>
      </c>
      <c r="CB104" s="45">
        <v>522.37895476342499</v>
      </c>
      <c r="CC104" s="45">
        <v>245.29434009866293</v>
      </c>
      <c r="CD104" s="199">
        <v>2.1296005221861716</v>
      </c>
      <c r="CE104" s="45">
        <v>7.1427199509739285</v>
      </c>
      <c r="CF104" s="45">
        <v>6.8809661952539356</v>
      </c>
      <c r="CG104" s="45">
        <v>0</v>
      </c>
      <c r="CH104" s="45">
        <v>6.8809661952539356</v>
      </c>
      <c r="CI104" s="45">
        <v>0.34404671741001186</v>
      </c>
      <c r="CJ104" s="45">
        <v>0</v>
      </c>
      <c r="CK104" s="45">
        <v>0.34404671741001186</v>
      </c>
      <c r="CL104" s="45"/>
      <c r="CM104" s="45">
        <v>0</v>
      </c>
      <c r="CN104" s="45"/>
      <c r="CO104" s="45">
        <v>0</v>
      </c>
      <c r="CP104" s="45">
        <v>0</v>
      </c>
      <c r="CQ104" s="45">
        <v>0</v>
      </c>
      <c r="CR104" s="45">
        <v>0</v>
      </c>
      <c r="CS104" s="45">
        <v>0</v>
      </c>
      <c r="CT104" s="45">
        <v>0</v>
      </c>
      <c r="CU104" s="45">
        <v>82.823278481832233</v>
      </c>
      <c r="CV104" s="45">
        <v>9999</v>
      </c>
      <c r="CW104" s="200">
        <v>0</v>
      </c>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row>
    <row r="105" spans="1:131">
      <c r="A105" s="24" t="s">
        <v>432</v>
      </c>
      <c r="B105" s="24"/>
      <c r="C105" s="45">
        <v>16.279069767441861</v>
      </c>
      <c r="D105" s="45">
        <v>743.50510204081638</v>
      </c>
      <c r="E105" s="45">
        <v>0</v>
      </c>
      <c r="F105" s="45">
        <v>204.91157721295673</v>
      </c>
      <c r="G105" s="45">
        <v>0</v>
      </c>
      <c r="H105" s="45">
        <v>0</v>
      </c>
      <c r="I105" s="45"/>
      <c r="J105" s="45"/>
      <c r="K105" s="45"/>
      <c r="L105" s="45">
        <v>841.23057955103127</v>
      </c>
      <c r="M105" s="45">
        <v>0.1966317209355842</v>
      </c>
      <c r="N105" s="45">
        <v>0.18655760999581042</v>
      </c>
      <c r="O105" s="45">
        <v>0</v>
      </c>
      <c r="P105" s="45">
        <v>0</v>
      </c>
      <c r="Q105" s="45">
        <v>0</v>
      </c>
      <c r="R105" s="45">
        <v>40.862105808012885</v>
      </c>
      <c r="S105" s="45">
        <v>10.117083367618763</v>
      </c>
      <c r="T105" s="45">
        <v>84.404281790961448</v>
      </c>
      <c r="U105" s="45">
        <v>120.25177388136542</v>
      </c>
      <c r="V105" s="45">
        <v>12.294694632777404</v>
      </c>
      <c r="W105" s="45">
        <v>3.0736736581943505</v>
      </c>
      <c r="X105" s="45">
        <v>25.613947151619591</v>
      </c>
      <c r="Y105" s="45">
        <v>0</v>
      </c>
      <c r="Z105" s="45">
        <v>0</v>
      </c>
      <c r="AA105" s="45">
        <v>0</v>
      </c>
      <c r="AB105" s="45">
        <v>0</v>
      </c>
      <c r="AC105" s="45">
        <v>0</v>
      </c>
      <c r="AD105" s="45">
        <v>0</v>
      </c>
      <c r="AE105" s="45">
        <v>0</v>
      </c>
      <c r="AF105" s="45">
        <v>0</v>
      </c>
      <c r="AG105" s="45">
        <v>0</v>
      </c>
      <c r="AH105" s="45">
        <v>53.156800440790292</v>
      </c>
      <c r="AI105" s="45">
        <v>13.190757025813113</v>
      </c>
      <c r="AJ105" s="45">
        <v>110.01822894258103</v>
      </c>
      <c r="AK105" s="45">
        <v>120.25177388136542</v>
      </c>
      <c r="AL105" s="45">
        <v>296.61756029054987</v>
      </c>
      <c r="AM105" s="45">
        <v>403.4728987528805</v>
      </c>
      <c r="AN105" s="45">
        <v>69.479520689467293</v>
      </c>
      <c r="AO105" s="45">
        <v>47.295241944234782</v>
      </c>
      <c r="AP105" s="45">
        <v>0</v>
      </c>
      <c r="AQ105" s="45">
        <v>520.24766138658254</v>
      </c>
      <c r="AR105" s="45">
        <v>53.156800440790292</v>
      </c>
      <c r="AS105" s="199">
        <v>9.7870386681017454</v>
      </c>
      <c r="AT105" s="45">
        <v>403.4728987528805</v>
      </c>
      <c r="AU105" s="45">
        <v>78.596742861388336</v>
      </c>
      <c r="AV105" s="45">
        <v>48.206964161426889</v>
      </c>
      <c r="AW105" s="45">
        <v>0</v>
      </c>
      <c r="AX105" s="45">
        <v>530.27660577569577</v>
      </c>
      <c r="AY105" s="45">
        <v>13.190757025813113</v>
      </c>
      <c r="AZ105" s="199">
        <v>40.200619626151301</v>
      </c>
      <c r="BA105" s="45">
        <v>403.4728987528805</v>
      </c>
      <c r="BB105" s="45">
        <v>148.07626355085563</v>
      </c>
      <c r="BC105" s="45">
        <v>55.154916230373615</v>
      </c>
      <c r="BD105" s="45">
        <v>0</v>
      </c>
      <c r="BE105" s="45">
        <v>606.70407853410973</v>
      </c>
      <c r="BF105" s="45">
        <v>66.347557466603405</v>
      </c>
      <c r="BG105" s="45">
        <v>-11.973098418044511</v>
      </c>
      <c r="BH105" s="199">
        <v>9.1443317840223326</v>
      </c>
      <c r="BI105" s="45">
        <v>4.6495818309297503</v>
      </c>
      <c r="BJ105" s="45">
        <v>1.1537847217073356</v>
      </c>
      <c r="BK105" s="45">
        <v>9.6232044464805853</v>
      </c>
      <c r="BL105" s="45">
        <v>10.518324247123493</v>
      </c>
      <c r="BM105" s="45">
        <v>25.944895246241167</v>
      </c>
      <c r="BN105" s="45">
        <v>403.4728987528805</v>
      </c>
      <c r="BO105" s="45">
        <v>0</v>
      </c>
      <c r="BP105" s="45">
        <v>148.07626355085563</v>
      </c>
      <c r="BQ105" s="45">
        <v>0</v>
      </c>
      <c r="BR105" s="45">
        <v>0</v>
      </c>
      <c r="BS105" s="45">
        <v>0</v>
      </c>
      <c r="BT105" s="45">
        <v>0</v>
      </c>
      <c r="BU105" s="45">
        <v>0</v>
      </c>
      <c r="BV105" s="45">
        <v>0</v>
      </c>
      <c r="BW105" s="45">
        <v>55.154916230373615</v>
      </c>
      <c r="BX105" s="45">
        <v>255.63524484795852</v>
      </c>
      <c r="BY105" s="45">
        <v>40.98231544259135</v>
      </c>
      <c r="BZ105" s="45">
        <v>0</v>
      </c>
      <c r="CA105" s="45">
        <v>0</v>
      </c>
      <c r="CB105" s="45">
        <v>606.70407853410973</v>
      </c>
      <c r="CC105" s="45">
        <v>296.61756029054987</v>
      </c>
      <c r="CD105" s="199">
        <v>2.0454084982015783</v>
      </c>
      <c r="CE105" s="45">
        <v>8.1684302755595635</v>
      </c>
      <c r="CF105" s="45">
        <v>7.991727493705282</v>
      </c>
      <c r="CG105" s="45">
        <v>0</v>
      </c>
      <c r="CH105" s="45">
        <v>7.991727493705282</v>
      </c>
      <c r="CI105" s="45">
        <v>0.39958452528673977</v>
      </c>
      <c r="CJ105" s="45">
        <v>0</v>
      </c>
      <c r="CK105" s="45">
        <v>0.39958452528673977</v>
      </c>
      <c r="CL105" s="45"/>
      <c r="CM105" s="45">
        <v>0</v>
      </c>
      <c r="CN105" s="45"/>
      <c r="CO105" s="45">
        <v>0</v>
      </c>
      <c r="CP105" s="45">
        <v>0</v>
      </c>
      <c r="CQ105" s="45">
        <v>0</v>
      </c>
      <c r="CR105" s="45">
        <v>0</v>
      </c>
      <c r="CS105" s="45">
        <v>0</v>
      </c>
      <c r="CT105" s="45">
        <v>0</v>
      </c>
      <c r="CU105" s="45">
        <v>110.01822894258103</v>
      </c>
      <c r="CV105" s="45">
        <v>9999</v>
      </c>
      <c r="CW105" s="200">
        <v>0</v>
      </c>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row>
    <row r="106" spans="1:131">
      <c r="A106" s="24" t="s">
        <v>431</v>
      </c>
      <c r="B106" s="24"/>
      <c r="C106" s="45">
        <v>16.744186046511629</v>
      </c>
      <c r="D106" s="45">
        <v>649.36581632653053</v>
      </c>
      <c r="E106" s="45">
        <v>0</v>
      </c>
      <c r="F106" s="45">
        <v>186.95819668884204</v>
      </c>
      <c r="G106" s="45">
        <v>0</v>
      </c>
      <c r="H106" s="45">
        <v>0</v>
      </c>
      <c r="I106" s="45"/>
      <c r="J106" s="45"/>
      <c r="K106" s="45"/>
      <c r="L106" s="45">
        <v>734.71773160610712</v>
      </c>
      <c r="M106" s="45">
        <v>0.17173509318301433</v>
      </c>
      <c r="N106" s="45">
        <v>0.16293652104650316</v>
      </c>
      <c r="O106" s="45">
        <v>0</v>
      </c>
      <c r="P106" s="45">
        <v>0</v>
      </c>
      <c r="Q106" s="45">
        <v>0</v>
      </c>
      <c r="R106" s="45">
        <v>37.281961901231682</v>
      </c>
      <c r="S106" s="45">
        <v>9.2306725070733666</v>
      </c>
      <c r="T106" s="45">
        <v>77.00917893992586</v>
      </c>
      <c r="U106" s="45">
        <v>104.72333082140382</v>
      </c>
      <c r="V106" s="45">
        <v>11.217491801330523</v>
      </c>
      <c r="W106" s="45">
        <v>2.8043729503326302</v>
      </c>
      <c r="X106" s="45">
        <v>23.369774586105255</v>
      </c>
      <c r="Y106" s="45">
        <v>0</v>
      </c>
      <c r="Z106" s="45">
        <v>0</v>
      </c>
      <c r="AA106" s="45">
        <v>0</v>
      </c>
      <c r="AB106" s="45">
        <v>0</v>
      </c>
      <c r="AC106" s="45">
        <v>0</v>
      </c>
      <c r="AD106" s="45">
        <v>0</v>
      </c>
      <c r="AE106" s="45">
        <v>0</v>
      </c>
      <c r="AF106" s="45">
        <v>0</v>
      </c>
      <c r="AG106" s="45">
        <v>0</v>
      </c>
      <c r="AH106" s="45">
        <v>48.499453702562207</v>
      </c>
      <c r="AI106" s="45">
        <v>12.035045457405996</v>
      </c>
      <c r="AJ106" s="45">
        <v>100.37895352603111</v>
      </c>
      <c r="AK106" s="45">
        <v>104.72333082140382</v>
      </c>
      <c r="AL106" s="45">
        <v>265.63678350740315</v>
      </c>
      <c r="AM106" s="45">
        <v>352.38696754755102</v>
      </c>
      <c r="AN106" s="45">
        <v>60.682334992255591</v>
      </c>
      <c r="AO106" s="45">
        <v>41.306930253980667</v>
      </c>
      <c r="AP106" s="45">
        <v>0</v>
      </c>
      <c r="AQ106" s="45">
        <v>454.37623279378727</v>
      </c>
      <c r="AR106" s="45">
        <v>48.499453702562207</v>
      </c>
      <c r="AS106" s="199">
        <v>9.3686876470895744</v>
      </c>
      <c r="AT106" s="45">
        <v>352.38696754755102</v>
      </c>
      <c r="AU106" s="45">
        <v>68.645175330605881</v>
      </c>
      <c r="AV106" s="45">
        <v>42.103214287815696</v>
      </c>
      <c r="AW106" s="45">
        <v>0</v>
      </c>
      <c r="AX106" s="45">
        <v>463.13535716597261</v>
      </c>
      <c r="AY106" s="45">
        <v>12.035045457405996</v>
      </c>
      <c r="AZ106" s="199">
        <v>38.482227491793424</v>
      </c>
      <c r="BA106" s="45">
        <v>352.38696754755102</v>
      </c>
      <c r="BB106" s="45">
        <v>129.32751032286149</v>
      </c>
      <c r="BC106" s="45">
        <v>48.171447787041252</v>
      </c>
      <c r="BD106" s="45">
        <v>0</v>
      </c>
      <c r="BE106" s="45">
        <v>529.88592565745375</v>
      </c>
      <c r="BF106" s="45">
        <v>60.534499159968199</v>
      </c>
      <c r="BG106" s="45">
        <v>-11.713953870370561</v>
      </c>
      <c r="BH106" s="199">
        <v>8.7534535349368223</v>
      </c>
      <c r="BI106" s="45">
        <v>4.8572050733220138</v>
      </c>
      <c r="BJ106" s="45">
        <v>1.2053060269890263</v>
      </c>
      <c r="BK106" s="45">
        <v>10.052920705282817</v>
      </c>
      <c r="BL106" s="45">
        <v>10.488008728519553</v>
      </c>
      <c r="BM106" s="45">
        <v>26.603440534113414</v>
      </c>
      <c r="BN106" s="45">
        <v>352.38696754755102</v>
      </c>
      <c r="BO106" s="45">
        <v>0</v>
      </c>
      <c r="BP106" s="45">
        <v>129.32751032286149</v>
      </c>
      <c r="BQ106" s="45">
        <v>0</v>
      </c>
      <c r="BR106" s="45">
        <v>0</v>
      </c>
      <c r="BS106" s="45">
        <v>0</v>
      </c>
      <c r="BT106" s="45">
        <v>0</v>
      </c>
      <c r="BU106" s="45">
        <v>0</v>
      </c>
      <c r="BV106" s="45">
        <v>0</v>
      </c>
      <c r="BW106" s="45">
        <v>48.171447787041252</v>
      </c>
      <c r="BX106" s="45">
        <v>228.24514416963473</v>
      </c>
      <c r="BY106" s="45">
        <v>37.39163933776841</v>
      </c>
      <c r="BZ106" s="45">
        <v>0</v>
      </c>
      <c r="CA106" s="45">
        <v>0</v>
      </c>
      <c r="CB106" s="45">
        <v>529.88592565745375</v>
      </c>
      <c r="CC106" s="45">
        <v>265.63678350740315</v>
      </c>
      <c r="CD106" s="199">
        <v>1.994776170155991</v>
      </c>
      <c r="CE106" s="45">
        <v>8.8269755634318088</v>
      </c>
      <c r="CF106" s="45">
        <v>6.9798507549773587</v>
      </c>
      <c r="CG106" s="45">
        <v>0</v>
      </c>
      <c r="CH106" s="45">
        <v>6.9798507549773587</v>
      </c>
      <c r="CI106" s="45">
        <v>0.34899092251290081</v>
      </c>
      <c r="CJ106" s="45">
        <v>0</v>
      </c>
      <c r="CK106" s="45">
        <v>0.34899092251290081</v>
      </c>
      <c r="CL106" s="45"/>
      <c r="CM106" s="45">
        <v>0</v>
      </c>
      <c r="CN106" s="45"/>
      <c r="CO106" s="45">
        <v>0</v>
      </c>
      <c r="CP106" s="45">
        <v>0</v>
      </c>
      <c r="CQ106" s="45">
        <v>0</v>
      </c>
      <c r="CR106" s="45">
        <v>0</v>
      </c>
      <c r="CS106" s="45">
        <v>0</v>
      </c>
      <c r="CT106" s="45">
        <v>0</v>
      </c>
      <c r="CU106" s="45">
        <v>100.37895352603111</v>
      </c>
      <c r="CV106" s="45">
        <v>9999</v>
      </c>
      <c r="CW106" s="200">
        <v>0</v>
      </c>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row>
    <row r="107" spans="1:131">
      <c r="A107" s="24" t="s">
        <v>433</v>
      </c>
      <c r="B107" s="24"/>
      <c r="C107" s="45">
        <v>16.279069767441861</v>
      </c>
      <c r="D107" s="45">
        <v>1298.0734693877553</v>
      </c>
      <c r="E107" s="45">
        <v>0</v>
      </c>
      <c r="F107" s="45">
        <v>366.92315442591342</v>
      </c>
      <c r="G107" s="45">
        <v>0</v>
      </c>
      <c r="H107" s="45">
        <v>0</v>
      </c>
      <c r="I107" s="45"/>
      <c r="J107" s="45"/>
      <c r="K107" s="45"/>
      <c r="L107" s="45">
        <v>1468.6907917047924</v>
      </c>
      <c r="M107" s="45">
        <v>0.34329612464787984</v>
      </c>
      <c r="N107" s="45">
        <v>0.32570789814789353</v>
      </c>
      <c r="O107" s="45">
        <v>0</v>
      </c>
      <c r="P107" s="45">
        <v>0</v>
      </c>
      <c r="Q107" s="45">
        <v>0</v>
      </c>
      <c r="R107" s="45">
        <v>73.169378536282579</v>
      </c>
      <c r="S107" s="45">
        <v>18.116068371181786</v>
      </c>
      <c r="T107" s="45">
        <v>151.13780169486202</v>
      </c>
      <c r="U107" s="45">
        <v>215.32780528064922</v>
      </c>
      <c r="V107" s="45">
        <v>22.015389265554806</v>
      </c>
      <c r="W107" s="45">
        <v>5.5038473163887005</v>
      </c>
      <c r="X107" s="45">
        <v>45.865394303239178</v>
      </c>
      <c r="Y107" s="45">
        <v>0</v>
      </c>
      <c r="Z107" s="45">
        <v>0</v>
      </c>
      <c r="AA107" s="45">
        <v>0</v>
      </c>
      <c r="AB107" s="45">
        <v>0</v>
      </c>
      <c r="AC107" s="45">
        <v>0</v>
      </c>
      <c r="AD107" s="45">
        <v>0</v>
      </c>
      <c r="AE107" s="45">
        <v>0</v>
      </c>
      <c r="AF107" s="45">
        <v>0</v>
      </c>
      <c r="AG107" s="45">
        <v>0</v>
      </c>
      <c r="AH107" s="45">
        <v>95.184767801837381</v>
      </c>
      <c r="AI107" s="45">
        <v>23.619915687570487</v>
      </c>
      <c r="AJ107" s="45">
        <v>197.00319599810121</v>
      </c>
      <c r="AK107" s="45">
        <v>215.32780528064922</v>
      </c>
      <c r="AL107" s="45">
        <v>531.13568476815828</v>
      </c>
      <c r="AM107" s="45">
        <v>704.4167740752556</v>
      </c>
      <c r="AN107" s="45">
        <v>121.30316554011218</v>
      </c>
      <c r="AO107" s="45">
        <v>82.571993961536776</v>
      </c>
      <c r="AP107" s="45">
        <v>0</v>
      </c>
      <c r="AQ107" s="45">
        <v>908.29193357690463</v>
      </c>
      <c r="AR107" s="45">
        <v>95.184767801837381</v>
      </c>
      <c r="AS107" s="199">
        <v>9.5424084604361621</v>
      </c>
      <c r="AT107" s="45">
        <v>704.4167740752556</v>
      </c>
      <c r="AU107" s="45">
        <v>137.22077549786442</v>
      </c>
      <c r="AV107" s="45">
        <v>84.163754957312008</v>
      </c>
      <c r="AW107" s="45">
        <v>0</v>
      </c>
      <c r="AX107" s="45">
        <v>925.80130453043205</v>
      </c>
      <c r="AY107" s="45">
        <v>23.619915687570487</v>
      </c>
      <c r="AZ107" s="199">
        <v>39.195792092417022</v>
      </c>
      <c r="BA107" s="45">
        <v>704.4167740752556</v>
      </c>
      <c r="BB107" s="45">
        <v>258.52394103797661</v>
      </c>
      <c r="BC107" s="45">
        <v>96.294071511323224</v>
      </c>
      <c r="BD107" s="45">
        <v>0</v>
      </c>
      <c r="BE107" s="45">
        <v>1059.2347866245555</v>
      </c>
      <c r="BF107" s="45">
        <v>118.80468348940786</v>
      </c>
      <c r="BG107" s="45">
        <v>-11.824322690111977</v>
      </c>
      <c r="BH107" s="199">
        <v>8.9157662434999239</v>
      </c>
      <c r="BI107" s="45">
        <v>4.7687790098782674</v>
      </c>
      <c r="BJ107" s="45">
        <v>1.1833632706913662</v>
      </c>
      <c r="BK107" s="45">
        <v>9.86990594871782</v>
      </c>
      <c r="BL107" s="45">
        <v>10.787973136660769</v>
      </c>
      <c r="BM107" s="45">
        <v>26.610021365948221</v>
      </c>
      <c r="BN107" s="45">
        <v>704.4167740752556</v>
      </c>
      <c r="BO107" s="45">
        <v>0</v>
      </c>
      <c r="BP107" s="45">
        <v>258.52394103797661</v>
      </c>
      <c r="BQ107" s="45">
        <v>0</v>
      </c>
      <c r="BR107" s="45">
        <v>0</v>
      </c>
      <c r="BS107" s="45">
        <v>0</v>
      </c>
      <c r="BT107" s="45">
        <v>0</v>
      </c>
      <c r="BU107" s="45">
        <v>0</v>
      </c>
      <c r="BV107" s="45">
        <v>0</v>
      </c>
      <c r="BW107" s="45">
        <v>96.294071511323224</v>
      </c>
      <c r="BX107" s="45">
        <v>457.75105388297561</v>
      </c>
      <c r="BY107" s="45">
        <v>73.384630885182688</v>
      </c>
      <c r="BZ107" s="45">
        <v>0</v>
      </c>
      <c r="CA107" s="45">
        <v>0</v>
      </c>
      <c r="CB107" s="45">
        <v>1059.2347866245555</v>
      </c>
      <c r="CC107" s="45">
        <v>531.13568476815828</v>
      </c>
      <c r="CD107" s="199">
        <v>1.9942828489991469</v>
      </c>
      <c r="CE107" s="45">
        <v>8.8335563952666174</v>
      </c>
      <c r="CF107" s="45">
        <v>13.952627097891837</v>
      </c>
      <c r="CG107" s="45">
        <v>0</v>
      </c>
      <c r="CH107" s="45">
        <v>13.952627097891837</v>
      </c>
      <c r="CI107" s="45">
        <v>0.69762812605977631</v>
      </c>
      <c r="CJ107" s="45">
        <v>0</v>
      </c>
      <c r="CK107" s="45">
        <v>0.69762812605977631</v>
      </c>
      <c r="CL107" s="45"/>
      <c r="CM107" s="45">
        <v>0</v>
      </c>
      <c r="CN107" s="45"/>
      <c r="CO107" s="45">
        <v>0</v>
      </c>
      <c r="CP107" s="45">
        <v>0</v>
      </c>
      <c r="CQ107" s="45">
        <v>0</v>
      </c>
      <c r="CR107" s="45">
        <v>0</v>
      </c>
      <c r="CS107" s="45">
        <v>0</v>
      </c>
      <c r="CT107" s="45">
        <v>0</v>
      </c>
      <c r="CU107" s="45">
        <v>197.00319599810121</v>
      </c>
      <c r="CV107" s="45">
        <v>9999</v>
      </c>
      <c r="CW107" s="200">
        <v>0</v>
      </c>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row>
    <row r="108" spans="1:131">
      <c r="A108" s="24" t="s">
        <v>434</v>
      </c>
      <c r="B108" s="24"/>
      <c r="C108" s="45">
        <v>16.279069767441861</v>
      </c>
      <c r="D108" s="45">
        <v>3159.841836734694</v>
      </c>
      <c r="E108" s="45">
        <v>0</v>
      </c>
      <c r="F108" s="45">
        <v>984.136129944407</v>
      </c>
      <c r="G108" s="45">
        <v>0</v>
      </c>
      <c r="H108" s="45">
        <v>0</v>
      </c>
      <c r="I108" s="45"/>
      <c r="J108" s="45"/>
      <c r="K108" s="45"/>
      <c r="L108" s="45">
        <v>3575.1679071329308</v>
      </c>
      <c r="M108" s="45">
        <v>0.83567030883305371</v>
      </c>
      <c r="N108" s="45">
        <v>0.79285608048676826</v>
      </c>
      <c r="O108" s="45">
        <v>0</v>
      </c>
      <c r="P108" s="45">
        <v>0</v>
      </c>
      <c r="Q108" s="45">
        <v>0</v>
      </c>
      <c r="R108" s="45">
        <v>196.24989089554438</v>
      </c>
      <c r="S108" s="45">
        <v>48.589676616396147</v>
      </c>
      <c r="T108" s="45">
        <v>405.37145027275545</v>
      </c>
      <c r="U108" s="45">
        <v>577.53747726789697</v>
      </c>
      <c r="V108" s="45">
        <v>59.048167796664423</v>
      </c>
      <c r="W108" s="45">
        <v>14.762041949166102</v>
      </c>
      <c r="X108" s="45">
        <v>123.01701624305088</v>
      </c>
      <c r="Y108" s="45">
        <v>0</v>
      </c>
      <c r="Z108" s="45">
        <v>0</v>
      </c>
      <c r="AA108" s="45">
        <v>0</v>
      </c>
      <c r="AB108" s="45">
        <v>0</v>
      </c>
      <c r="AC108" s="45">
        <v>0</v>
      </c>
      <c r="AD108" s="45">
        <v>0</v>
      </c>
      <c r="AE108" s="45">
        <v>0</v>
      </c>
      <c r="AF108" s="45">
        <v>0</v>
      </c>
      <c r="AG108" s="45">
        <v>0</v>
      </c>
      <c r="AH108" s="45">
        <v>255.2980586922088</v>
      </c>
      <c r="AI108" s="45">
        <v>63.351718565562251</v>
      </c>
      <c r="AJ108" s="45">
        <v>528.38846651580639</v>
      </c>
      <c r="AK108" s="45">
        <v>577.53747726789697</v>
      </c>
      <c r="AL108" s="45">
        <v>1424.5757210414745</v>
      </c>
      <c r="AM108" s="45">
        <v>1714.7300562814178</v>
      </c>
      <c r="AN108" s="45">
        <v>295.28283755986934</v>
      </c>
      <c r="AO108" s="45">
        <v>201.00128938412871</v>
      </c>
      <c r="AP108" s="45">
        <v>0</v>
      </c>
      <c r="AQ108" s="45">
        <v>2211.0141832254158</v>
      </c>
      <c r="AR108" s="45">
        <v>255.2980586922088</v>
      </c>
      <c r="AS108" s="199">
        <v>8.6605209399224137</v>
      </c>
      <c r="AT108" s="45">
        <v>1714.7300562814178</v>
      </c>
      <c r="AU108" s="45">
        <v>334.0303592306214</v>
      </c>
      <c r="AV108" s="45">
        <v>204.87604155120394</v>
      </c>
      <c r="AW108" s="45">
        <v>0</v>
      </c>
      <c r="AX108" s="45">
        <v>2253.6364570632431</v>
      </c>
      <c r="AY108" s="45">
        <v>63.351718565562251</v>
      </c>
      <c r="AZ108" s="199">
        <v>35.573406816595991</v>
      </c>
      <c r="BA108" s="45">
        <v>1714.7300562814178</v>
      </c>
      <c r="BB108" s="45">
        <v>629.31319679049079</v>
      </c>
      <c r="BC108" s="45">
        <v>234.40432530719087</v>
      </c>
      <c r="BD108" s="45">
        <v>0</v>
      </c>
      <c r="BE108" s="45">
        <v>2578.4475783790995</v>
      </c>
      <c r="BF108" s="45">
        <v>318.64977725777101</v>
      </c>
      <c r="BG108" s="45">
        <v>-11.218225200830501</v>
      </c>
      <c r="BH108" s="199">
        <v>8.0917915605296979</v>
      </c>
      <c r="BI108" s="45">
        <v>5.2543764382631197</v>
      </c>
      <c r="BJ108" s="45">
        <v>1.303863331587978</v>
      </c>
      <c r="BK108" s="45">
        <v>10.874943283677085</v>
      </c>
      <c r="BL108" s="45">
        <v>11.886495840647651</v>
      </c>
      <c r="BM108" s="45">
        <v>29.319678894175834</v>
      </c>
      <c r="BN108" s="45">
        <v>1714.7300562814178</v>
      </c>
      <c r="BO108" s="45">
        <v>0</v>
      </c>
      <c r="BP108" s="45">
        <v>629.31319679049079</v>
      </c>
      <c r="BQ108" s="45">
        <v>0</v>
      </c>
      <c r="BR108" s="45">
        <v>0</v>
      </c>
      <c r="BS108" s="45">
        <v>0</v>
      </c>
      <c r="BT108" s="45">
        <v>0</v>
      </c>
      <c r="BU108" s="45">
        <v>0</v>
      </c>
      <c r="BV108" s="45">
        <v>0</v>
      </c>
      <c r="BW108" s="45">
        <v>234.40432530719087</v>
      </c>
      <c r="BX108" s="45">
        <v>1227.7484950525929</v>
      </c>
      <c r="BY108" s="45">
        <v>196.82722598888142</v>
      </c>
      <c r="BZ108" s="45">
        <v>0</v>
      </c>
      <c r="CA108" s="45">
        <v>0</v>
      </c>
      <c r="CB108" s="45">
        <v>2578.4475783790995</v>
      </c>
      <c r="CC108" s="45">
        <v>1424.5757210414745</v>
      </c>
      <c r="CD108" s="199">
        <v>1.8099757986146612</v>
      </c>
      <c r="CE108" s="45">
        <v>11.543213923494241</v>
      </c>
      <c r="CF108" s="45">
        <v>33.964252313908865</v>
      </c>
      <c r="CG108" s="45">
        <v>0</v>
      </c>
      <c r="CH108" s="45">
        <v>33.964252313908865</v>
      </c>
      <c r="CI108" s="45">
        <v>1.6982047558881415</v>
      </c>
      <c r="CJ108" s="45">
        <v>0</v>
      </c>
      <c r="CK108" s="45">
        <v>1.6982047558881415</v>
      </c>
      <c r="CL108" s="45"/>
      <c r="CM108" s="45">
        <v>0</v>
      </c>
      <c r="CN108" s="45"/>
      <c r="CO108" s="45">
        <v>0</v>
      </c>
      <c r="CP108" s="45">
        <v>0</v>
      </c>
      <c r="CQ108" s="45">
        <v>0</v>
      </c>
      <c r="CR108" s="45">
        <v>0</v>
      </c>
      <c r="CS108" s="45">
        <v>0</v>
      </c>
      <c r="CT108" s="45">
        <v>0</v>
      </c>
      <c r="CU108" s="45">
        <v>528.38846651580639</v>
      </c>
      <c r="CV108" s="45">
        <v>9999</v>
      </c>
      <c r="CW108" s="200">
        <v>0</v>
      </c>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row>
    <row r="109" spans="1:131">
      <c r="A109" s="24" t="s">
        <v>435</v>
      </c>
      <c r="B109" s="24"/>
      <c r="C109" s="45">
        <v>16.279069767441861</v>
      </c>
      <c r="D109" s="45">
        <v>3159.841836734694</v>
      </c>
      <c r="E109" s="45">
        <v>0</v>
      </c>
      <c r="F109" s="45">
        <v>1014.9694632777404</v>
      </c>
      <c r="G109" s="45">
        <v>0</v>
      </c>
      <c r="H109" s="45">
        <v>0</v>
      </c>
      <c r="I109" s="45"/>
      <c r="J109" s="45"/>
      <c r="K109" s="45"/>
      <c r="L109" s="45">
        <v>3575.1679071329308</v>
      </c>
      <c r="M109" s="45">
        <v>0.83567030883305371</v>
      </c>
      <c r="N109" s="45">
        <v>0.79285608048676826</v>
      </c>
      <c r="O109" s="45">
        <v>0</v>
      </c>
      <c r="P109" s="45">
        <v>0</v>
      </c>
      <c r="Q109" s="45">
        <v>0</v>
      </c>
      <c r="R109" s="45">
        <v>202.39846944936139</v>
      </c>
      <c r="S109" s="45">
        <v>50.112008385433882</v>
      </c>
      <c r="T109" s="45">
        <v>418.07188131046433</v>
      </c>
      <c r="U109" s="45">
        <v>595.63193087778461</v>
      </c>
      <c r="V109" s="45">
        <v>60.898167796664424</v>
      </c>
      <c r="W109" s="45">
        <v>15.224541949166102</v>
      </c>
      <c r="X109" s="45">
        <v>126.87118290971755</v>
      </c>
      <c r="Y109" s="45">
        <v>0</v>
      </c>
      <c r="Z109" s="45">
        <v>0</v>
      </c>
      <c r="AA109" s="45">
        <v>0</v>
      </c>
      <c r="AB109" s="45">
        <v>0</v>
      </c>
      <c r="AC109" s="45">
        <v>0</v>
      </c>
      <c r="AD109" s="45">
        <v>0</v>
      </c>
      <c r="AE109" s="45">
        <v>0</v>
      </c>
      <c r="AF109" s="45">
        <v>0</v>
      </c>
      <c r="AG109" s="45">
        <v>0</v>
      </c>
      <c r="AH109" s="45">
        <v>263.2966372460258</v>
      </c>
      <c r="AI109" s="45">
        <v>65.336550334599991</v>
      </c>
      <c r="AJ109" s="45">
        <v>544.9430642201819</v>
      </c>
      <c r="AK109" s="45">
        <v>595.63193087778461</v>
      </c>
      <c r="AL109" s="45">
        <v>1469.2081826785923</v>
      </c>
      <c r="AM109" s="45">
        <v>1714.7300562814178</v>
      </c>
      <c r="AN109" s="45">
        <v>295.28283755986934</v>
      </c>
      <c r="AO109" s="45">
        <v>201.00128938412871</v>
      </c>
      <c r="AP109" s="45">
        <v>0</v>
      </c>
      <c r="AQ109" s="45">
        <v>2211.0141832254158</v>
      </c>
      <c r="AR109" s="45">
        <v>263.2966372460258</v>
      </c>
      <c r="AS109" s="199">
        <v>8.3974265921194888</v>
      </c>
      <c r="AT109" s="45">
        <v>1714.7300562814178</v>
      </c>
      <c r="AU109" s="45">
        <v>334.0303592306214</v>
      </c>
      <c r="AV109" s="45">
        <v>204.87604155120394</v>
      </c>
      <c r="AW109" s="45">
        <v>0</v>
      </c>
      <c r="AX109" s="45">
        <v>2253.6364570632431</v>
      </c>
      <c r="AY109" s="45">
        <v>65.336550334599991</v>
      </c>
      <c r="AZ109" s="199">
        <v>34.492737151287812</v>
      </c>
      <c r="BA109" s="45">
        <v>1714.7300562814178</v>
      </c>
      <c r="BB109" s="45">
        <v>629.31319679049079</v>
      </c>
      <c r="BC109" s="45">
        <v>234.40432530719087</v>
      </c>
      <c r="BD109" s="45">
        <v>0</v>
      </c>
      <c r="BE109" s="45">
        <v>2578.4475783790995</v>
      </c>
      <c r="BF109" s="45">
        <v>328.63318758062576</v>
      </c>
      <c r="BG109" s="45">
        <v>-11.01275322723761</v>
      </c>
      <c r="BH109" s="199">
        <v>7.8459744049633207</v>
      </c>
      <c r="BI109" s="45">
        <v>5.4189979121124043</v>
      </c>
      <c r="BJ109" s="45">
        <v>1.3447138313315794</v>
      </c>
      <c r="BK109" s="45">
        <v>11.215659106462345</v>
      </c>
      <c r="BL109" s="45">
        <v>12.258903963130331</v>
      </c>
      <c r="BM109" s="45">
        <v>30.238274813036657</v>
      </c>
      <c r="BN109" s="45">
        <v>1714.7300562814178</v>
      </c>
      <c r="BO109" s="45">
        <v>0</v>
      </c>
      <c r="BP109" s="45">
        <v>629.31319679049079</v>
      </c>
      <c r="BQ109" s="45">
        <v>0</v>
      </c>
      <c r="BR109" s="45">
        <v>0</v>
      </c>
      <c r="BS109" s="45">
        <v>0</v>
      </c>
      <c r="BT109" s="45">
        <v>0</v>
      </c>
      <c r="BU109" s="45">
        <v>0</v>
      </c>
      <c r="BV109" s="45">
        <v>0</v>
      </c>
      <c r="BW109" s="45">
        <v>234.40432530719087</v>
      </c>
      <c r="BX109" s="45">
        <v>1266.2142900230442</v>
      </c>
      <c r="BY109" s="45">
        <v>202.99389265554808</v>
      </c>
      <c r="BZ109" s="45">
        <v>0</v>
      </c>
      <c r="CA109" s="45">
        <v>0</v>
      </c>
      <c r="CB109" s="45">
        <v>2578.4475783790995</v>
      </c>
      <c r="CC109" s="45">
        <v>1469.2081826785923</v>
      </c>
      <c r="CD109" s="199">
        <v>1.7549912999246937</v>
      </c>
      <c r="CE109" s="45">
        <v>12.461809842355065</v>
      </c>
      <c r="CF109" s="45">
        <v>33.964252313908865</v>
      </c>
      <c r="CG109" s="45">
        <v>0</v>
      </c>
      <c r="CH109" s="45">
        <v>33.964252313908865</v>
      </c>
      <c r="CI109" s="45">
        <v>1.6982047558881415</v>
      </c>
      <c r="CJ109" s="45">
        <v>0</v>
      </c>
      <c r="CK109" s="45">
        <v>1.6982047558881415</v>
      </c>
      <c r="CL109" s="45"/>
      <c r="CM109" s="45">
        <v>0</v>
      </c>
      <c r="CN109" s="45"/>
      <c r="CO109" s="45">
        <v>0</v>
      </c>
      <c r="CP109" s="45">
        <v>0</v>
      </c>
      <c r="CQ109" s="45">
        <v>0</v>
      </c>
      <c r="CR109" s="45">
        <v>0</v>
      </c>
      <c r="CS109" s="45">
        <v>0</v>
      </c>
      <c r="CT109" s="45">
        <v>0</v>
      </c>
      <c r="CU109" s="45">
        <v>544.9430642201819</v>
      </c>
      <c r="CV109" s="45">
        <v>9999</v>
      </c>
      <c r="CW109" s="200">
        <v>0</v>
      </c>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row>
    <row r="110" spans="1:131">
      <c r="A110" s="24" t="s">
        <v>436</v>
      </c>
      <c r="B110" s="24"/>
      <c r="C110" s="45">
        <v>16.744186046511629</v>
      </c>
      <c r="D110" s="45">
        <v>649.36581632653053</v>
      </c>
      <c r="E110" s="45">
        <v>0</v>
      </c>
      <c r="F110" s="45">
        <v>228.79070335550873</v>
      </c>
      <c r="G110" s="45">
        <v>0</v>
      </c>
      <c r="H110" s="45">
        <v>0</v>
      </c>
      <c r="I110" s="45"/>
      <c r="J110" s="45"/>
      <c r="K110" s="45"/>
      <c r="L110" s="45">
        <v>734.71773160610712</v>
      </c>
      <c r="M110" s="45">
        <v>0.17173509318301433</v>
      </c>
      <c r="N110" s="45">
        <v>0.16293652104650316</v>
      </c>
      <c r="O110" s="45">
        <v>0</v>
      </c>
      <c r="P110" s="45">
        <v>0</v>
      </c>
      <c r="Q110" s="45">
        <v>0</v>
      </c>
      <c r="R110" s="45">
        <v>45.623922550196198</v>
      </c>
      <c r="S110" s="45">
        <v>11.296065605791723</v>
      </c>
      <c r="T110" s="45">
        <v>94.240234055206827</v>
      </c>
      <c r="U110" s="45">
        <v>128.15551786818534</v>
      </c>
      <c r="V110" s="45">
        <v>13.727442201330524</v>
      </c>
      <c r="W110" s="45">
        <v>3.4318605503326305</v>
      </c>
      <c r="X110" s="45">
        <v>28.598837919438591</v>
      </c>
      <c r="Y110" s="45">
        <v>0</v>
      </c>
      <c r="Z110" s="45">
        <v>0</v>
      </c>
      <c r="AA110" s="45">
        <v>0</v>
      </c>
      <c r="AB110" s="45">
        <v>0</v>
      </c>
      <c r="AC110" s="45">
        <v>0</v>
      </c>
      <c r="AD110" s="45">
        <v>0</v>
      </c>
      <c r="AE110" s="45">
        <v>0</v>
      </c>
      <c r="AF110" s="45">
        <v>0</v>
      </c>
      <c r="AG110" s="45">
        <v>0</v>
      </c>
      <c r="AH110" s="45">
        <v>59.351364751526724</v>
      </c>
      <c r="AI110" s="45">
        <v>14.727926156124354</v>
      </c>
      <c r="AJ110" s="45">
        <v>122.83907197464542</v>
      </c>
      <c r="AK110" s="45">
        <v>128.15551786818534</v>
      </c>
      <c r="AL110" s="45">
        <v>325.07388075048186</v>
      </c>
      <c r="AM110" s="45">
        <v>352.38696754755102</v>
      </c>
      <c r="AN110" s="45">
        <v>60.682334992255591</v>
      </c>
      <c r="AO110" s="45">
        <v>41.306930253980667</v>
      </c>
      <c r="AP110" s="45">
        <v>0</v>
      </c>
      <c r="AQ110" s="45">
        <v>454.37623279378727</v>
      </c>
      <c r="AR110" s="45">
        <v>59.351364751526724</v>
      </c>
      <c r="AS110" s="199">
        <v>7.6556998258763569</v>
      </c>
      <c r="AT110" s="45">
        <v>352.38696754755102</v>
      </c>
      <c r="AU110" s="45">
        <v>68.645175330605881</v>
      </c>
      <c r="AV110" s="45">
        <v>42.103214287815696</v>
      </c>
      <c r="AW110" s="45">
        <v>0</v>
      </c>
      <c r="AX110" s="45">
        <v>463.13535716597261</v>
      </c>
      <c r="AY110" s="45">
        <v>14.727926156124354</v>
      </c>
      <c r="AZ110" s="199">
        <v>31.446067304824567</v>
      </c>
      <c r="BA110" s="45">
        <v>352.38696754755102</v>
      </c>
      <c r="BB110" s="45">
        <v>129.32751032286149</v>
      </c>
      <c r="BC110" s="45">
        <v>48.171447787041252</v>
      </c>
      <c r="BD110" s="45">
        <v>0</v>
      </c>
      <c r="BE110" s="45">
        <v>529.88592565745375</v>
      </c>
      <c r="BF110" s="45">
        <v>74.079290907651085</v>
      </c>
      <c r="BG110" s="45">
        <v>-10.357447226039852</v>
      </c>
      <c r="BH110" s="199">
        <v>7.1529562333152121</v>
      </c>
      <c r="BI110" s="45">
        <v>5.944020560472234</v>
      </c>
      <c r="BJ110" s="45">
        <v>1.4749971841695191</v>
      </c>
      <c r="BK110" s="45">
        <v>12.302294521843136</v>
      </c>
      <c r="BL110" s="45">
        <v>12.834734910234147</v>
      </c>
      <c r="BM110" s="45">
        <v>32.556047176719041</v>
      </c>
      <c r="BN110" s="45">
        <v>352.38696754755102</v>
      </c>
      <c r="BO110" s="45">
        <v>0</v>
      </c>
      <c r="BP110" s="45">
        <v>129.32751032286149</v>
      </c>
      <c r="BQ110" s="45">
        <v>0</v>
      </c>
      <c r="BR110" s="45">
        <v>0</v>
      </c>
      <c r="BS110" s="45">
        <v>0</v>
      </c>
      <c r="BT110" s="45">
        <v>0</v>
      </c>
      <c r="BU110" s="45">
        <v>0</v>
      </c>
      <c r="BV110" s="45">
        <v>0</v>
      </c>
      <c r="BW110" s="45">
        <v>48.171447787041252</v>
      </c>
      <c r="BX110" s="45">
        <v>279.31574007938013</v>
      </c>
      <c r="BY110" s="45">
        <v>45.758140671101749</v>
      </c>
      <c r="BZ110" s="45">
        <v>0</v>
      </c>
      <c r="CA110" s="45">
        <v>0</v>
      </c>
      <c r="CB110" s="45">
        <v>529.88592565745375</v>
      </c>
      <c r="CC110" s="45">
        <v>325.07388075048186</v>
      </c>
      <c r="CD110" s="199">
        <v>1.6300476815735934</v>
      </c>
      <c r="CE110" s="45">
        <v>14.779582206037436</v>
      </c>
      <c r="CF110" s="45">
        <v>6.9798507549773587</v>
      </c>
      <c r="CG110" s="45">
        <v>0</v>
      </c>
      <c r="CH110" s="45">
        <v>6.9798507549773587</v>
      </c>
      <c r="CI110" s="45">
        <v>0.34899092251290081</v>
      </c>
      <c r="CJ110" s="45">
        <v>0</v>
      </c>
      <c r="CK110" s="45">
        <v>0.34899092251290081</v>
      </c>
      <c r="CL110" s="45"/>
      <c r="CM110" s="45">
        <v>0</v>
      </c>
      <c r="CN110" s="45"/>
      <c r="CO110" s="45">
        <v>0</v>
      </c>
      <c r="CP110" s="45">
        <v>0</v>
      </c>
      <c r="CQ110" s="45">
        <v>0</v>
      </c>
      <c r="CR110" s="45">
        <v>0</v>
      </c>
      <c r="CS110" s="45">
        <v>0</v>
      </c>
      <c r="CT110" s="45">
        <v>0</v>
      </c>
      <c r="CU110" s="45">
        <v>122.83907197464542</v>
      </c>
      <c r="CV110" s="45">
        <v>9999</v>
      </c>
      <c r="CW110" s="200">
        <v>0</v>
      </c>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row>
    <row r="111" spans="1:131">
      <c r="A111" s="24" t="s">
        <v>420</v>
      </c>
      <c r="B111" s="24"/>
      <c r="C111" s="45">
        <v>14.186046511627909</v>
      </c>
      <c r="D111" s="45">
        <v>640.16615646258492</v>
      </c>
      <c r="E111" s="45">
        <v>0</v>
      </c>
      <c r="F111" s="45">
        <v>210.259506250687</v>
      </c>
      <c r="G111" s="45">
        <v>0</v>
      </c>
      <c r="H111" s="45">
        <v>0</v>
      </c>
      <c r="I111" s="45"/>
      <c r="J111" s="45"/>
      <c r="K111" s="45"/>
      <c r="L111" s="45">
        <v>724.30887875791984</v>
      </c>
      <c r="M111" s="45">
        <v>0.16930209716711028</v>
      </c>
      <c r="N111" s="45">
        <v>0.16062817568037027</v>
      </c>
      <c r="O111" s="45">
        <v>0</v>
      </c>
      <c r="P111" s="45">
        <v>0</v>
      </c>
      <c r="Q111" s="45">
        <v>0</v>
      </c>
      <c r="R111" s="45">
        <v>41.928554298457968</v>
      </c>
      <c r="S111" s="45">
        <v>10.381126252138639</v>
      </c>
      <c r="T111" s="45">
        <v>86.607125161931847</v>
      </c>
      <c r="U111" s="45">
        <v>153.37172819550909</v>
      </c>
      <c r="V111" s="45">
        <v>12.615570375041219</v>
      </c>
      <c r="W111" s="45">
        <v>3.1538925937603044</v>
      </c>
      <c r="X111" s="45">
        <v>26.282438281335875</v>
      </c>
      <c r="Y111" s="45">
        <v>0</v>
      </c>
      <c r="Z111" s="45">
        <v>0</v>
      </c>
      <c r="AA111" s="45">
        <v>0</v>
      </c>
      <c r="AB111" s="45">
        <v>0</v>
      </c>
      <c r="AC111" s="45">
        <v>0</v>
      </c>
      <c r="AD111" s="45">
        <v>0</v>
      </c>
      <c r="AE111" s="45">
        <v>0</v>
      </c>
      <c r="AF111" s="45">
        <v>0</v>
      </c>
      <c r="AG111" s="45">
        <v>0</v>
      </c>
      <c r="AH111" s="45">
        <v>54.544124673499184</v>
      </c>
      <c r="AI111" s="45">
        <v>13.535018845898943</v>
      </c>
      <c r="AJ111" s="45">
        <v>112.88956344326772</v>
      </c>
      <c r="AK111" s="45">
        <v>153.37172819550909</v>
      </c>
      <c r="AL111" s="45">
        <v>334.34043515817496</v>
      </c>
      <c r="AM111" s="45">
        <v>347.39465018125691</v>
      </c>
      <c r="AN111" s="45">
        <v>59.822639536099899</v>
      </c>
      <c r="AO111" s="45">
        <v>40.721728971735686</v>
      </c>
      <c r="AP111" s="45">
        <v>0</v>
      </c>
      <c r="AQ111" s="45">
        <v>447.93901868909251</v>
      </c>
      <c r="AR111" s="45">
        <v>54.544124673499184</v>
      </c>
      <c r="AS111" s="199">
        <v>8.2124155694211414</v>
      </c>
      <c r="AT111" s="45">
        <v>347.39465018125691</v>
      </c>
      <c r="AU111" s="45">
        <v>67.672669158484041</v>
      </c>
      <c r="AV111" s="45">
        <v>41.506731933974095</v>
      </c>
      <c r="AW111" s="45">
        <v>0</v>
      </c>
      <c r="AX111" s="45">
        <v>456.57405127371504</v>
      </c>
      <c r="AY111" s="45">
        <v>13.535018845898943</v>
      </c>
      <c r="AZ111" s="199">
        <v>33.732797602424853</v>
      </c>
      <c r="BA111" s="45">
        <v>347.39465018125691</v>
      </c>
      <c r="BB111" s="45">
        <v>127.49530869458394</v>
      </c>
      <c r="BC111" s="45">
        <v>47.488995887584089</v>
      </c>
      <c r="BD111" s="45">
        <v>0</v>
      </c>
      <c r="BE111" s="45">
        <v>522.37895476342499</v>
      </c>
      <c r="BF111" s="45">
        <v>68.07914351939813</v>
      </c>
      <c r="BG111" s="45">
        <v>-10.860378908583934</v>
      </c>
      <c r="BH111" s="199">
        <v>7.6731129059310348</v>
      </c>
      <c r="BI111" s="45">
        <v>5.5410782351605077</v>
      </c>
      <c r="BJ111" s="45">
        <v>1.3750078269371653</v>
      </c>
      <c r="BK111" s="45">
        <v>11.468327830296673</v>
      </c>
      <c r="BL111" s="45">
        <v>15.580866868434581</v>
      </c>
      <c r="BM111" s="45">
        <v>33.965280760828925</v>
      </c>
      <c r="BN111" s="45">
        <v>347.39465018125691</v>
      </c>
      <c r="BO111" s="45">
        <v>0</v>
      </c>
      <c r="BP111" s="45">
        <v>127.49530869458394</v>
      </c>
      <c r="BQ111" s="45">
        <v>0</v>
      </c>
      <c r="BR111" s="45">
        <v>0</v>
      </c>
      <c r="BS111" s="45">
        <v>0</v>
      </c>
      <c r="BT111" s="45">
        <v>0</v>
      </c>
      <c r="BU111" s="45">
        <v>0</v>
      </c>
      <c r="BV111" s="45">
        <v>0</v>
      </c>
      <c r="BW111" s="45">
        <v>47.488995887584089</v>
      </c>
      <c r="BX111" s="45">
        <v>292.28853390803755</v>
      </c>
      <c r="BY111" s="45">
        <v>42.051901250137405</v>
      </c>
      <c r="BZ111" s="45">
        <v>0</v>
      </c>
      <c r="CA111" s="45">
        <v>0</v>
      </c>
      <c r="CB111" s="45">
        <v>522.37895476342499</v>
      </c>
      <c r="CC111" s="45">
        <v>334.34043515817496</v>
      </c>
      <c r="CD111" s="199">
        <v>1.5624163272871552</v>
      </c>
      <c r="CE111" s="45">
        <v>16.18881579014732</v>
      </c>
      <c r="CF111" s="45">
        <v>6.8809661952539356</v>
      </c>
      <c r="CG111" s="45">
        <v>0</v>
      </c>
      <c r="CH111" s="45">
        <v>6.8809661952539356</v>
      </c>
      <c r="CI111" s="45">
        <v>0.34404671741001186</v>
      </c>
      <c r="CJ111" s="45">
        <v>0</v>
      </c>
      <c r="CK111" s="45">
        <v>0.34404671741001186</v>
      </c>
      <c r="CL111" s="45"/>
      <c r="CM111" s="45">
        <v>0</v>
      </c>
      <c r="CN111" s="45"/>
      <c r="CO111" s="45">
        <v>0</v>
      </c>
      <c r="CP111" s="45">
        <v>0</v>
      </c>
      <c r="CQ111" s="45">
        <v>0</v>
      </c>
      <c r="CR111" s="45">
        <v>0</v>
      </c>
      <c r="CS111" s="45">
        <v>0</v>
      </c>
      <c r="CT111" s="45">
        <v>0</v>
      </c>
      <c r="CU111" s="45">
        <v>112.88956344326772</v>
      </c>
      <c r="CV111" s="45">
        <v>9999</v>
      </c>
      <c r="CW111" s="200">
        <v>0</v>
      </c>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row>
    <row r="112" spans="1:131">
      <c r="A112" s="24" t="s">
        <v>437</v>
      </c>
      <c r="B112" s="24"/>
      <c r="C112" s="45">
        <v>6.6762790697674417</v>
      </c>
      <c r="D112" s="45">
        <v>68.226666666666659</v>
      </c>
      <c r="E112" s="45">
        <v>0</v>
      </c>
      <c r="F112" s="45">
        <v>30.451059986919489</v>
      </c>
      <c r="G112" s="45">
        <v>0</v>
      </c>
      <c r="H112" s="45">
        <v>0</v>
      </c>
      <c r="I112" s="45"/>
      <c r="J112" s="45"/>
      <c r="K112" s="45"/>
      <c r="L112" s="45">
        <v>77.194303284934591</v>
      </c>
      <c r="M112" s="45">
        <v>1.8043624507137073E-2</v>
      </c>
      <c r="N112" s="45">
        <v>1.7119188336942193E-2</v>
      </c>
      <c r="O112" s="45">
        <v>0</v>
      </c>
      <c r="P112" s="45">
        <v>0</v>
      </c>
      <c r="Q112" s="45">
        <v>0</v>
      </c>
      <c r="R112" s="45">
        <v>6.0723481419427285</v>
      </c>
      <c r="S112" s="45">
        <v>1.5034578168311736</v>
      </c>
      <c r="T112" s="45">
        <v>12.54297040180562</v>
      </c>
      <c r="U112" s="45">
        <v>60.867325909236541</v>
      </c>
      <c r="V112" s="45">
        <v>1.8270635992151694</v>
      </c>
      <c r="W112" s="45">
        <v>0.45676589980379229</v>
      </c>
      <c r="X112" s="45">
        <v>3.8063824983649361</v>
      </c>
      <c r="Y112" s="45">
        <v>0</v>
      </c>
      <c r="Z112" s="45">
        <v>0</v>
      </c>
      <c r="AA112" s="45">
        <v>0</v>
      </c>
      <c r="AB112" s="45">
        <v>0</v>
      </c>
      <c r="AC112" s="45">
        <v>0</v>
      </c>
      <c r="AD112" s="45">
        <v>0</v>
      </c>
      <c r="AE112" s="45">
        <v>0</v>
      </c>
      <c r="AF112" s="45">
        <v>0</v>
      </c>
      <c r="AG112" s="45">
        <v>0</v>
      </c>
      <c r="AH112" s="45">
        <v>7.8994117411578983</v>
      </c>
      <c r="AI112" s="45">
        <v>1.9602237166349659</v>
      </c>
      <c r="AJ112" s="45">
        <v>16.349352900170558</v>
      </c>
      <c r="AK112" s="45">
        <v>60.867325909236541</v>
      </c>
      <c r="AL112" s="45">
        <v>87.076314267199962</v>
      </c>
      <c r="AM112" s="45">
        <v>37.024105008408256</v>
      </c>
      <c r="AN112" s="45">
        <v>6.3756873829492875</v>
      </c>
      <c r="AO112" s="45">
        <v>4.3399792391357543</v>
      </c>
      <c r="AP112" s="45">
        <v>0</v>
      </c>
      <c r="AQ112" s="45">
        <v>47.739771630493294</v>
      </c>
      <c r="AR112" s="45">
        <v>7.8994117411578983</v>
      </c>
      <c r="AS112" s="199">
        <v>6.0434590821183836</v>
      </c>
      <c r="AT112" s="45">
        <v>37.024105008408256</v>
      </c>
      <c r="AU112" s="45">
        <v>7.2123160440602803</v>
      </c>
      <c r="AV112" s="45">
        <v>4.423642105246854</v>
      </c>
      <c r="AW112" s="45">
        <v>0</v>
      </c>
      <c r="AX112" s="45">
        <v>48.660063157715392</v>
      </c>
      <c r="AY112" s="45">
        <v>1.9602237166349659</v>
      </c>
      <c r="AZ112" s="199">
        <v>24.823729426786088</v>
      </c>
      <c r="BA112" s="45">
        <v>37.024105008408256</v>
      </c>
      <c r="BB112" s="45">
        <v>13.588003427009568</v>
      </c>
      <c r="BC112" s="45">
        <v>5.0612108435417831</v>
      </c>
      <c r="BD112" s="45">
        <v>0</v>
      </c>
      <c r="BE112" s="45">
        <v>55.67331927895961</v>
      </c>
      <c r="BF112" s="45">
        <v>9.859635457792864</v>
      </c>
      <c r="BG112" s="45">
        <v>-8.3782425149554136</v>
      </c>
      <c r="BH112" s="199">
        <v>5.6465900303602501</v>
      </c>
      <c r="BI112" s="45">
        <v>7.5297336428497603</v>
      </c>
      <c r="BJ112" s="45">
        <v>1.8684888128764356</v>
      </c>
      <c r="BK112" s="45">
        <v>15.584232928361395</v>
      </c>
      <c r="BL112" s="45">
        <v>58.018845790901807</v>
      </c>
      <c r="BM112" s="45">
        <v>83.001301174989408</v>
      </c>
      <c r="BN112" s="45">
        <v>37.024105008408256</v>
      </c>
      <c r="BO112" s="45">
        <v>0</v>
      </c>
      <c r="BP112" s="45">
        <v>13.588003427009568</v>
      </c>
      <c r="BQ112" s="45">
        <v>0</v>
      </c>
      <c r="BR112" s="45">
        <v>0</v>
      </c>
      <c r="BS112" s="45">
        <v>0</v>
      </c>
      <c r="BT112" s="45">
        <v>0</v>
      </c>
      <c r="BU112" s="45">
        <v>0</v>
      </c>
      <c r="BV112" s="45">
        <v>0</v>
      </c>
      <c r="BW112" s="45">
        <v>5.0612108435417831</v>
      </c>
      <c r="BX112" s="45">
        <v>80.986102269816058</v>
      </c>
      <c r="BY112" s="45">
        <v>6.0902119973838982</v>
      </c>
      <c r="BZ112" s="45">
        <v>0</v>
      </c>
      <c r="CA112" s="45">
        <v>0</v>
      </c>
      <c r="CB112" s="45">
        <v>55.673319278959603</v>
      </c>
      <c r="CC112" s="45">
        <v>87.076314267199962</v>
      </c>
      <c r="CD112" s="200">
        <v>0.63936237709972432</v>
      </c>
      <c r="CE112" s="45">
        <v>65.224836204307806</v>
      </c>
      <c r="CF112" s="45">
        <v>0.73334927535431171</v>
      </c>
      <c r="CG112" s="45">
        <v>0</v>
      </c>
      <c r="CH112" s="45">
        <v>0.73334927535431171</v>
      </c>
      <c r="CI112" s="45">
        <v>3.666729406034392E-2</v>
      </c>
      <c r="CJ112" s="45">
        <v>0</v>
      </c>
      <c r="CK112" s="45">
        <v>3.666729406034392E-2</v>
      </c>
      <c r="CL112" s="45"/>
      <c r="CM112" s="45">
        <v>0</v>
      </c>
      <c r="CN112" s="45"/>
      <c r="CO112" s="45">
        <v>0</v>
      </c>
      <c r="CP112" s="45">
        <v>0</v>
      </c>
      <c r="CQ112" s="45">
        <v>0</v>
      </c>
      <c r="CR112" s="45">
        <v>0</v>
      </c>
      <c r="CS112" s="45">
        <v>0</v>
      </c>
      <c r="CT112" s="45">
        <v>0</v>
      </c>
      <c r="CU112" s="45">
        <v>16.349352900170558</v>
      </c>
      <c r="CV112" s="45">
        <v>9999</v>
      </c>
      <c r="CW112" s="200">
        <v>0</v>
      </c>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row>
    <row r="113" spans="1:131">
      <c r="A113" s="24"/>
      <c r="B113" s="24"/>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row>
    <row r="114" spans="1:131">
      <c r="A114" s="24"/>
      <c r="B114" s="24"/>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row>
    <row r="115" spans="1:131" ht="13.5" thickBot="1">
      <c r="A115" s="187" t="s">
        <v>634</v>
      </c>
      <c r="B115" s="188"/>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row>
    <row r="116" spans="1:131" ht="13.5" thickBot="1">
      <c r="A116" s="220" t="s">
        <v>635</v>
      </c>
      <c r="B116" s="221"/>
      <c r="C116" s="222"/>
      <c r="D116" s="222"/>
      <c r="E116" s="222"/>
      <c r="F116" s="222"/>
      <c r="G116" s="222"/>
      <c r="H116" s="222"/>
      <c r="I116" s="222"/>
      <c r="J116" s="222"/>
      <c r="K116" s="222"/>
      <c r="L116" s="194"/>
      <c r="M116" s="223"/>
      <c r="N116" s="224" t="s">
        <v>636</v>
      </c>
      <c r="O116" s="222"/>
      <c r="P116" s="222"/>
      <c r="Q116" s="222"/>
      <c r="R116" s="222"/>
      <c r="S116" s="222"/>
      <c r="T116" s="222"/>
      <c r="U116" s="222"/>
      <c r="V116" s="222"/>
      <c r="W116" s="222"/>
      <c r="X116" s="222"/>
      <c r="Y116" s="194"/>
      <c r="Z116" s="223"/>
      <c r="AA116" s="224" t="s">
        <v>637</v>
      </c>
      <c r="AB116" s="222"/>
      <c r="AC116" s="222"/>
      <c r="AD116" s="222"/>
      <c r="AE116" s="222"/>
      <c r="AF116" s="222"/>
      <c r="AG116" s="222"/>
      <c r="AH116" s="222"/>
      <c r="AI116" s="222"/>
      <c r="AJ116" s="222"/>
      <c r="AK116" s="222"/>
      <c r="AL116" s="194"/>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row>
    <row r="117" spans="1:131" ht="102">
      <c r="A117" s="195"/>
      <c r="B117" s="196" t="s">
        <v>638</v>
      </c>
      <c r="C117" s="197" t="s">
        <v>639</v>
      </c>
      <c r="D117" s="197" t="s">
        <v>391</v>
      </c>
      <c r="E117" s="197" t="s">
        <v>392</v>
      </c>
      <c r="F117" s="197" t="s">
        <v>393</v>
      </c>
      <c r="G117" s="197" t="s">
        <v>394</v>
      </c>
      <c r="H117" s="197" t="s">
        <v>395</v>
      </c>
      <c r="I117" s="197" t="s">
        <v>396</v>
      </c>
      <c r="J117" s="197" t="s">
        <v>397</v>
      </c>
      <c r="K117" s="197" t="s">
        <v>398</v>
      </c>
      <c r="L117" s="197" t="s">
        <v>399</v>
      </c>
      <c r="M117" s="197" t="s">
        <v>400</v>
      </c>
      <c r="N117" s="197" t="s">
        <v>402</v>
      </c>
      <c r="O117" s="197" t="s">
        <v>403</v>
      </c>
      <c r="P117" s="197" t="s">
        <v>404</v>
      </c>
      <c r="Q117" s="197" t="s">
        <v>405</v>
      </c>
      <c r="R117" s="197" t="s">
        <v>406</v>
      </c>
      <c r="S117" s="197" t="s">
        <v>407</v>
      </c>
      <c r="T117" s="197" t="s">
        <v>408</v>
      </c>
      <c r="U117" s="197" t="s">
        <v>409</v>
      </c>
      <c r="V117" s="197" t="s">
        <v>410</v>
      </c>
      <c r="W117" s="197" t="s">
        <v>411</v>
      </c>
      <c r="X117" s="197" t="s">
        <v>412</v>
      </c>
      <c r="Y117" s="197" t="s">
        <v>413</v>
      </c>
      <c r="Z117" s="197"/>
      <c r="AA117" s="197" t="s">
        <v>402</v>
      </c>
      <c r="AB117" s="197" t="s">
        <v>403</v>
      </c>
      <c r="AC117" s="197" t="s">
        <v>404</v>
      </c>
      <c r="AD117" s="197" t="s">
        <v>405</v>
      </c>
      <c r="AE117" s="197" t="s">
        <v>406</v>
      </c>
      <c r="AF117" s="197" t="s">
        <v>407</v>
      </c>
      <c r="AG117" s="197" t="s">
        <v>408</v>
      </c>
      <c r="AH117" s="197" t="s">
        <v>409</v>
      </c>
      <c r="AI117" s="197" t="s">
        <v>410</v>
      </c>
      <c r="AJ117" s="197" t="s">
        <v>411</v>
      </c>
      <c r="AK117" s="197" t="s">
        <v>412</v>
      </c>
      <c r="AL117" s="197" t="s">
        <v>413</v>
      </c>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row>
    <row r="118" spans="1:131">
      <c r="A118" s="24"/>
      <c r="B118" s="225" t="s">
        <v>640</v>
      </c>
      <c r="C118" s="226">
        <v>28596.618730055234</v>
      </c>
      <c r="D118" s="226">
        <v>5354.156704355908</v>
      </c>
      <c r="E118" s="226">
        <v>0</v>
      </c>
      <c r="F118" s="226">
        <v>5354.156704355908</v>
      </c>
      <c r="G118" s="226">
        <v>6767.6352530186214</v>
      </c>
      <c r="H118" s="226">
        <v>20624.173249941796</v>
      </c>
      <c r="I118" s="226">
        <v>1640.1384084217975</v>
      </c>
      <c r="J118" s="226">
        <v>-14.349000711109371</v>
      </c>
      <c r="K118" s="226">
        <v>-0.36271223985722417</v>
      </c>
      <c r="L118" s="199">
        <v>14.40466071765149</v>
      </c>
      <c r="M118" s="45">
        <v>271.66913529696097</v>
      </c>
      <c r="N118" s="198">
        <v>1188.3296971093466</v>
      </c>
      <c r="O118" s="198">
        <v>873.80594639771664</v>
      </c>
      <c r="P118" s="198">
        <v>808.94891164678586</v>
      </c>
      <c r="Q118" s="198">
        <v>462.6025114674452</v>
      </c>
      <c r="R118" s="198">
        <v>371.58060834112865</v>
      </c>
      <c r="S118" s="198">
        <v>288.38449557231365</v>
      </c>
      <c r="T118" s="198">
        <v>302.04479212587523</v>
      </c>
      <c r="U118" s="198">
        <v>438.60401122749022</v>
      </c>
      <c r="V118" s="198">
        <v>553.15377297607722</v>
      </c>
      <c r="W118" s="198">
        <v>901.54823230373927</v>
      </c>
      <c r="X118" s="198">
        <v>1051.0740765848373</v>
      </c>
      <c r="Y118" s="198">
        <v>1246.8898393056224</v>
      </c>
      <c r="Z118" s="198"/>
      <c r="AA118" s="198">
        <v>1951.1690683819102</v>
      </c>
      <c r="AB118" s="198">
        <v>1687.9078454571513</v>
      </c>
      <c r="AC118" s="198">
        <v>1696.1771790548039</v>
      </c>
      <c r="AD118" s="198">
        <v>1607.1725094819969</v>
      </c>
      <c r="AE118" s="198">
        <v>1480.0527659392906</v>
      </c>
      <c r="AF118" s="198">
        <v>1344.3520388942952</v>
      </c>
      <c r="AG118" s="198">
        <v>1469.7204558015524</v>
      </c>
      <c r="AH118" s="198">
        <v>1588.4018462811721</v>
      </c>
      <c r="AI118" s="198">
        <v>1705.2233049714259</v>
      </c>
      <c r="AJ118" s="198">
        <v>1765.0683985674984</v>
      </c>
      <c r="AK118" s="198">
        <v>1860.8629852717897</v>
      </c>
      <c r="AL118" s="198">
        <v>1953.5434368939755</v>
      </c>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row>
    <row r="119" spans="1:131">
      <c r="A119" s="24"/>
      <c r="B119" s="225" t="s">
        <v>641</v>
      </c>
      <c r="C119" s="226">
        <v>28596.618730055234</v>
      </c>
      <c r="D119" s="226">
        <v>5354.156704355908</v>
      </c>
      <c r="E119" s="226">
        <v>1070.8313408711817</v>
      </c>
      <c r="F119" s="226">
        <v>6424.98804522709</v>
      </c>
      <c r="G119" s="226">
        <v>7838.4665938898042</v>
      </c>
      <c r="H119" s="226">
        <v>20624.173249941796</v>
      </c>
      <c r="I119" s="226">
        <v>1968.1660901061571</v>
      </c>
      <c r="J119" s="226">
        <v>-13.315745104320953</v>
      </c>
      <c r="K119" s="226">
        <v>2.3926360449118955</v>
      </c>
      <c r="L119" s="199">
        <v>12.433769464571606</v>
      </c>
      <c r="M119" s="45">
        <v>271.66913529696097</v>
      </c>
      <c r="N119" s="198">
        <v>74.145550591413581</v>
      </c>
      <c r="O119" s="198">
        <v>54.52091550292058</v>
      </c>
      <c r="P119" s="198">
        <v>50.474176148487281</v>
      </c>
      <c r="Q119" s="198">
        <v>28.863974367686147</v>
      </c>
      <c r="R119" s="198">
        <v>23.184684234993256</v>
      </c>
      <c r="S119" s="198">
        <v>17.993682442044285</v>
      </c>
      <c r="T119" s="198">
        <v>18.846013416915664</v>
      </c>
      <c r="U119" s="198">
        <v>27.366593617219308</v>
      </c>
      <c r="V119" s="198">
        <v>34.513898927878977</v>
      </c>
      <c r="W119" s="198">
        <v>56.251888875184292</v>
      </c>
      <c r="X119" s="198">
        <v>65.58151858892171</v>
      </c>
      <c r="Y119" s="198">
        <v>77.799396823159128</v>
      </c>
      <c r="Z119" s="198"/>
      <c r="AA119" s="198">
        <v>121.74273286616351</v>
      </c>
      <c r="AB119" s="198">
        <v>105.31661108312021</v>
      </c>
      <c r="AC119" s="198">
        <v>105.83257419850267</v>
      </c>
      <c r="AD119" s="198">
        <v>100.27914887661122</v>
      </c>
      <c r="AE119" s="198">
        <v>92.347542522801476</v>
      </c>
      <c r="AF119" s="198">
        <v>83.880527731467467</v>
      </c>
      <c r="AG119" s="198">
        <v>91.702860473781428</v>
      </c>
      <c r="AH119" s="198">
        <v>99.107957782610384</v>
      </c>
      <c r="AI119" s="198">
        <v>106.39700508703363</v>
      </c>
      <c r="AJ119" s="198">
        <v>110.1310255576734</v>
      </c>
      <c r="AK119" s="198">
        <v>116.10810615419828</v>
      </c>
      <c r="AL119" s="198">
        <v>121.89088102829578</v>
      </c>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row>
    <row r="120" spans="1:131">
      <c r="A120" s="24"/>
      <c r="B120" s="225" t="s">
        <v>642</v>
      </c>
      <c r="C120" s="227"/>
      <c r="D120" s="227"/>
      <c r="E120" s="227"/>
      <c r="F120" s="227"/>
      <c r="G120" s="227"/>
      <c r="H120" s="227"/>
      <c r="I120" s="227"/>
      <c r="J120" s="227"/>
      <c r="K120" s="227"/>
      <c r="L120" s="200"/>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row>
    <row r="121" spans="1:131">
      <c r="A121" s="24"/>
      <c r="B121" s="24" t="s">
        <v>643</v>
      </c>
      <c r="C121" s="45">
        <v>9956.5344101024184</v>
      </c>
      <c r="D121" s="45">
        <v>751.49974853255958</v>
      </c>
      <c r="E121" s="45">
        <v>150.29994970651191</v>
      </c>
      <c r="F121" s="45">
        <v>901.79969823907152</v>
      </c>
      <c r="G121" s="45">
        <v>1110.86192017657</v>
      </c>
      <c r="H121" s="45">
        <v>7180.7542206778444</v>
      </c>
      <c r="I121" s="45">
        <v>793.42520511542182</v>
      </c>
      <c r="J121" s="45">
        <v>-15.978218576375143</v>
      </c>
      <c r="K121" s="45">
        <v>-9.5668650141870177</v>
      </c>
      <c r="L121" s="199">
        <v>31.867829766889795</v>
      </c>
      <c r="M121" s="45">
        <v>94.587514673687977</v>
      </c>
      <c r="N121" s="198">
        <v>413.74281454403757</v>
      </c>
      <c r="O121" s="198">
        <v>304.23453399115078</v>
      </c>
      <c r="P121" s="198">
        <v>281.6531475576507</v>
      </c>
      <c r="Q121" s="198">
        <v>161.06511986973351</v>
      </c>
      <c r="R121" s="198">
        <v>129.37386577060153</v>
      </c>
      <c r="S121" s="198">
        <v>100.40733069214232</v>
      </c>
      <c r="T121" s="198">
        <v>105.16345986851918</v>
      </c>
      <c r="U121" s="198">
        <v>152.70952036038207</v>
      </c>
      <c r="V121" s="198">
        <v>192.59250985942191</v>
      </c>
      <c r="W121" s="198">
        <v>313.89361385809724</v>
      </c>
      <c r="X121" s="198">
        <v>365.95428675924927</v>
      </c>
      <c r="Y121" s="198">
        <v>434.13180096028503</v>
      </c>
      <c r="Z121" s="198"/>
      <c r="AA121" s="198">
        <v>679.34192334613965</v>
      </c>
      <c r="AB121" s="198">
        <v>587.68180612601759</v>
      </c>
      <c r="AC121" s="198">
        <v>590.56095436696364</v>
      </c>
      <c r="AD121" s="198">
        <v>559.5720439777059</v>
      </c>
      <c r="AE121" s="198">
        <v>515.31254208575206</v>
      </c>
      <c r="AF121" s="198">
        <v>468.06538426427903</v>
      </c>
      <c r="AG121" s="198">
        <v>511.71512371984863</v>
      </c>
      <c r="AH121" s="198">
        <v>553.03662957002132</v>
      </c>
      <c r="AI121" s="198">
        <v>593.71055973874491</v>
      </c>
      <c r="AJ121" s="198">
        <v>614.54692991557454</v>
      </c>
      <c r="AK121" s="198">
        <v>647.89989754528892</v>
      </c>
      <c r="AL121" s="198">
        <v>680.16861135480906</v>
      </c>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row>
    <row r="122" spans="1:131">
      <c r="A122" s="24"/>
      <c r="B122" s="24" t="s">
        <v>644</v>
      </c>
      <c r="C122" s="45">
        <v>10030.72189532294</v>
      </c>
      <c r="D122" s="45">
        <v>2164.5011529950061</v>
      </c>
      <c r="E122" s="45">
        <v>432.90023059900125</v>
      </c>
      <c r="F122" s="45">
        <v>2597.4013835940073</v>
      </c>
      <c r="G122" s="45">
        <v>3174.4064540845088</v>
      </c>
      <c r="H122" s="45">
        <v>7234.2589920848759</v>
      </c>
      <c r="I122" s="45">
        <v>2268.3547961680338</v>
      </c>
      <c r="J122" s="45">
        <v>-12.635387012837377</v>
      </c>
      <c r="K122" s="45">
        <v>5.5098334217547151</v>
      </c>
      <c r="L122" s="199">
        <v>2.3124924042984181</v>
      </c>
      <c r="M122" s="45">
        <v>95.292299045223928</v>
      </c>
      <c r="N122" s="198">
        <v>416.82566824340699</v>
      </c>
      <c r="O122" s="198">
        <v>306.50142667332148</v>
      </c>
      <c r="P122" s="198">
        <v>283.75178327376341</v>
      </c>
      <c r="Q122" s="198">
        <v>162.26523787341898</v>
      </c>
      <c r="R122" s="198">
        <v>130.33784795149367</v>
      </c>
      <c r="S122" s="198">
        <v>101.15547930037665</v>
      </c>
      <c r="T122" s="198">
        <v>105.94704703885211</v>
      </c>
      <c r="U122" s="198">
        <v>153.847379661433</v>
      </c>
      <c r="V122" s="198">
        <v>194.02754271224688</v>
      </c>
      <c r="W122" s="198">
        <v>316.23247765143532</v>
      </c>
      <c r="X122" s="198">
        <v>368.68106167129014</v>
      </c>
      <c r="Y122" s="198">
        <v>437.36657575650537</v>
      </c>
      <c r="Z122" s="198"/>
      <c r="AA122" s="198">
        <v>684.40379194640127</v>
      </c>
      <c r="AB122" s="198">
        <v>592.06070278930895</v>
      </c>
      <c r="AC122" s="198">
        <v>594.96130395340822</v>
      </c>
      <c r="AD122" s="198">
        <v>563.74149099938143</v>
      </c>
      <c r="AE122" s="198">
        <v>519.152205569579</v>
      </c>
      <c r="AF122" s="198">
        <v>471.55300278163287</v>
      </c>
      <c r="AG122" s="198">
        <v>515.52798235262401</v>
      </c>
      <c r="AH122" s="198">
        <v>557.15738033456478</v>
      </c>
      <c r="AI122" s="198">
        <v>598.13437746102318</v>
      </c>
      <c r="AJ122" s="198">
        <v>619.12600225164442</v>
      </c>
      <c r="AK122" s="198">
        <v>652.72748735653363</v>
      </c>
      <c r="AL122" s="198">
        <v>685.23663971929193</v>
      </c>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row>
    <row r="123" spans="1:131">
      <c r="A123" s="24"/>
      <c r="B123" s="24" t="s">
        <v>645</v>
      </c>
      <c r="C123" s="45">
        <v>8609.3624246298878</v>
      </c>
      <c r="D123" s="45">
        <v>2438.1558028283434</v>
      </c>
      <c r="E123" s="45">
        <v>487.63116056566861</v>
      </c>
      <c r="F123" s="45">
        <v>2925.7869633940122</v>
      </c>
      <c r="G123" s="45">
        <v>3553.1982196287231</v>
      </c>
      <c r="H123" s="45">
        <v>6209.1600371790782</v>
      </c>
      <c r="I123" s="45">
        <v>2976.9793087126732</v>
      </c>
      <c r="J123" s="45">
        <v>-11.029335848360949</v>
      </c>
      <c r="K123" s="45">
        <v>12.591700680805523</v>
      </c>
      <c r="L123" s="199">
        <v>1.7509604277713662</v>
      </c>
      <c r="M123" s="45">
        <v>81.789321578049027</v>
      </c>
      <c r="N123" s="198">
        <v>357.76121432190263</v>
      </c>
      <c r="O123" s="198">
        <v>263.06998573324427</v>
      </c>
      <c r="P123" s="198">
        <v>243.54398081537201</v>
      </c>
      <c r="Q123" s="198">
        <v>139.27215372429259</v>
      </c>
      <c r="R123" s="198">
        <v>111.86889461903345</v>
      </c>
      <c r="S123" s="198">
        <v>86.821685579794575</v>
      </c>
      <c r="T123" s="198">
        <v>90.934285218503945</v>
      </c>
      <c r="U123" s="198">
        <v>132.04711120567526</v>
      </c>
      <c r="V123" s="198">
        <v>166.53372040440851</v>
      </c>
      <c r="W123" s="198">
        <v>271.42214079420705</v>
      </c>
      <c r="X123" s="198">
        <v>316.43872815429791</v>
      </c>
      <c r="Y123" s="198">
        <v>375.39146258883198</v>
      </c>
      <c r="Z123" s="198"/>
      <c r="AA123" s="198">
        <v>587.4233530893697</v>
      </c>
      <c r="AB123" s="198">
        <v>508.16533654182552</v>
      </c>
      <c r="AC123" s="198">
        <v>510.65492073443272</v>
      </c>
      <c r="AD123" s="198">
        <v>483.8589745049099</v>
      </c>
      <c r="AE123" s="198">
        <v>445.58801828395895</v>
      </c>
      <c r="AF123" s="198">
        <v>404.73365184838264</v>
      </c>
      <c r="AG123" s="198">
        <v>442.47734972907932</v>
      </c>
      <c r="AH123" s="198">
        <v>478.20783637658553</v>
      </c>
      <c r="AI123" s="198">
        <v>513.37836777165808</v>
      </c>
      <c r="AJ123" s="198">
        <v>531.39546640027936</v>
      </c>
      <c r="AK123" s="198">
        <v>560.23560036996719</v>
      </c>
      <c r="AL123" s="198">
        <v>588.1381858198738</v>
      </c>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row>
    <row r="124" spans="1:131">
      <c r="A124" s="24"/>
      <c r="B124" s="24" t="s">
        <v>646</v>
      </c>
      <c r="C124" s="228">
        <v>0</v>
      </c>
      <c r="D124" s="228">
        <v>0</v>
      </c>
      <c r="E124" s="228">
        <v>0</v>
      </c>
      <c r="F124" s="228">
        <v>0</v>
      </c>
      <c r="G124" s="228">
        <v>0</v>
      </c>
      <c r="H124" s="228">
        <v>0</v>
      </c>
      <c r="I124" s="228">
        <v>0</v>
      </c>
      <c r="J124" s="228">
        <v>0</v>
      </c>
      <c r="K124" s="228">
        <v>0</v>
      </c>
      <c r="L124" s="229">
        <v>0</v>
      </c>
      <c r="M124" s="228">
        <v>0</v>
      </c>
      <c r="N124" s="228">
        <v>0</v>
      </c>
      <c r="O124" s="228">
        <v>0</v>
      </c>
      <c r="P124" s="228">
        <v>0</v>
      </c>
      <c r="Q124" s="228">
        <v>0</v>
      </c>
      <c r="R124" s="228">
        <v>0</v>
      </c>
      <c r="S124" s="228">
        <v>0</v>
      </c>
      <c r="T124" s="228">
        <v>0</v>
      </c>
      <c r="U124" s="228">
        <v>0</v>
      </c>
      <c r="V124" s="228">
        <v>0</v>
      </c>
      <c r="W124" s="228">
        <v>0</v>
      </c>
      <c r="X124" s="228">
        <v>0</v>
      </c>
      <c r="Y124" s="228">
        <v>0</v>
      </c>
      <c r="Z124" s="228"/>
      <c r="AA124" s="228">
        <v>0</v>
      </c>
      <c r="AB124" s="228">
        <v>0</v>
      </c>
      <c r="AC124" s="228">
        <v>0</v>
      </c>
      <c r="AD124" s="228">
        <v>0</v>
      </c>
      <c r="AE124" s="228">
        <v>0</v>
      </c>
      <c r="AF124" s="228">
        <v>0</v>
      </c>
      <c r="AG124" s="228">
        <v>0</v>
      </c>
      <c r="AH124" s="228">
        <v>0</v>
      </c>
      <c r="AI124" s="228">
        <v>0</v>
      </c>
      <c r="AJ124" s="228">
        <v>0</v>
      </c>
      <c r="AK124" s="228">
        <v>0</v>
      </c>
      <c r="AL124" s="228">
        <v>0</v>
      </c>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row>
    <row r="125" spans="1:131">
      <c r="A125" s="24"/>
      <c r="B125" s="24" t="s">
        <v>647</v>
      </c>
      <c r="C125" s="228">
        <v>0</v>
      </c>
      <c r="D125" s="228">
        <v>0</v>
      </c>
      <c r="E125" s="228">
        <v>0</v>
      </c>
      <c r="F125" s="228">
        <v>0</v>
      </c>
      <c r="G125" s="228">
        <v>0</v>
      </c>
      <c r="H125" s="228">
        <v>0</v>
      </c>
      <c r="I125" s="228">
        <v>0</v>
      </c>
      <c r="J125" s="228">
        <v>0</v>
      </c>
      <c r="K125" s="228">
        <v>0</v>
      </c>
      <c r="L125" s="229">
        <v>0</v>
      </c>
      <c r="M125" s="228">
        <v>0</v>
      </c>
      <c r="N125" s="228">
        <v>0</v>
      </c>
      <c r="O125" s="228">
        <v>0</v>
      </c>
      <c r="P125" s="228">
        <v>0</v>
      </c>
      <c r="Q125" s="228">
        <v>0</v>
      </c>
      <c r="R125" s="228">
        <v>0</v>
      </c>
      <c r="S125" s="228">
        <v>0</v>
      </c>
      <c r="T125" s="228">
        <v>0</v>
      </c>
      <c r="U125" s="228">
        <v>0</v>
      </c>
      <c r="V125" s="228">
        <v>0</v>
      </c>
      <c r="W125" s="228">
        <v>0</v>
      </c>
      <c r="X125" s="228">
        <v>0</v>
      </c>
      <c r="Y125" s="228">
        <v>0</v>
      </c>
      <c r="Z125" s="228"/>
      <c r="AA125" s="228">
        <v>0</v>
      </c>
      <c r="AB125" s="228">
        <v>0</v>
      </c>
      <c r="AC125" s="228">
        <v>0</v>
      </c>
      <c r="AD125" s="228">
        <v>0</v>
      </c>
      <c r="AE125" s="228">
        <v>0</v>
      </c>
      <c r="AF125" s="228">
        <v>0</v>
      </c>
      <c r="AG125" s="228">
        <v>0</v>
      </c>
      <c r="AH125" s="228">
        <v>0</v>
      </c>
      <c r="AI125" s="228">
        <v>0</v>
      </c>
      <c r="AJ125" s="228">
        <v>0</v>
      </c>
      <c r="AK125" s="228">
        <v>0</v>
      </c>
      <c r="AL125" s="228">
        <v>0</v>
      </c>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row>
    <row r="126" spans="1:131">
      <c r="A126" s="24"/>
      <c r="B126" s="24" t="s">
        <v>648</v>
      </c>
      <c r="C126" s="228">
        <v>0</v>
      </c>
      <c r="D126" s="228">
        <v>0</v>
      </c>
      <c r="E126" s="228">
        <v>0</v>
      </c>
      <c r="F126" s="228">
        <v>0</v>
      </c>
      <c r="G126" s="228">
        <v>0</v>
      </c>
      <c r="H126" s="228">
        <v>0</v>
      </c>
      <c r="I126" s="228">
        <v>0</v>
      </c>
      <c r="J126" s="228">
        <v>0</v>
      </c>
      <c r="K126" s="228">
        <v>0</v>
      </c>
      <c r="L126" s="229">
        <v>0</v>
      </c>
      <c r="M126" s="228">
        <v>0</v>
      </c>
      <c r="N126" s="228">
        <v>0</v>
      </c>
      <c r="O126" s="228">
        <v>0</v>
      </c>
      <c r="P126" s="228">
        <v>0</v>
      </c>
      <c r="Q126" s="228">
        <v>0</v>
      </c>
      <c r="R126" s="228">
        <v>0</v>
      </c>
      <c r="S126" s="228">
        <v>0</v>
      </c>
      <c r="T126" s="228">
        <v>0</v>
      </c>
      <c r="U126" s="228">
        <v>0</v>
      </c>
      <c r="V126" s="228">
        <v>0</v>
      </c>
      <c r="W126" s="228">
        <v>0</v>
      </c>
      <c r="X126" s="228">
        <v>0</v>
      </c>
      <c r="Y126" s="228">
        <v>0</v>
      </c>
      <c r="Z126" s="228"/>
      <c r="AA126" s="228">
        <v>0</v>
      </c>
      <c r="AB126" s="228">
        <v>0</v>
      </c>
      <c r="AC126" s="228">
        <v>0</v>
      </c>
      <c r="AD126" s="228">
        <v>0</v>
      </c>
      <c r="AE126" s="228">
        <v>0</v>
      </c>
      <c r="AF126" s="228">
        <v>0</v>
      </c>
      <c r="AG126" s="228">
        <v>0</v>
      </c>
      <c r="AH126" s="228">
        <v>0</v>
      </c>
      <c r="AI126" s="228">
        <v>0</v>
      </c>
      <c r="AJ126" s="228">
        <v>0</v>
      </c>
      <c r="AK126" s="228">
        <v>0</v>
      </c>
      <c r="AL126" s="228">
        <v>0</v>
      </c>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row>
    <row r="127" spans="1:131">
      <c r="A127" s="24"/>
      <c r="B127" s="24" t="s">
        <v>649</v>
      </c>
      <c r="C127" s="228">
        <v>0</v>
      </c>
      <c r="D127" s="228">
        <v>0</v>
      </c>
      <c r="E127" s="228">
        <v>0</v>
      </c>
      <c r="F127" s="228">
        <v>0</v>
      </c>
      <c r="G127" s="228">
        <v>0</v>
      </c>
      <c r="H127" s="228">
        <v>0</v>
      </c>
      <c r="I127" s="228">
        <v>0</v>
      </c>
      <c r="J127" s="228">
        <v>0</v>
      </c>
      <c r="K127" s="228">
        <v>0</v>
      </c>
      <c r="L127" s="229">
        <v>0</v>
      </c>
      <c r="M127" s="228">
        <v>0</v>
      </c>
      <c r="N127" s="228">
        <v>0</v>
      </c>
      <c r="O127" s="228">
        <v>0</v>
      </c>
      <c r="P127" s="228">
        <v>0</v>
      </c>
      <c r="Q127" s="228">
        <v>0</v>
      </c>
      <c r="R127" s="228">
        <v>0</v>
      </c>
      <c r="S127" s="228">
        <v>0</v>
      </c>
      <c r="T127" s="228">
        <v>0</v>
      </c>
      <c r="U127" s="228">
        <v>0</v>
      </c>
      <c r="V127" s="228">
        <v>0</v>
      </c>
      <c r="W127" s="228">
        <v>0</v>
      </c>
      <c r="X127" s="228">
        <v>0</v>
      </c>
      <c r="Y127" s="228">
        <v>0</v>
      </c>
      <c r="Z127" s="228"/>
      <c r="AA127" s="228">
        <v>0</v>
      </c>
      <c r="AB127" s="228">
        <v>0</v>
      </c>
      <c r="AC127" s="228">
        <v>0</v>
      </c>
      <c r="AD127" s="228">
        <v>0</v>
      </c>
      <c r="AE127" s="228">
        <v>0</v>
      </c>
      <c r="AF127" s="228">
        <v>0</v>
      </c>
      <c r="AG127" s="228">
        <v>0</v>
      </c>
      <c r="AH127" s="228">
        <v>0</v>
      </c>
      <c r="AI127" s="228">
        <v>0</v>
      </c>
      <c r="AJ127" s="228">
        <v>0</v>
      </c>
      <c r="AK127" s="228">
        <v>0</v>
      </c>
      <c r="AL127" s="228">
        <v>0</v>
      </c>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row>
    <row r="128" spans="1:131">
      <c r="A128" s="24"/>
      <c r="B128" s="24" t="s">
        <v>650</v>
      </c>
      <c r="C128" s="45">
        <v>77.194303284934591</v>
      </c>
      <c r="D128" s="45">
        <v>30.451059986919489</v>
      </c>
      <c r="E128" s="45">
        <v>6.0902119973838982</v>
      </c>
      <c r="F128" s="45">
        <v>36.541271984303386</v>
      </c>
      <c r="G128" s="45">
        <v>87.076314267199962</v>
      </c>
      <c r="H128" s="45">
        <v>55.673319278959603</v>
      </c>
      <c r="I128" s="45">
        <v>4146.6990303799967</v>
      </c>
      <c r="J128" s="45">
        <v>-8.3782425149554136</v>
      </c>
      <c r="K128" s="45">
        <v>65.224836204307806</v>
      </c>
      <c r="L128" s="200">
        <v>0.63936237709972432</v>
      </c>
      <c r="M128" s="45">
        <v>0.73334927535431171</v>
      </c>
      <c r="N128" s="198">
        <v>3.2078017302354049</v>
      </c>
      <c r="O128" s="198">
        <v>2.3587698208358887</v>
      </c>
      <c r="P128" s="198">
        <v>2.1836934015575871</v>
      </c>
      <c r="Q128" s="198">
        <v>1.2487587748637792</v>
      </c>
      <c r="R128" s="198">
        <v>1.0030523694376006</v>
      </c>
      <c r="S128" s="198">
        <v>0.77847106415014411</v>
      </c>
      <c r="T128" s="198">
        <v>0.81534595083069783</v>
      </c>
      <c r="U128" s="198">
        <v>1.1839767276086746</v>
      </c>
      <c r="V128" s="198">
        <v>1.4931947205857186</v>
      </c>
      <c r="W128" s="198">
        <v>2.433657920448733</v>
      </c>
      <c r="X128" s="198">
        <v>2.8372910730717615</v>
      </c>
      <c r="Y128" s="198">
        <v>3.3658801876845397</v>
      </c>
      <c r="Z128" s="198"/>
      <c r="AA128" s="198">
        <v>5.2670260860790057</v>
      </c>
      <c r="AB128" s="198">
        <v>4.5563733030540767</v>
      </c>
      <c r="AC128" s="198">
        <v>4.5786957129769874</v>
      </c>
      <c r="AD128" s="198">
        <v>4.3384346694726528</v>
      </c>
      <c r="AE128" s="198">
        <v>3.9952850079979769</v>
      </c>
      <c r="AF128" s="198">
        <v>3.6289716624104487</v>
      </c>
      <c r="AG128" s="198">
        <v>3.9673937565904014</v>
      </c>
      <c r="AH128" s="198">
        <v>4.2877647535059449</v>
      </c>
      <c r="AI128" s="198">
        <v>4.6031150121309627</v>
      </c>
      <c r="AJ128" s="198">
        <v>4.7646620939303626</v>
      </c>
      <c r="AK128" s="198">
        <v>5.0232519799903557</v>
      </c>
      <c r="AL128" s="198">
        <v>5.2734355054848692</v>
      </c>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row>
    <row r="129" spans="1:131">
      <c r="A129" s="24"/>
      <c r="B129" s="24" t="s">
        <v>651</v>
      </c>
      <c r="C129" s="228">
        <v>0</v>
      </c>
      <c r="D129" s="228">
        <v>0</v>
      </c>
      <c r="E129" s="228">
        <v>0</v>
      </c>
      <c r="F129" s="228">
        <v>0</v>
      </c>
      <c r="G129" s="228">
        <v>0</v>
      </c>
      <c r="H129" s="228">
        <v>0</v>
      </c>
      <c r="I129" s="228">
        <v>0</v>
      </c>
      <c r="J129" s="228">
        <v>0</v>
      </c>
      <c r="K129" s="228">
        <v>0</v>
      </c>
      <c r="L129" s="229">
        <v>0</v>
      </c>
      <c r="M129" s="228">
        <v>0</v>
      </c>
      <c r="N129" s="228">
        <v>0</v>
      </c>
      <c r="O129" s="228">
        <v>0</v>
      </c>
      <c r="P129" s="228">
        <v>0</v>
      </c>
      <c r="Q129" s="228">
        <v>0</v>
      </c>
      <c r="R129" s="228">
        <v>0</v>
      </c>
      <c r="S129" s="228">
        <v>0</v>
      </c>
      <c r="T129" s="228">
        <v>0</v>
      </c>
      <c r="U129" s="228">
        <v>0</v>
      </c>
      <c r="V129" s="228">
        <v>0</v>
      </c>
      <c r="W129" s="228">
        <v>0</v>
      </c>
      <c r="X129" s="228">
        <v>0</v>
      </c>
      <c r="Y129" s="228">
        <v>0</v>
      </c>
      <c r="Z129" s="228"/>
      <c r="AA129" s="228">
        <v>0</v>
      </c>
      <c r="AB129" s="228">
        <v>0</v>
      </c>
      <c r="AC129" s="228">
        <v>0</v>
      </c>
      <c r="AD129" s="228">
        <v>0</v>
      </c>
      <c r="AE129" s="228">
        <v>0</v>
      </c>
      <c r="AF129" s="228">
        <v>0</v>
      </c>
      <c r="AG129" s="228">
        <v>0</v>
      </c>
      <c r="AH129" s="228">
        <v>0</v>
      </c>
      <c r="AI129" s="228">
        <v>0</v>
      </c>
      <c r="AJ129" s="228">
        <v>0</v>
      </c>
      <c r="AK129" s="228">
        <v>0</v>
      </c>
      <c r="AL129" s="228">
        <v>0</v>
      </c>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row>
    <row r="130" spans="1:131">
      <c r="A130" s="24"/>
      <c r="B130" s="24" t="s">
        <v>652</v>
      </c>
      <c r="C130" s="228">
        <v>0</v>
      </c>
      <c r="D130" s="228">
        <v>0</v>
      </c>
      <c r="E130" s="228">
        <v>0</v>
      </c>
      <c r="F130" s="228">
        <v>0</v>
      </c>
      <c r="G130" s="228">
        <v>0</v>
      </c>
      <c r="H130" s="228">
        <v>0</v>
      </c>
      <c r="I130" s="228">
        <v>0</v>
      </c>
      <c r="J130" s="228">
        <v>0</v>
      </c>
      <c r="K130" s="228">
        <v>0</v>
      </c>
      <c r="L130" s="229">
        <v>0</v>
      </c>
      <c r="M130" s="228">
        <v>0</v>
      </c>
      <c r="N130" s="228">
        <v>0</v>
      </c>
      <c r="O130" s="228">
        <v>0</v>
      </c>
      <c r="P130" s="228">
        <v>0</v>
      </c>
      <c r="Q130" s="228">
        <v>0</v>
      </c>
      <c r="R130" s="228">
        <v>0</v>
      </c>
      <c r="S130" s="228">
        <v>0</v>
      </c>
      <c r="T130" s="228">
        <v>0</v>
      </c>
      <c r="U130" s="228">
        <v>0</v>
      </c>
      <c r="V130" s="228">
        <v>0</v>
      </c>
      <c r="W130" s="228">
        <v>0</v>
      </c>
      <c r="X130" s="228">
        <v>0</v>
      </c>
      <c r="Y130" s="228">
        <v>0</v>
      </c>
      <c r="Z130" s="228"/>
      <c r="AA130" s="228">
        <v>0</v>
      </c>
      <c r="AB130" s="228">
        <v>0</v>
      </c>
      <c r="AC130" s="228">
        <v>0</v>
      </c>
      <c r="AD130" s="228">
        <v>0</v>
      </c>
      <c r="AE130" s="228">
        <v>0</v>
      </c>
      <c r="AF130" s="228">
        <v>0</v>
      </c>
      <c r="AG130" s="228">
        <v>0</v>
      </c>
      <c r="AH130" s="228">
        <v>0</v>
      </c>
      <c r="AI130" s="228">
        <v>0</v>
      </c>
      <c r="AJ130" s="228">
        <v>0</v>
      </c>
      <c r="AK130" s="228">
        <v>0</v>
      </c>
      <c r="AL130" s="228">
        <v>0</v>
      </c>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row>
    <row r="131" spans="1:131">
      <c r="A131" s="24"/>
      <c r="B131" s="24" t="s">
        <v>653</v>
      </c>
      <c r="C131" s="228">
        <v>0</v>
      </c>
      <c r="D131" s="228">
        <v>0</v>
      </c>
      <c r="E131" s="228">
        <v>0</v>
      </c>
      <c r="F131" s="228">
        <v>0</v>
      </c>
      <c r="G131" s="228">
        <v>0</v>
      </c>
      <c r="H131" s="228">
        <v>0</v>
      </c>
      <c r="I131" s="228">
        <v>0</v>
      </c>
      <c r="J131" s="228">
        <v>0</v>
      </c>
      <c r="K131" s="228">
        <v>0</v>
      </c>
      <c r="L131" s="229">
        <v>0</v>
      </c>
      <c r="M131" s="228">
        <v>0</v>
      </c>
      <c r="N131" s="228">
        <v>0</v>
      </c>
      <c r="O131" s="228">
        <v>0</v>
      </c>
      <c r="P131" s="228">
        <v>0</v>
      </c>
      <c r="Q131" s="228">
        <v>0</v>
      </c>
      <c r="R131" s="228">
        <v>0</v>
      </c>
      <c r="S131" s="228">
        <v>0</v>
      </c>
      <c r="T131" s="228">
        <v>0</v>
      </c>
      <c r="U131" s="228">
        <v>0</v>
      </c>
      <c r="V131" s="228">
        <v>0</v>
      </c>
      <c r="W131" s="228">
        <v>0</v>
      </c>
      <c r="X131" s="228">
        <v>0</v>
      </c>
      <c r="Y131" s="228">
        <v>0</v>
      </c>
      <c r="Z131" s="228"/>
      <c r="AA131" s="228">
        <v>0</v>
      </c>
      <c r="AB131" s="228">
        <v>0</v>
      </c>
      <c r="AC131" s="228">
        <v>0</v>
      </c>
      <c r="AD131" s="228">
        <v>0</v>
      </c>
      <c r="AE131" s="228">
        <v>0</v>
      </c>
      <c r="AF131" s="228">
        <v>0</v>
      </c>
      <c r="AG131" s="228">
        <v>0</v>
      </c>
      <c r="AH131" s="228">
        <v>0</v>
      </c>
      <c r="AI131" s="228">
        <v>0</v>
      </c>
      <c r="AJ131" s="228">
        <v>0</v>
      </c>
      <c r="AK131" s="228">
        <v>0</v>
      </c>
      <c r="AL131" s="228">
        <v>0</v>
      </c>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row>
    <row r="132" spans="1:131">
      <c r="A132" s="24"/>
      <c r="B132" s="24" t="s">
        <v>654</v>
      </c>
      <c r="C132" s="228">
        <v>0</v>
      </c>
      <c r="D132" s="228">
        <v>0</v>
      </c>
      <c r="E132" s="228">
        <v>0</v>
      </c>
      <c r="F132" s="228">
        <v>0</v>
      </c>
      <c r="G132" s="228">
        <v>0</v>
      </c>
      <c r="H132" s="228">
        <v>0</v>
      </c>
      <c r="I132" s="228">
        <v>0</v>
      </c>
      <c r="J132" s="228">
        <v>0</v>
      </c>
      <c r="K132" s="228">
        <v>0</v>
      </c>
      <c r="L132" s="229">
        <v>0</v>
      </c>
      <c r="M132" s="228">
        <v>0</v>
      </c>
      <c r="N132" s="228">
        <v>0</v>
      </c>
      <c r="O132" s="228">
        <v>0</v>
      </c>
      <c r="P132" s="228">
        <v>0</v>
      </c>
      <c r="Q132" s="228">
        <v>0</v>
      </c>
      <c r="R132" s="228">
        <v>0</v>
      </c>
      <c r="S132" s="228">
        <v>0</v>
      </c>
      <c r="T132" s="228">
        <v>0</v>
      </c>
      <c r="U132" s="228">
        <v>0</v>
      </c>
      <c r="V132" s="228">
        <v>0</v>
      </c>
      <c r="W132" s="228">
        <v>0</v>
      </c>
      <c r="X132" s="228">
        <v>0</v>
      </c>
      <c r="Y132" s="228">
        <v>0</v>
      </c>
      <c r="Z132" s="228"/>
      <c r="AA132" s="228">
        <v>0</v>
      </c>
      <c r="AB132" s="228">
        <v>0</v>
      </c>
      <c r="AC132" s="228">
        <v>0</v>
      </c>
      <c r="AD132" s="228">
        <v>0</v>
      </c>
      <c r="AE132" s="228">
        <v>0</v>
      </c>
      <c r="AF132" s="228">
        <v>0</v>
      </c>
      <c r="AG132" s="228">
        <v>0</v>
      </c>
      <c r="AH132" s="228">
        <v>0</v>
      </c>
      <c r="AI132" s="228">
        <v>0</v>
      </c>
      <c r="AJ132" s="228">
        <v>0</v>
      </c>
      <c r="AK132" s="228">
        <v>0</v>
      </c>
      <c r="AL132" s="228">
        <v>0</v>
      </c>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row>
    <row r="133" spans="1:131">
      <c r="A133" s="24"/>
      <c r="B133" s="24" t="s">
        <v>655</v>
      </c>
      <c r="C133" s="228">
        <v>0</v>
      </c>
      <c r="D133" s="228">
        <v>0</v>
      </c>
      <c r="E133" s="228">
        <v>0</v>
      </c>
      <c r="F133" s="228">
        <v>0</v>
      </c>
      <c r="G133" s="228">
        <v>0</v>
      </c>
      <c r="H133" s="228">
        <v>0</v>
      </c>
      <c r="I133" s="228">
        <v>0</v>
      </c>
      <c r="J133" s="228">
        <v>0</v>
      </c>
      <c r="K133" s="228">
        <v>0</v>
      </c>
      <c r="L133" s="229">
        <v>0</v>
      </c>
      <c r="M133" s="228">
        <v>0</v>
      </c>
      <c r="N133" s="228">
        <v>0</v>
      </c>
      <c r="O133" s="228">
        <v>0</v>
      </c>
      <c r="P133" s="228">
        <v>0</v>
      </c>
      <c r="Q133" s="228">
        <v>0</v>
      </c>
      <c r="R133" s="228">
        <v>0</v>
      </c>
      <c r="S133" s="228">
        <v>0</v>
      </c>
      <c r="T133" s="228">
        <v>0</v>
      </c>
      <c r="U133" s="228">
        <v>0</v>
      </c>
      <c r="V133" s="228">
        <v>0</v>
      </c>
      <c r="W133" s="228">
        <v>0</v>
      </c>
      <c r="X133" s="228">
        <v>0</v>
      </c>
      <c r="Y133" s="228">
        <v>0</v>
      </c>
      <c r="Z133" s="228"/>
      <c r="AA133" s="228">
        <v>0</v>
      </c>
      <c r="AB133" s="228">
        <v>0</v>
      </c>
      <c r="AC133" s="228">
        <v>0</v>
      </c>
      <c r="AD133" s="228">
        <v>0</v>
      </c>
      <c r="AE133" s="228">
        <v>0</v>
      </c>
      <c r="AF133" s="228">
        <v>0</v>
      </c>
      <c r="AG133" s="228">
        <v>0</v>
      </c>
      <c r="AH133" s="228">
        <v>0</v>
      </c>
      <c r="AI133" s="228">
        <v>0</v>
      </c>
      <c r="AJ133" s="228">
        <v>0</v>
      </c>
      <c r="AK133" s="228">
        <v>0</v>
      </c>
      <c r="AL133" s="228">
        <v>0</v>
      </c>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row>
    <row r="134" spans="1:131">
      <c r="A134" s="24"/>
      <c r="B134" s="24" t="s">
        <v>656</v>
      </c>
      <c r="C134" s="228">
        <v>0</v>
      </c>
      <c r="D134" s="228">
        <v>0</v>
      </c>
      <c r="E134" s="228">
        <v>0</v>
      </c>
      <c r="F134" s="228">
        <v>0</v>
      </c>
      <c r="G134" s="228">
        <v>0</v>
      </c>
      <c r="H134" s="228">
        <v>0</v>
      </c>
      <c r="I134" s="228">
        <v>0</v>
      </c>
      <c r="J134" s="228">
        <v>0</v>
      </c>
      <c r="K134" s="228">
        <v>0</v>
      </c>
      <c r="L134" s="229">
        <v>0</v>
      </c>
      <c r="M134" s="228">
        <v>0</v>
      </c>
      <c r="N134" s="228">
        <v>0</v>
      </c>
      <c r="O134" s="228">
        <v>0</v>
      </c>
      <c r="P134" s="228">
        <v>0</v>
      </c>
      <c r="Q134" s="228">
        <v>0</v>
      </c>
      <c r="R134" s="228">
        <v>0</v>
      </c>
      <c r="S134" s="228">
        <v>0</v>
      </c>
      <c r="T134" s="228">
        <v>0</v>
      </c>
      <c r="U134" s="228">
        <v>0</v>
      </c>
      <c r="V134" s="228">
        <v>0</v>
      </c>
      <c r="W134" s="228">
        <v>0</v>
      </c>
      <c r="X134" s="228">
        <v>0</v>
      </c>
      <c r="Y134" s="228">
        <v>0</v>
      </c>
      <c r="Z134" s="228"/>
      <c r="AA134" s="228">
        <v>0</v>
      </c>
      <c r="AB134" s="228">
        <v>0</v>
      </c>
      <c r="AC134" s="228">
        <v>0</v>
      </c>
      <c r="AD134" s="228">
        <v>0</v>
      </c>
      <c r="AE134" s="228">
        <v>0</v>
      </c>
      <c r="AF134" s="228">
        <v>0</v>
      </c>
      <c r="AG134" s="228">
        <v>0</v>
      </c>
      <c r="AH134" s="228">
        <v>0</v>
      </c>
      <c r="AI134" s="228">
        <v>0</v>
      </c>
      <c r="AJ134" s="228">
        <v>0</v>
      </c>
      <c r="AK134" s="228">
        <v>0</v>
      </c>
      <c r="AL134" s="228">
        <v>0</v>
      </c>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c r="CA134" s="45"/>
      <c r="CB134" s="45"/>
      <c r="CC134" s="45"/>
      <c r="CD134" s="45"/>
      <c r="CE134" s="45"/>
      <c r="CF134" s="45"/>
      <c r="CG134" s="45"/>
      <c r="CH134" s="45"/>
      <c r="CI134" s="45"/>
      <c r="CJ134" s="45"/>
      <c r="CK134" s="45"/>
      <c r="CL134" s="45"/>
      <c r="CM134" s="45"/>
      <c r="CN134" s="45"/>
      <c r="CO134" s="45"/>
      <c r="CP134" s="45"/>
      <c r="CQ134" s="45"/>
      <c r="CR134" s="45"/>
      <c r="CS134" s="45"/>
      <c r="CT134" s="45"/>
      <c r="CU134" s="45"/>
      <c r="CV134" s="45"/>
      <c r="CW134" s="45"/>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row>
    <row r="135" spans="1:131">
      <c r="A135" s="24"/>
      <c r="B135" s="24" t="s">
        <v>657</v>
      </c>
      <c r="C135" s="228">
        <v>0</v>
      </c>
      <c r="D135" s="228">
        <v>0</v>
      </c>
      <c r="E135" s="228">
        <v>0</v>
      </c>
      <c r="F135" s="228">
        <v>0</v>
      </c>
      <c r="G135" s="228">
        <v>0</v>
      </c>
      <c r="H135" s="228">
        <v>0</v>
      </c>
      <c r="I135" s="228">
        <v>0</v>
      </c>
      <c r="J135" s="228">
        <v>0</v>
      </c>
      <c r="K135" s="228">
        <v>0</v>
      </c>
      <c r="L135" s="229">
        <v>0</v>
      </c>
      <c r="M135" s="228">
        <v>0</v>
      </c>
      <c r="N135" s="228">
        <v>0</v>
      </c>
      <c r="O135" s="228">
        <v>0</v>
      </c>
      <c r="P135" s="228">
        <v>0</v>
      </c>
      <c r="Q135" s="228">
        <v>0</v>
      </c>
      <c r="R135" s="228">
        <v>0</v>
      </c>
      <c r="S135" s="228">
        <v>0</v>
      </c>
      <c r="T135" s="228">
        <v>0</v>
      </c>
      <c r="U135" s="228">
        <v>0</v>
      </c>
      <c r="V135" s="228">
        <v>0</v>
      </c>
      <c r="W135" s="228">
        <v>0</v>
      </c>
      <c r="X135" s="228">
        <v>0</v>
      </c>
      <c r="Y135" s="228">
        <v>0</v>
      </c>
      <c r="Z135" s="228"/>
      <c r="AA135" s="228">
        <v>0</v>
      </c>
      <c r="AB135" s="228">
        <v>0</v>
      </c>
      <c r="AC135" s="228">
        <v>0</v>
      </c>
      <c r="AD135" s="228">
        <v>0</v>
      </c>
      <c r="AE135" s="228">
        <v>0</v>
      </c>
      <c r="AF135" s="228">
        <v>0</v>
      </c>
      <c r="AG135" s="228">
        <v>0</v>
      </c>
      <c r="AH135" s="228">
        <v>0</v>
      </c>
      <c r="AI135" s="228">
        <v>0</v>
      </c>
      <c r="AJ135" s="228">
        <v>0</v>
      </c>
      <c r="AK135" s="228">
        <v>0</v>
      </c>
      <c r="AL135" s="228">
        <v>0</v>
      </c>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row>
    <row r="136" spans="1:131">
      <c r="A136" s="24"/>
      <c r="B136" s="24" t="s">
        <v>658</v>
      </c>
      <c r="C136" s="228">
        <v>0</v>
      </c>
      <c r="D136" s="228">
        <v>0</v>
      </c>
      <c r="E136" s="228">
        <v>0</v>
      </c>
      <c r="F136" s="228">
        <v>0</v>
      </c>
      <c r="G136" s="228">
        <v>0</v>
      </c>
      <c r="H136" s="228">
        <v>0</v>
      </c>
      <c r="I136" s="228">
        <v>0</v>
      </c>
      <c r="J136" s="228">
        <v>0</v>
      </c>
      <c r="K136" s="228">
        <v>0</v>
      </c>
      <c r="L136" s="229">
        <v>0</v>
      </c>
      <c r="M136" s="228">
        <v>0</v>
      </c>
      <c r="N136" s="228">
        <v>0</v>
      </c>
      <c r="O136" s="228">
        <v>0</v>
      </c>
      <c r="P136" s="228">
        <v>0</v>
      </c>
      <c r="Q136" s="228">
        <v>0</v>
      </c>
      <c r="R136" s="228">
        <v>0</v>
      </c>
      <c r="S136" s="228">
        <v>0</v>
      </c>
      <c r="T136" s="228">
        <v>0</v>
      </c>
      <c r="U136" s="228">
        <v>0</v>
      </c>
      <c r="V136" s="228">
        <v>0</v>
      </c>
      <c r="W136" s="228">
        <v>0</v>
      </c>
      <c r="X136" s="228">
        <v>0</v>
      </c>
      <c r="Y136" s="228">
        <v>0</v>
      </c>
      <c r="Z136" s="228"/>
      <c r="AA136" s="228">
        <v>0</v>
      </c>
      <c r="AB136" s="228">
        <v>0</v>
      </c>
      <c r="AC136" s="228">
        <v>0</v>
      </c>
      <c r="AD136" s="228">
        <v>0</v>
      </c>
      <c r="AE136" s="228">
        <v>0</v>
      </c>
      <c r="AF136" s="228">
        <v>0</v>
      </c>
      <c r="AG136" s="228">
        <v>0</v>
      </c>
      <c r="AH136" s="228">
        <v>0</v>
      </c>
      <c r="AI136" s="228">
        <v>0</v>
      </c>
      <c r="AJ136" s="228">
        <v>0</v>
      </c>
      <c r="AK136" s="228">
        <v>0</v>
      </c>
      <c r="AL136" s="228">
        <v>0</v>
      </c>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row>
    <row r="137" spans="1:131">
      <c r="A137" s="24"/>
      <c r="B137" s="24" t="s">
        <v>659</v>
      </c>
      <c r="C137" s="228">
        <v>0</v>
      </c>
      <c r="D137" s="228">
        <v>0</v>
      </c>
      <c r="E137" s="228">
        <v>0</v>
      </c>
      <c r="F137" s="228">
        <v>0</v>
      </c>
      <c r="G137" s="228">
        <v>0</v>
      </c>
      <c r="H137" s="228">
        <v>0</v>
      </c>
      <c r="I137" s="228">
        <v>0</v>
      </c>
      <c r="J137" s="228">
        <v>0</v>
      </c>
      <c r="K137" s="228">
        <v>0</v>
      </c>
      <c r="L137" s="229">
        <v>0</v>
      </c>
      <c r="M137" s="228">
        <v>0</v>
      </c>
      <c r="N137" s="228">
        <v>0</v>
      </c>
      <c r="O137" s="228">
        <v>0</v>
      </c>
      <c r="P137" s="228">
        <v>0</v>
      </c>
      <c r="Q137" s="228">
        <v>0</v>
      </c>
      <c r="R137" s="228">
        <v>0</v>
      </c>
      <c r="S137" s="228">
        <v>0</v>
      </c>
      <c r="T137" s="228">
        <v>0</v>
      </c>
      <c r="U137" s="228">
        <v>0</v>
      </c>
      <c r="V137" s="228">
        <v>0</v>
      </c>
      <c r="W137" s="228">
        <v>0</v>
      </c>
      <c r="X137" s="228">
        <v>0</v>
      </c>
      <c r="Y137" s="228">
        <v>0</v>
      </c>
      <c r="Z137" s="228"/>
      <c r="AA137" s="228">
        <v>0</v>
      </c>
      <c r="AB137" s="228">
        <v>0</v>
      </c>
      <c r="AC137" s="228">
        <v>0</v>
      </c>
      <c r="AD137" s="228">
        <v>0</v>
      </c>
      <c r="AE137" s="228">
        <v>0</v>
      </c>
      <c r="AF137" s="228">
        <v>0</v>
      </c>
      <c r="AG137" s="228">
        <v>0</v>
      </c>
      <c r="AH137" s="228">
        <v>0</v>
      </c>
      <c r="AI137" s="228">
        <v>0</v>
      </c>
      <c r="AJ137" s="228">
        <v>0</v>
      </c>
      <c r="AK137" s="228">
        <v>0</v>
      </c>
      <c r="AL137" s="228">
        <v>0</v>
      </c>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c r="CA137" s="45"/>
      <c r="CB137" s="45"/>
      <c r="CC137" s="45"/>
      <c r="CD137" s="45"/>
      <c r="CE137" s="45"/>
      <c r="CF137" s="45"/>
      <c r="CG137" s="45"/>
      <c r="CH137" s="45"/>
      <c r="CI137" s="45"/>
      <c r="CJ137" s="45"/>
      <c r="CK137" s="45"/>
      <c r="CL137" s="45"/>
      <c r="CM137" s="45"/>
      <c r="CN137" s="45"/>
      <c r="CO137" s="45"/>
      <c r="CP137" s="45"/>
      <c r="CQ137" s="45"/>
      <c r="CR137" s="45"/>
      <c r="CS137" s="45"/>
      <c r="CT137" s="45"/>
      <c r="CU137" s="45"/>
      <c r="CV137" s="45"/>
      <c r="CW137" s="45"/>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row>
    <row r="138" spans="1:131">
      <c r="A138" s="24"/>
      <c r="B138" s="24" t="s">
        <v>660</v>
      </c>
      <c r="C138" s="228">
        <v>0</v>
      </c>
      <c r="D138" s="228">
        <v>0</v>
      </c>
      <c r="E138" s="228">
        <v>0</v>
      </c>
      <c r="F138" s="228">
        <v>0</v>
      </c>
      <c r="G138" s="228">
        <v>0</v>
      </c>
      <c r="H138" s="228">
        <v>0</v>
      </c>
      <c r="I138" s="228">
        <v>0</v>
      </c>
      <c r="J138" s="228">
        <v>0</v>
      </c>
      <c r="K138" s="228">
        <v>0</v>
      </c>
      <c r="L138" s="229">
        <v>0</v>
      </c>
      <c r="M138" s="228">
        <v>0</v>
      </c>
      <c r="N138" s="228">
        <v>0</v>
      </c>
      <c r="O138" s="228">
        <v>0</v>
      </c>
      <c r="P138" s="228">
        <v>0</v>
      </c>
      <c r="Q138" s="228">
        <v>0</v>
      </c>
      <c r="R138" s="228">
        <v>0</v>
      </c>
      <c r="S138" s="228">
        <v>0</v>
      </c>
      <c r="T138" s="228">
        <v>0</v>
      </c>
      <c r="U138" s="228">
        <v>0</v>
      </c>
      <c r="V138" s="228">
        <v>0</v>
      </c>
      <c r="W138" s="228">
        <v>0</v>
      </c>
      <c r="X138" s="228">
        <v>0</v>
      </c>
      <c r="Y138" s="228">
        <v>0</v>
      </c>
      <c r="Z138" s="228"/>
      <c r="AA138" s="228">
        <v>0</v>
      </c>
      <c r="AB138" s="228">
        <v>0</v>
      </c>
      <c r="AC138" s="228">
        <v>0</v>
      </c>
      <c r="AD138" s="228">
        <v>0</v>
      </c>
      <c r="AE138" s="228">
        <v>0</v>
      </c>
      <c r="AF138" s="228">
        <v>0</v>
      </c>
      <c r="AG138" s="228">
        <v>0</v>
      </c>
      <c r="AH138" s="228">
        <v>0</v>
      </c>
      <c r="AI138" s="228">
        <v>0</v>
      </c>
      <c r="AJ138" s="228">
        <v>0</v>
      </c>
      <c r="AK138" s="228">
        <v>0</v>
      </c>
      <c r="AL138" s="228">
        <v>0</v>
      </c>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row>
    <row r="139" spans="1:131">
      <c r="A139" s="24"/>
      <c r="B139" s="24" t="s">
        <v>661</v>
      </c>
      <c r="C139" s="228">
        <v>0</v>
      </c>
      <c r="D139" s="228">
        <v>0</v>
      </c>
      <c r="E139" s="228">
        <v>0</v>
      </c>
      <c r="F139" s="228">
        <v>0</v>
      </c>
      <c r="G139" s="228">
        <v>0</v>
      </c>
      <c r="H139" s="228">
        <v>0</v>
      </c>
      <c r="I139" s="228">
        <v>0</v>
      </c>
      <c r="J139" s="228">
        <v>0</v>
      </c>
      <c r="K139" s="228">
        <v>0</v>
      </c>
      <c r="L139" s="229">
        <v>0</v>
      </c>
      <c r="M139" s="228">
        <v>0</v>
      </c>
      <c r="N139" s="228">
        <v>0</v>
      </c>
      <c r="O139" s="228">
        <v>0</v>
      </c>
      <c r="P139" s="228">
        <v>0</v>
      </c>
      <c r="Q139" s="228">
        <v>0</v>
      </c>
      <c r="R139" s="228">
        <v>0</v>
      </c>
      <c r="S139" s="228">
        <v>0</v>
      </c>
      <c r="T139" s="228">
        <v>0</v>
      </c>
      <c r="U139" s="228">
        <v>0</v>
      </c>
      <c r="V139" s="228">
        <v>0</v>
      </c>
      <c r="W139" s="228">
        <v>0</v>
      </c>
      <c r="X139" s="228">
        <v>0</v>
      </c>
      <c r="Y139" s="228">
        <v>0</v>
      </c>
      <c r="Z139" s="228"/>
      <c r="AA139" s="228">
        <v>0</v>
      </c>
      <c r="AB139" s="228">
        <v>0</v>
      </c>
      <c r="AC139" s="228">
        <v>0</v>
      </c>
      <c r="AD139" s="228">
        <v>0</v>
      </c>
      <c r="AE139" s="228">
        <v>0</v>
      </c>
      <c r="AF139" s="228">
        <v>0</v>
      </c>
      <c r="AG139" s="228">
        <v>0</v>
      </c>
      <c r="AH139" s="228">
        <v>0</v>
      </c>
      <c r="AI139" s="228">
        <v>0</v>
      </c>
      <c r="AJ139" s="228">
        <v>0</v>
      </c>
      <c r="AK139" s="228">
        <v>0</v>
      </c>
      <c r="AL139" s="228">
        <v>0</v>
      </c>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c r="CA139" s="45"/>
      <c r="CB139" s="45"/>
      <c r="CC139" s="45"/>
      <c r="CD139" s="45"/>
      <c r="CE139" s="45"/>
      <c r="CF139" s="45"/>
      <c r="CG139" s="45"/>
      <c r="CH139" s="45"/>
      <c r="CI139" s="45"/>
      <c r="CJ139" s="45"/>
      <c r="CK139" s="45"/>
      <c r="CL139" s="45"/>
      <c r="CM139" s="45"/>
      <c r="CN139" s="45"/>
      <c r="CO139" s="45"/>
      <c r="CP139" s="45"/>
      <c r="CQ139" s="45"/>
      <c r="CR139" s="45"/>
      <c r="CS139" s="45"/>
      <c r="CT139" s="45"/>
      <c r="CU139" s="45"/>
      <c r="CV139" s="45"/>
      <c r="CW139" s="45"/>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row>
    <row r="140" spans="1:131">
      <c r="A140" s="24"/>
      <c r="B140" s="24" t="s">
        <v>662</v>
      </c>
      <c r="C140" s="228">
        <v>0</v>
      </c>
      <c r="D140" s="228">
        <v>0</v>
      </c>
      <c r="E140" s="228">
        <v>0</v>
      </c>
      <c r="F140" s="228">
        <v>0</v>
      </c>
      <c r="G140" s="228">
        <v>0</v>
      </c>
      <c r="H140" s="228">
        <v>0</v>
      </c>
      <c r="I140" s="228">
        <v>0</v>
      </c>
      <c r="J140" s="228">
        <v>0</v>
      </c>
      <c r="K140" s="228">
        <v>0</v>
      </c>
      <c r="L140" s="229">
        <v>0</v>
      </c>
      <c r="M140" s="228">
        <v>0</v>
      </c>
      <c r="N140" s="228">
        <v>0</v>
      </c>
      <c r="O140" s="228">
        <v>0</v>
      </c>
      <c r="P140" s="228">
        <v>0</v>
      </c>
      <c r="Q140" s="228">
        <v>0</v>
      </c>
      <c r="R140" s="228">
        <v>0</v>
      </c>
      <c r="S140" s="228">
        <v>0</v>
      </c>
      <c r="T140" s="228">
        <v>0</v>
      </c>
      <c r="U140" s="228">
        <v>0</v>
      </c>
      <c r="V140" s="228">
        <v>0</v>
      </c>
      <c r="W140" s="228">
        <v>0</v>
      </c>
      <c r="X140" s="228">
        <v>0</v>
      </c>
      <c r="Y140" s="228">
        <v>0</v>
      </c>
      <c r="Z140" s="228"/>
      <c r="AA140" s="228">
        <v>0</v>
      </c>
      <c r="AB140" s="228">
        <v>0</v>
      </c>
      <c r="AC140" s="228">
        <v>0</v>
      </c>
      <c r="AD140" s="228">
        <v>0</v>
      </c>
      <c r="AE140" s="228">
        <v>0</v>
      </c>
      <c r="AF140" s="228">
        <v>0</v>
      </c>
      <c r="AG140" s="228">
        <v>0</v>
      </c>
      <c r="AH140" s="228">
        <v>0</v>
      </c>
      <c r="AI140" s="228">
        <v>0</v>
      </c>
      <c r="AJ140" s="228">
        <v>0</v>
      </c>
      <c r="AK140" s="228">
        <v>0</v>
      </c>
      <c r="AL140" s="228">
        <v>0</v>
      </c>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row>
    <row r="141" spans="1:131">
      <c r="A141" s="24"/>
      <c r="B141" s="24" t="s">
        <v>663</v>
      </c>
      <c r="C141" s="228">
        <v>0</v>
      </c>
      <c r="D141" s="228">
        <v>0</v>
      </c>
      <c r="E141" s="228">
        <v>0</v>
      </c>
      <c r="F141" s="228">
        <v>0</v>
      </c>
      <c r="G141" s="228">
        <v>0</v>
      </c>
      <c r="H141" s="228">
        <v>0</v>
      </c>
      <c r="I141" s="228">
        <v>0</v>
      </c>
      <c r="J141" s="228">
        <v>0</v>
      </c>
      <c r="K141" s="228">
        <v>0</v>
      </c>
      <c r="L141" s="229">
        <v>0</v>
      </c>
      <c r="M141" s="228">
        <v>0</v>
      </c>
      <c r="N141" s="228">
        <v>0</v>
      </c>
      <c r="O141" s="228">
        <v>0</v>
      </c>
      <c r="P141" s="228">
        <v>0</v>
      </c>
      <c r="Q141" s="228">
        <v>0</v>
      </c>
      <c r="R141" s="228">
        <v>0</v>
      </c>
      <c r="S141" s="228">
        <v>0</v>
      </c>
      <c r="T141" s="228">
        <v>0</v>
      </c>
      <c r="U141" s="228">
        <v>0</v>
      </c>
      <c r="V141" s="228">
        <v>0</v>
      </c>
      <c r="W141" s="228">
        <v>0</v>
      </c>
      <c r="X141" s="228">
        <v>0</v>
      </c>
      <c r="Y141" s="228">
        <v>0</v>
      </c>
      <c r="Z141" s="228"/>
      <c r="AA141" s="228">
        <v>0</v>
      </c>
      <c r="AB141" s="228">
        <v>0</v>
      </c>
      <c r="AC141" s="228">
        <v>0</v>
      </c>
      <c r="AD141" s="228">
        <v>0</v>
      </c>
      <c r="AE141" s="228">
        <v>0</v>
      </c>
      <c r="AF141" s="228">
        <v>0</v>
      </c>
      <c r="AG141" s="228">
        <v>0</v>
      </c>
      <c r="AH141" s="228">
        <v>0</v>
      </c>
      <c r="AI141" s="228">
        <v>0</v>
      </c>
      <c r="AJ141" s="228">
        <v>0</v>
      </c>
      <c r="AK141" s="228">
        <v>0</v>
      </c>
      <c r="AL141" s="228">
        <v>0</v>
      </c>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row>
    <row r="142" spans="1:131">
      <c r="A142" s="24"/>
      <c r="B142" s="24" t="s">
        <v>664</v>
      </c>
      <c r="C142" s="228">
        <v>0</v>
      </c>
      <c r="D142" s="228">
        <v>0</v>
      </c>
      <c r="E142" s="228">
        <v>0</v>
      </c>
      <c r="F142" s="228">
        <v>0</v>
      </c>
      <c r="G142" s="228">
        <v>0</v>
      </c>
      <c r="H142" s="228">
        <v>0</v>
      </c>
      <c r="I142" s="228">
        <v>0</v>
      </c>
      <c r="J142" s="228">
        <v>0</v>
      </c>
      <c r="K142" s="228">
        <v>0</v>
      </c>
      <c r="L142" s="229">
        <v>0</v>
      </c>
      <c r="M142" s="228">
        <v>0</v>
      </c>
      <c r="N142" s="228">
        <v>0</v>
      </c>
      <c r="O142" s="228">
        <v>0</v>
      </c>
      <c r="P142" s="228">
        <v>0</v>
      </c>
      <c r="Q142" s="228">
        <v>0</v>
      </c>
      <c r="R142" s="228">
        <v>0</v>
      </c>
      <c r="S142" s="228">
        <v>0</v>
      </c>
      <c r="T142" s="228">
        <v>0</v>
      </c>
      <c r="U142" s="228">
        <v>0</v>
      </c>
      <c r="V142" s="228">
        <v>0</v>
      </c>
      <c r="W142" s="228">
        <v>0</v>
      </c>
      <c r="X142" s="228">
        <v>0</v>
      </c>
      <c r="Y142" s="228">
        <v>0</v>
      </c>
      <c r="Z142" s="228"/>
      <c r="AA142" s="228">
        <v>0</v>
      </c>
      <c r="AB142" s="228">
        <v>0</v>
      </c>
      <c r="AC142" s="228">
        <v>0</v>
      </c>
      <c r="AD142" s="228">
        <v>0</v>
      </c>
      <c r="AE142" s="228">
        <v>0</v>
      </c>
      <c r="AF142" s="228">
        <v>0</v>
      </c>
      <c r="AG142" s="228">
        <v>0</v>
      </c>
      <c r="AH142" s="228">
        <v>0</v>
      </c>
      <c r="AI142" s="228">
        <v>0</v>
      </c>
      <c r="AJ142" s="228">
        <v>0</v>
      </c>
      <c r="AK142" s="228">
        <v>0</v>
      </c>
      <c r="AL142" s="228">
        <v>0</v>
      </c>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row>
    <row r="143" spans="1:131">
      <c r="A143" s="24"/>
      <c r="B143" s="24"/>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row>
    <row r="144" spans="1:131">
      <c r="A144" s="24"/>
      <c r="B144" s="24"/>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row>
    <row r="145" spans="1:131" ht="13.5" thickBot="1">
      <c r="A145" s="187" t="s">
        <v>385</v>
      </c>
      <c r="B145" s="188"/>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row>
    <row r="146" spans="1:131" ht="13.5" thickBot="1">
      <c r="A146" s="189"/>
      <c r="B146" s="190"/>
      <c r="C146" s="191"/>
      <c r="D146" s="191"/>
      <c r="E146" s="191"/>
      <c r="F146" s="191"/>
      <c r="G146" s="191"/>
      <c r="H146" s="191"/>
      <c r="I146" s="191"/>
      <c r="J146" s="191"/>
      <c r="K146" s="191"/>
      <c r="L146" s="191"/>
      <c r="M146" s="191"/>
      <c r="N146" s="191"/>
      <c r="O146" s="192" t="s">
        <v>386</v>
      </c>
      <c r="P146" s="193"/>
      <c r="Q146" s="193"/>
      <c r="R146" s="193"/>
      <c r="S146" s="193"/>
      <c r="T146" s="193"/>
      <c r="U146" s="193"/>
      <c r="V146" s="193"/>
      <c r="W146" s="193"/>
      <c r="X146" s="193"/>
      <c r="Y146" s="193"/>
      <c r="Z146" s="194"/>
      <c r="AA146" s="191"/>
      <c r="AB146" s="192" t="s">
        <v>387</v>
      </c>
      <c r="AC146" s="193"/>
      <c r="AD146" s="193"/>
      <c r="AE146" s="193"/>
      <c r="AF146" s="193"/>
      <c r="AG146" s="193"/>
      <c r="AH146" s="193"/>
      <c r="AI146" s="193"/>
      <c r="AJ146" s="193"/>
      <c r="AK146" s="193"/>
      <c r="AL146" s="193"/>
      <c r="AM146" s="194"/>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row>
    <row r="147" spans="1:131" ht="102">
      <c r="A147" s="195" t="s">
        <v>388</v>
      </c>
      <c r="B147" s="196" t="s">
        <v>389</v>
      </c>
      <c r="C147" s="197" t="s">
        <v>390</v>
      </c>
      <c r="D147" s="197" t="s">
        <v>391</v>
      </c>
      <c r="E147" s="197" t="s">
        <v>392</v>
      </c>
      <c r="F147" s="197" t="s">
        <v>393</v>
      </c>
      <c r="G147" s="197" t="s">
        <v>394</v>
      </c>
      <c r="H147" s="197" t="s">
        <v>395</v>
      </c>
      <c r="I147" s="197" t="s">
        <v>396</v>
      </c>
      <c r="J147" s="197" t="s">
        <v>397</v>
      </c>
      <c r="K147" s="197" t="s">
        <v>398</v>
      </c>
      <c r="L147" s="197" t="s">
        <v>399</v>
      </c>
      <c r="M147" s="197" t="s">
        <v>400</v>
      </c>
      <c r="N147" s="197" t="s">
        <v>401</v>
      </c>
      <c r="O147" s="197" t="s">
        <v>402</v>
      </c>
      <c r="P147" s="197" t="s">
        <v>403</v>
      </c>
      <c r="Q147" s="197" t="s">
        <v>404</v>
      </c>
      <c r="R147" s="197" t="s">
        <v>405</v>
      </c>
      <c r="S147" s="197" t="s">
        <v>406</v>
      </c>
      <c r="T147" s="197" t="s">
        <v>407</v>
      </c>
      <c r="U147" s="197" t="s">
        <v>408</v>
      </c>
      <c r="V147" s="197" t="s">
        <v>409</v>
      </c>
      <c r="W147" s="197" t="s">
        <v>410</v>
      </c>
      <c r="X147" s="197" t="s">
        <v>411</v>
      </c>
      <c r="Y147" s="197" t="s">
        <v>412</v>
      </c>
      <c r="Z147" s="197" t="s">
        <v>413</v>
      </c>
      <c r="AA147" s="197"/>
      <c r="AB147" s="197" t="s">
        <v>402</v>
      </c>
      <c r="AC147" s="197" t="s">
        <v>403</v>
      </c>
      <c r="AD147" s="197" t="s">
        <v>404</v>
      </c>
      <c r="AE147" s="197" t="s">
        <v>405</v>
      </c>
      <c r="AF147" s="197" t="s">
        <v>406</v>
      </c>
      <c r="AG147" s="197" t="s">
        <v>407</v>
      </c>
      <c r="AH147" s="197" t="s">
        <v>408</v>
      </c>
      <c r="AI147" s="197" t="s">
        <v>409</v>
      </c>
      <c r="AJ147" s="197" t="s">
        <v>410</v>
      </c>
      <c r="AK147" s="197" t="s">
        <v>411</v>
      </c>
      <c r="AL147" s="197" t="s">
        <v>412</v>
      </c>
      <c r="AM147" s="197" t="s">
        <v>413</v>
      </c>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row>
    <row r="148" spans="1:131">
      <c r="A148" s="24" t="s">
        <v>414</v>
      </c>
      <c r="B148" s="24"/>
      <c r="C148" s="198">
        <v>841.23057955103127</v>
      </c>
      <c r="D148" s="198">
        <v>2.0115772129567233</v>
      </c>
      <c r="E148" s="198">
        <v>0.40231544259134466</v>
      </c>
      <c r="F148" s="198">
        <v>2.413892655548068</v>
      </c>
      <c r="G148" s="198">
        <v>2.9118370633748616</v>
      </c>
      <c r="H148" s="198">
        <v>606.70407853410973</v>
      </c>
      <c r="I148" s="198">
        <v>25.136627432025396</v>
      </c>
      <c r="J148" s="198">
        <v>-17.719494446739034</v>
      </c>
      <c r="K148" s="198">
        <v>-17.521768965801172</v>
      </c>
      <c r="L148" s="199">
        <v>208.35783916800992</v>
      </c>
      <c r="M148" s="198">
        <v>7.991727493705282</v>
      </c>
      <c r="N148" s="198">
        <v>0.1966317209355842</v>
      </c>
      <c r="O148" s="198">
        <v>34.957254535353464</v>
      </c>
      <c r="P148" s="198">
        <v>25.704867055863577</v>
      </c>
      <c r="Q148" s="198">
        <v>23.796958941043552</v>
      </c>
      <c r="R148" s="198">
        <v>13.608440301877943</v>
      </c>
      <c r="S148" s="198">
        <v>10.930836734771145</v>
      </c>
      <c r="T148" s="198">
        <v>8.4834454952136387</v>
      </c>
      <c r="U148" s="198">
        <v>8.8852922762987756</v>
      </c>
      <c r="V148" s="198">
        <v>12.902473192417036</v>
      </c>
      <c r="W148" s="198">
        <v>16.27219894121399</v>
      </c>
      <c r="X148" s="198">
        <v>26.520965611818589</v>
      </c>
      <c r="Y148" s="198">
        <v>30.919587484908899</v>
      </c>
      <c r="Z148" s="198">
        <v>36.679926114933892</v>
      </c>
      <c r="AA148" s="198"/>
      <c r="AB148" s="198">
        <v>57.397802925275748</v>
      </c>
      <c r="AC148" s="198">
        <v>49.653412120724148</v>
      </c>
      <c r="AD148" s="198">
        <v>49.896672219427458</v>
      </c>
      <c r="AE148" s="198">
        <v>47.27840988309088</v>
      </c>
      <c r="AF148" s="198">
        <v>43.538911289139342</v>
      </c>
      <c r="AG148" s="198">
        <v>39.546984749321552</v>
      </c>
      <c r="AH148" s="198">
        <v>43.234964332077062</v>
      </c>
      <c r="AI148" s="198">
        <v>46.726230758976754</v>
      </c>
      <c r="AJ148" s="198">
        <v>50.162783322259806</v>
      </c>
      <c r="AK148" s="198">
        <v>51.923254489999579</v>
      </c>
      <c r="AL148" s="198">
        <v>54.741256731866265</v>
      </c>
      <c r="AM148" s="45">
        <v>57.467650043157988</v>
      </c>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row>
    <row r="149" spans="1:131">
      <c r="A149" s="24" t="s">
        <v>415</v>
      </c>
      <c r="B149" s="24"/>
      <c r="C149" s="198">
        <v>733.02980952261714</v>
      </c>
      <c r="D149" s="198">
        <v>6.6707622506870052</v>
      </c>
      <c r="E149" s="198">
        <v>1.3341524501374011</v>
      </c>
      <c r="F149" s="198">
        <v>8.0049147008244059</v>
      </c>
      <c r="G149" s="198">
        <v>9.4780536996956233</v>
      </c>
      <c r="H149" s="198">
        <v>528.66857902598895</v>
      </c>
      <c r="I149" s="198">
        <v>95.661938802856014</v>
      </c>
      <c r="J149" s="198">
        <v>-17.559653435812884</v>
      </c>
      <c r="K149" s="198">
        <v>-16.825055120942302</v>
      </c>
      <c r="L149" s="199">
        <v>55.778179336857576</v>
      </c>
      <c r="M149" s="198">
        <v>6.9638154209681566</v>
      </c>
      <c r="N149" s="198">
        <v>0.17134055328854339</v>
      </c>
      <c r="O149" s="198">
        <v>30.460982109280696</v>
      </c>
      <c r="P149" s="198">
        <v>22.398655326842935</v>
      </c>
      <c r="Q149" s="198">
        <v>20.736146193212065</v>
      </c>
      <c r="R149" s="198">
        <v>11.858095324719899</v>
      </c>
      <c r="S149" s="198">
        <v>9.5248905168051508</v>
      </c>
      <c r="T149" s="198">
        <v>7.3922876635926205</v>
      </c>
      <c r="U149" s="198">
        <v>7.7424481030209229</v>
      </c>
      <c r="V149" s="198">
        <v>11.242931125561149</v>
      </c>
      <c r="W149" s="198">
        <v>14.179235967335206</v>
      </c>
      <c r="X149" s="198">
        <v>23.109785644219961</v>
      </c>
      <c r="Y149" s="198">
        <v>26.94264792023737</v>
      </c>
      <c r="Z149" s="198">
        <v>31.962080203603197</v>
      </c>
      <c r="AA149" s="198"/>
      <c r="AB149" s="198">
        <v>50.015182006087862</v>
      </c>
      <c r="AC149" s="198">
        <v>43.266890331575816</v>
      </c>
      <c r="AD149" s="198">
        <v>43.478861826848977</v>
      </c>
      <c r="AE149" s="198">
        <v>41.197365661184904</v>
      </c>
      <c r="AF149" s="198">
        <v>37.938848901728342</v>
      </c>
      <c r="AG149" s="198">
        <v>34.460371986787088</v>
      </c>
      <c r="AH149" s="198">
        <v>37.67399621394415</v>
      </c>
      <c r="AI149" s="198">
        <v>40.71620892721576</v>
      </c>
      <c r="AJ149" s="198">
        <v>43.710745184114899</v>
      </c>
      <c r="AK149" s="198">
        <v>45.244781007500059</v>
      </c>
      <c r="AL149" s="198">
        <v>47.700326130089771</v>
      </c>
      <c r="AM149" s="45">
        <v>50.076045247108233</v>
      </c>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row>
    <row r="150" spans="1:131">
      <c r="A150" s="24" t="s">
        <v>416</v>
      </c>
      <c r="B150" s="24"/>
      <c r="C150" s="198">
        <v>734.71773160610712</v>
      </c>
      <c r="D150" s="198">
        <v>7.3019593555087283</v>
      </c>
      <c r="E150" s="198">
        <v>1.4603918711017458</v>
      </c>
      <c r="F150" s="198">
        <v>8.7623512266104733</v>
      </c>
      <c r="G150" s="198">
        <v>10.374880753302065</v>
      </c>
      <c r="H150" s="198">
        <v>529.88592565745375</v>
      </c>
      <c r="I150" s="198">
        <v>104.47304242584816</v>
      </c>
      <c r="J150" s="198">
        <v>-17.539683645065445</v>
      </c>
      <c r="K150" s="198">
        <v>-16.737423917990586</v>
      </c>
      <c r="L150" s="199">
        <v>51.073929258300566</v>
      </c>
      <c r="M150" s="198">
        <v>6.9798507549773587</v>
      </c>
      <c r="N150" s="198">
        <v>0.17173509318301433</v>
      </c>
      <c r="O150" s="198">
        <v>30.531123546530743</v>
      </c>
      <c r="P150" s="198">
        <v>22.4502319264239</v>
      </c>
      <c r="Q150" s="198">
        <v>20.783894591205311</v>
      </c>
      <c r="R150" s="198">
        <v>11.88540054574462</v>
      </c>
      <c r="S150" s="198">
        <v>9.5468231487899384</v>
      </c>
      <c r="T150" s="198">
        <v>7.4093096256367206</v>
      </c>
      <c r="U150" s="198">
        <v>7.7602763672519153</v>
      </c>
      <c r="V150" s="198">
        <v>11.268819829517609</v>
      </c>
      <c r="W150" s="198">
        <v>14.211885997668714</v>
      </c>
      <c r="X150" s="198">
        <v>23.162999738690417</v>
      </c>
      <c r="Y150" s="198">
        <v>27.004687812505704</v>
      </c>
      <c r="Z150" s="198">
        <v>32.035678166890762</v>
      </c>
      <c r="AA150" s="198"/>
      <c r="AB150" s="198">
        <v>50.130350214967144</v>
      </c>
      <c r="AC150" s="198">
        <v>43.36651948543269</v>
      </c>
      <c r="AD150" s="198">
        <v>43.578979080048185</v>
      </c>
      <c r="AE150" s="198">
        <v>41.292229393024691</v>
      </c>
      <c r="AF150" s="198">
        <v>38.026209361086899</v>
      </c>
      <c r="AG150" s="198">
        <v>34.539722679113851</v>
      </c>
      <c r="AH150" s="198">
        <v>37.760746806289426</v>
      </c>
      <c r="AI150" s="198">
        <v>40.809964716286594</v>
      </c>
      <c r="AJ150" s="198">
        <v>43.811396387004066</v>
      </c>
      <c r="AK150" s="198">
        <v>45.348964580982511</v>
      </c>
      <c r="AL150" s="198">
        <v>47.810164001372364</v>
      </c>
      <c r="AM150" s="45">
        <v>50.19135360364217</v>
      </c>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row>
    <row r="151" spans="1:131">
      <c r="A151" s="24" t="s">
        <v>419</v>
      </c>
      <c r="B151" s="24"/>
      <c r="C151" s="198">
        <v>1818.1320336264869</v>
      </c>
      <c r="D151" s="198">
        <v>51.863052062075326</v>
      </c>
      <c r="E151" s="198">
        <v>10.372610412415066</v>
      </c>
      <c r="F151" s="198">
        <v>62.23566247449039</v>
      </c>
      <c r="G151" s="198">
        <v>73.688849040277987</v>
      </c>
      <c r="H151" s="198">
        <v>1311.255376264872</v>
      </c>
      <c r="I151" s="198">
        <v>299.85963241024842</v>
      </c>
      <c r="J151" s="198">
        <v>-17.096852703131638</v>
      </c>
      <c r="K151" s="198">
        <v>-14.794198341084517</v>
      </c>
      <c r="L151" s="199">
        <v>17.794488492392464</v>
      </c>
      <c r="M151" s="198">
        <v>17.27233426068965</v>
      </c>
      <c r="N151" s="198">
        <v>0.42497555289881439</v>
      </c>
      <c r="O151" s="198">
        <v>75.552299004966684</v>
      </c>
      <c r="P151" s="198">
        <v>55.555329716281044</v>
      </c>
      <c r="Q151" s="198">
        <v>51.431812401181134</v>
      </c>
      <c r="R151" s="198">
        <v>29.411604668178942</v>
      </c>
      <c r="S151" s="198">
        <v>23.624562521770496</v>
      </c>
      <c r="T151" s="198">
        <v>18.335072910216969</v>
      </c>
      <c r="U151" s="198">
        <v>19.203574986889581</v>
      </c>
      <c r="V151" s="198">
        <v>27.885814418040145</v>
      </c>
      <c r="W151" s="198">
        <v>35.168724095067745</v>
      </c>
      <c r="X151" s="198">
        <v>57.319144493401986</v>
      </c>
      <c r="Y151" s="198">
        <v>66.825783369444537</v>
      </c>
      <c r="Z151" s="198">
        <v>79.275468916270555</v>
      </c>
      <c r="AA151" s="198"/>
      <c r="AB151" s="198">
        <v>124.05253291424525</v>
      </c>
      <c r="AC151" s="198">
        <v>107.3147616717966</v>
      </c>
      <c r="AD151" s="198">
        <v>107.84051405016552</v>
      </c>
      <c r="AE151" s="198">
        <v>102.18172472195081</v>
      </c>
      <c r="AF151" s="198">
        <v>94.099633617995565</v>
      </c>
      <c r="AG151" s="198">
        <v>85.471975881397356</v>
      </c>
      <c r="AH151" s="198">
        <v>93.44272014790613</v>
      </c>
      <c r="AI151" s="198">
        <v>100.98831285812209</v>
      </c>
      <c r="AJ151" s="198">
        <v>108.41565377086063</v>
      </c>
      <c r="AK151" s="198">
        <v>112.22051905054623</v>
      </c>
      <c r="AL151" s="198">
        <v>118.31100157853935</v>
      </c>
      <c r="AM151" s="45">
        <v>124.20349186125115</v>
      </c>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row>
    <row r="152" spans="1:131">
      <c r="A152" s="24" t="s">
        <v>417</v>
      </c>
      <c r="B152" s="24"/>
      <c r="C152" s="198">
        <v>315.58847519429145</v>
      </c>
      <c r="D152" s="198">
        <v>4.7789999869194872</v>
      </c>
      <c r="E152" s="198">
        <v>0.95579999738389754</v>
      </c>
      <c r="F152" s="198">
        <v>5.7347999843033843</v>
      </c>
      <c r="G152" s="198">
        <v>13.665787165461603</v>
      </c>
      <c r="H152" s="198">
        <v>227.60562881692306</v>
      </c>
      <c r="I152" s="198">
        <v>159.18467184699767</v>
      </c>
      <c r="J152" s="198">
        <v>-17.415683311197924</v>
      </c>
      <c r="K152" s="198">
        <v>-14.590187212489989</v>
      </c>
      <c r="L152" s="199">
        <v>16.655142222042283</v>
      </c>
      <c r="M152" s="198">
        <v>2.9981043904191012</v>
      </c>
      <c r="N152" s="198">
        <v>7.3766582543883921E-2</v>
      </c>
      <c r="O152" s="198">
        <v>13.114248250080038</v>
      </c>
      <c r="P152" s="198">
        <v>9.6432060322408404</v>
      </c>
      <c r="Q152" s="198">
        <v>8.9274524357795482</v>
      </c>
      <c r="R152" s="198">
        <v>5.1052196972372155</v>
      </c>
      <c r="S152" s="198">
        <v>4.1007140985831319</v>
      </c>
      <c r="T152" s="198">
        <v>3.1825728799079429</v>
      </c>
      <c r="U152" s="198">
        <v>3.333326093101971</v>
      </c>
      <c r="V152" s="198">
        <v>4.8403754452237004</v>
      </c>
      <c r="W152" s="198">
        <v>6.1045313576886739</v>
      </c>
      <c r="X152" s="198">
        <v>9.9493662041874682</v>
      </c>
      <c r="Y152" s="198">
        <v>11.59951350461691</v>
      </c>
      <c r="Z152" s="198">
        <v>13.760510179063267</v>
      </c>
      <c r="AA152" s="198"/>
      <c r="AB152" s="198">
        <v>21.532841940146529</v>
      </c>
      <c r="AC152" s="198">
        <v>18.627526150721078</v>
      </c>
      <c r="AD152" s="198">
        <v>18.718785414817688</v>
      </c>
      <c r="AE152" s="198">
        <v>17.73654173696173</v>
      </c>
      <c r="AF152" s="198">
        <v>16.333665179756437</v>
      </c>
      <c r="AG152" s="198">
        <v>14.836090031619189</v>
      </c>
      <c r="AH152" s="198">
        <v>16.219639181354879</v>
      </c>
      <c r="AI152" s="198">
        <v>17.529391198156659</v>
      </c>
      <c r="AJ152" s="198">
        <v>18.818617255476585</v>
      </c>
      <c r="AK152" s="198">
        <v>19.479059736950603</v>
      </c>
      <c r="AL152" s="198">
        <v>20.536236035842926</v>
      </c>
      <c r="AM152" s="45">
        <v>21.559045154776381</v>
      </c>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row>
    <row r="153" spans="1:131">
      <c r="A153" s="24" t="s">
        <v>418</v>
      </c>
      <c r="B153" s="24"/>
      <c r="C153" s="198">
        <v>315.58847519429145</v>
      </c>
      <c r="D153" s="198">
        <v>4.7789999869194872</v>
      </c>
      <c r="E153" s="198">
        <v>0.95579999738389754</v>
      </c>
      <c r="F153" s="198">
        <v>5.7347999843033843</v>
      </c>
      <c r="G153" s="198">
        <v>13.665787165461603</v>
      </c>
      <c r="H153" s="198">
        <v>227.60562881692306</v>
      </c>
      <c r="I153" s="198">
        <v>159.18467184699767</v>
      </c>
      <c r="J153" s="198">
        <v>-17.415683311197924</v>
      </c>
      <c r="K153" s="198">
        <v>-14.590187212489989</v>
      </c>
      <c r="L153" s="199">
        <v>16.655142222042283</v>
      </c>
      <c r="M153" s="198">
        <v>2.9981043904191012</v>
      </c>
      <c r="N153" s="198">
        <v>7.3766582543883921E-2</v>
      </c>
      <c r="O153" s="198">
        <v>13.114248250080038</v>
      </c>
      <c r="P153" s="198">
        <v>9.6432060322408404</v>
      </c>
      <c r="Q153" s="198">
        <v>8.9274524357795482</v>
      </c>
      <c r="R153" s="198">
        <v>5.1052196972372155</v>
      </c>
      <c r="S153" s="198">
        <v>4.1007140985831319</v>
      </c>
      <c r="T153" s="198">
        <v>3.1825728799079429</v>
      </c>
      <c r="U153" s="198">
        <v>3.333326093101971</v>
      </c>
      <c r="V153" s="198">
        <v>4.8403754452237004</v>
      </c>
      <c r="W153" s="198">
        <v>6.1045313576886739</v>
      </c>
      <c r="X153" s="198">
        <v>9.9493662041874682</v>
      </c>
      <c r="Y153" s="198">
        <v>11.59951350461691</v>
      </c>
      <c r="Z153" s="198">
        <v>13.760510179063267</v>
      </c>
      <c r="AA153" s="198"/>
      <c r="AB153" s="198">
        <v>21.532841940146529</v>
      </c>
      <c r="AC153" s="198">
        <v>18.627526150721078</v>
      </c>
      <c r="AD153" s="198">
        <v>18.718785414817688</v>
      </c>
      <c r="AE153" s="198">
        <v>17.73654173696173</v>
      </c>
      <c r="AF153" s="198">
        <v>16.333665179756437</v>
      </c>
      <c r="AG153" s="198">
        <v>14.836090031619189</v>
      </c>
      <c r="AH153" s="198">
        <v>16.219639181354879</v>
      </c>
      <c r="AI153" s="198">
        <v>17.529391198156659</v>
      </c>
      <c r="AJ153" s="198">
        <v>18.818617255476585</v>
      </c>
      <c r="AK153" s="198">
        <v>19.479059736950603</v>
      </c>
      <c r="AL153" s="198">
        <v>20.536236035842926</v>
      </c>
      <c r="AM153" s="45">
        <v>21.559045154776381</v>
      </c>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row>
    <row r="154" spans="1:131">
      <c r="A154" s="24" t="s">
        <v>424</v>
      </c>
      <c r="B154" s="24"/>
      <c r="C154" s="198">
        <v>1468.6907917047924</v>
      </c>
      <c r="D154" s="198">
        <v>134.02315442591345</v>
      </c>
      <c r="E154" s="198">
        <v>26.804630885182689</v>
      </c>
      <c r="F154" s="198">
        <v>160.82778531109614</v>
      </c>
      <c r="G154" s="198">
        <v>194.00378265081457</v>
      </c>
      <c r="H154" s="198">
        <v>1059.2347866245555</v>
      </c>
      <c r="I154" s="198">
        <v>959.25664359199027</v>
      </c>
      <c r="J154" s="198">
        <v>-15.602372454547242</v>
      </c>
      <c r="K154" s="198">
        <v>-8.0568303284218423</v>
      </c>
      <c r="L154" s="199">
        <v>5.4598666693579956</v>
      </c>
      <c r="M154" s="198">
        <v>13.952627097891837</v>
      </c>
      <c r="N154" s="198">
        <v>0.34329612464787984</v>
      </c>
      <c r="O154" s="198">
        <v>61.031302341333543</v>
      </c>
      <c r="P154" s="198">
        <v>44.87770947067974</v>
      </c>
      <c r="Q154" s="198">
        <v>41.546723712707731</v>
      </c>
      <c r="R154" s="198">
        <v>23.75875467044893</v>
      </c>
      <c r="S154" s="198">
        <v>19.083970136410123</v>
      </c>
      <c r="T154" s="198">
        <v>14.811109562136343</v>
      </c>
      <c r="U154" s="198">
        <v>15.512687323813692</v>
      </c>
      <c r="V154" s="198">
        <v>22.526218171995609</v>
      </c>
      <c r="W154" s="198">
        <v>28.409367570190302</v>
      </c>
      <c r="X154" s="198">
        <v>46.302522670996822</v>
      </c>
      <c r="Y154" s="198">
        <v>53.982005084304802</v>
      </c>
      <c r="Z154" s="198">
        <v>64.038886644095854</v>
      </c>
      <c r="AA154" s="198"/>
      <c r="AB154" s="198">
        <v>100.20989092601698</v>
      </c>
      <c r="AC154" s="198">
        <v>86.689084932399126</v>
      </c>
      <c r="AD154" s="198">
        <v>87.113788783684981</v>
      </c>
      <c r="AE154" s="198">
        <v>82.54260713964949</v>
      </c>
      <c r="AF154" s="198">
        <v>76.013877343045039</v>
      </c>
      <c r="AG154" s="198">
        <v>69.044437699848274</v>
      </c>
      <c r="AH154" s="198">
        <v>75.483221292426549</v>
      </c>
      <c r="AI154" s="198">
        <v>81.578566584453725</v>
      </c>
      <c r="AJ154" s="198">
        <v>87.578387831557052</v>
      </c>
      <c r="AK154" s="198">
        <v>90.651965820722793</v>
      </c>
      <c r="AL154" s="198">
        <v>95.571870118355363</v>
      </c>
      <c r="AM154" s="45">
        <v>100.3318358735194</v>
      </c>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row>
    <row r="155" spans="1:131">
      <c r="A155" s="24" t="s">
        <v>421</v>
      </c>
      <c r="B155" s="24"/>
      <c r="C155" s="198">
        <v>77.194303284934591</v>
      </c>
      <c r="D155" s="198">
        <v>4.0008899869194874</v>
      </c>
      <c r="E155" s="198">
        <v>0.8001779973838975</v>
      </c>
      <c r="F155" s="198">
        <v>4.8010679843033852</v>
      </c>
      <c r="G155" s="198">
        <v>11.440743080836778</v>
      </c>
      <c r="H155" s="198">
        <v>55.673319278959603</v>
      </c>
      <c r="I155" s="198">
        <v>544.82460172298306</v>
      </c>
      <c r="J155" s="198">
        <v>-16.541655603319395</v>
      </c>
      <c r="K155" s="198">
        <v>-6.8711278522052313</v>
      </c>
      <c r="L155" s="199">
        <v>4.8662328037251621</v>
      </c>
      <c r="M155" s="198">
        <v>0.73334927535431171</v>
      </c>
      <c r="N155" s="198">
        <v>1.8043624507137073E-2</v>
      </c>
      <c r="O155" s="198">
        <v>3.2078017302354049</v>
      </c>
      <c r="P155" s="198">
        <v>2.3587698208358887</v>
      </c>
      <c r="Q155" s="198">
        <v>2.1836934015575871</v>
      </c>
      <c r="R155" s="198">
        <v>1.2487587748637792</v>
      </c>
      <c r="S155" s="198">
        <v>1.0030523694376006</v>
      </c>
      <c r="T155" s="198">
        <v>0.77847106415014411</v>
      </c>
      <c r="U155" s="198">
        <v>0.81534595083069783</v>
      </c>
      <c r="V155" s="198">
        <v>1.1839767276086746</v>
      </c>
      <c r="W155" s="198">
        <v>1.4931947205857186</v>
      </c>
      <c r="X155" s="198">
        <v>2.433657920448733</v>
      </c>
      <c r="Y155" s="198">
        <v>2.8372910730717615</v>
      </c>
      <c r="Z155" s="198">
        <v>3.3658801876845397</v>
      </c>
      <c r="AA155" s="198"/>
      <c r="AB155" s="198">
        <v>5.2670260860790057</v>
      </c>
      <c r="AC155" s="198">
        <v>4.5563733030540767</v>
      </c>
      <c r="AD155" s="198">
        <v>4.5786957129769874</v>
      </c>
      <c r="AE155" s="198">
        <v>4.3384346694726528</v>
      </c>
      <c r="AF155" s="198">
        <v>3.9952850079979769</v>
      </c>
      <c r="AG155" s="198">
        <v>3.6289716624104487</v>
      </c>
      <c r="AH155" s="198">
        <v>3.9673937565904014</v>
      </c>
      <c r="AI155" s="198">
        <v>4.2877647535059449</v>
      </c>
      <c r="AJ155" s="198">
        <v>4.6031150121309627</v>
      </c>
      <c r="AK155" s="198">
        <v>4.7646620939303626</v>
      </c>
      <c r="AL155" s="198">
        <v>5.0232519799903557</v>
      </c>
      <c r="AM155" s="45">
        <v>5.2734355054848692</v>
      </c>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45"/>
      <c r="CB155" s="45"/>
      <c r="CC155" s="45"/>
      <c r="CD155" s="45"/>
      <c r="CE155" s="45"/>
      <c r="CF155" s="45"/>
      <c r="CG155" s="45"/>
      <c r="CH155" s="45"/>
      <c r="CI155" s="45"/>
      <c r="CJ155" s="45"/>
      <c r="CK155" s="45"/>
      <c r="CL155" s="45"/>
      <c r="CM155" s="45"/>
      <c r="CN155" s="45"/>
      <c r="CO155" s="45"/>
      <c r="CP155" s="45"/>
      <c r="CQ155" s="45"/>
      <c r="CR155" s="45"/>
      <c r="CS155" s="45"/>
      <c r="CT155" s="45"/>
      <c r="CU155" s="45"/>
      <c r="CV155" s="45"/>
      <c r="CW155" s="45"/>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row>
    <row r="156" spans="1:131">
      <c r="A156" s="24" t="s">
        <v>422</v>
      </c>
      <c r="B156" s="24"/>
      <c r="C156" s="198">
        <v>77.194303284934591</v>
      </c>
      <c r="D156" s="198">
        <v>4.0008899869194874</v>
      </c>
      <c r="E156" s="198">
        <v>0.8001779973838975</v>
      </c>
      <c r="F156" s="198">
        <v>4.8010679843033852</v>
      </c>
      <c r="G156" s="198">
        <v>11.440743080836778</v>
      </c>
      <c r="H156" s="198">
        <v>55.673319278959603</v>
      </c>
      <c r="I156" s="198">
        <v>544.82460172298306</v>
      </c>
      <c r="J156" s="198">
        <v>-16.541655603319395</v>
      </c>
      <c r="K156" s="198">
        <v>-6.8711278522052313</v>
      </c>
      <c r="L156" s="199">
        <v>4.8662328037251621</v>
      </c>
      <c r="M156" s="198">
        <v>0.73334927535431171</v>
      </c>
      <c r="N156" s="198">
        <v>1.8043624507137073E-2</v>
      </c>
      <c r="O156" s="198">
        <v>3.2078017302354049</v>
      </c>
      <c r="P156" s="198">
        <v>2.3587698208358887</v>
      </c>
      <c r="Q156" s="198">
        <v>2.1836934015575871</v>
      </c>
      <c r="R156" s="198">
        <v>1.2487587748637792</v>
      </c>
      <c r="S156" s="198">
        <v>1.0030523694376006</v>
      </c>
      <c r="T156" s="198">
        <v>0.77847106415014411</v>
      </c>
      <c r="U156" s="198">
        <v>0.81534595083069783</v>
      </c>
      <c r="V156" s="198">
        <v>1.1839767276086746</v>
      </c>
      <c r="W156" s="198">
        <v>1.4931947205857186</v>
      </c>
      <c r="X156" s="198">
        <v>2.433657920448733</v>
      </c>
      <c r="Y156" s="198">
        <v>2.8372910730717615</v>
      </c>
      <c r="Z156" s="198">
        <v>3.3658801876845397</v>
      </c>
      <c r="AA156" s="198"/>
      <c r="AB156" s="198">
        <v>5.2670260860790057</v>
      </c>
      <c r="AC156" s="198">
        <v>4.5563733030540767</v>
      </c>
      <c r="AD156" s="198">
        <v>4.5786957129769874</v>
      </c>
      <c r="AE156" s="198">
        <v>4.3384346694726528</v>
      </c>
      <c r="AF156" s="198">
        <v>3.9952850079979769</v>
      </c>
      <c r="AG156" s="198">
        <v>3.6289716624104487</v>
      </c>
      <c r="AH156" s="198">
        <v>3.9673937565904014</v>
      </c>
      <c r="AI156" s="198">
        <v>4.2877647535059449</v>
      </c>
      <c r="AJ156" s="198">
        <v>4.6031150121309627</v>
      </c>
      <c r="AK156" s="198">
        <v>4.7646620939303626</v>
      </c>
      <c r="AL156" s="198">
        <v>5.0232519799903557</v>
      </c>
      <c r="AM156" s="45">
        <v>5.2734355054848692</v>
      </c>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row>
    <row r="157" spans="1:131">
      <c r="A157" s="24" t="s">
        <v>425</v>
      </c>
      <c r="B157" s="24"/>
      <c r="C157" s="198">
        <v>3575.1679071329308</v>
      </c>
      <c r="D157" s="198">
        <v>532.0694632777404</v>
      </c>
      <c r="E157" s="198">
        <v>106.41389265554808</v>
      </c>
      <c r="F157" s="198">
        <v>638.48335593328852</v>
      </c>
      <c r="G157" s="198">
        <v>770.19145647650839</v>
      </c>
      <c r="H157" s="198">
        <v>2578.4475783790995</v>
      </c>
      <c r="I157" s="198">
        <v>1564.4339911467116</v>
      </c>
      <c r="J157" s="198">
        <v>-14.230777531497223</v>
      </c>
      <c r="K157" s="198">
        <v>-1.9248918620090572</v>
      </c>
      <c r="L157" s="199">
        <v>3.3478008054971777</v>
      </c>
      <c r="M157" s="198">
        <v>33.964252313908865</v>
      </c>
      <c r="N157" s="198">
        <v>0.83567030883305371</v>
      </c>
      <c r="O157" s="198">
        <v>148.56575304594153</v>
      </c>
      <c r="P157" s="198">
        <v>109.2437887889062</v>
      </c>
      <c r="Q157" s="198">
        <v>101.13532004362652</v>
      </c>
      <c r="R157" s="198">
        <v>57.834867414561231</v>
      </c>
      <c r="S157" s="198">
        <v>46.455249776013211</v>
      </c>
      <c r="T157" s="198">
        <v>36.054017547229876</v>
      </c>
      <c r="U157" s="198">
        <v>37.761836723378948</v>
      </c>
      <c r="V157" s="198">
        <v>54.834559277185761</v>
      </c>
      <c r="W157" s="198">
        <v>69.155645131397193</v>
      </c>
      <c r="X157" s="198">
        <v>112.712147449697</v>
      </c>
      <c r="Y157" s="198">
        <v>131.40596593247059</v>
      </c>
      <c r="Z157" s="198">
        <v>155.88698018099521</v>
      </c>
      <c r="AA157" s="198"/>
      <c r="AB157" s="198">
        <v>243.93642830709547</v>
      </c>
      <c r="AC157" s="198">
        <v>211.02333867653877</v>
      </c>
      <c r="AD157" s="198">
        <v>212.05717615119906</v>
      </c>
      <c r="AE157" s="198">
        <v>200.92975436593625</v>
      </c>
      <c r="AF157" s="198">
        <v>185.03716119724811</v>
      </c>
      <c r="AG157" s="198">
        <v>168.07176787975163</v>
      </c>
      <c r="AH157" s="198">
        <v>183.74540905131482</v>
      </c>
      <c r="AI157" s="198">
        <v>198.58303382164124</v>
      </c>
      <c r="AJ157" s="198">
        <v>213.18812870773323</v>
      </c>
      <c r="AK157" s="198">
        <v>220.67000130406134</v>
      </c>
      <c r="AL157" s="198">
        <v>232.64630295339919</v>
      </c>
      <c r="AM157" s="45">
        <v>244.23327340560769</v>
      </c>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row>
    <row r="158" spans="1:131">
      <c r="A158" s="24" t="s">
        <v>426</v>
      </c>
      <c r="B158" s="24"/>
      <c r="C158" s="198">
        <v>1818.1320336264869</v>
      </c>
      <c r="D158" s="198">
        <v>332.28218672874203</v>
      </c>
      <c r="E158" s="198">
        <v>66.456437345748412</v>
      </c>
      <c r="F158" s="198">
        <v>398.73862407449042</v>
      </c>
      <c r="G158" s="198">
        <v>472.11822141359596</v>
      </c>
      <c r="H158" s="198">
        <v>1311.255376264872</v>
      </c>
      <c r="I158" s="198">
        <v>1921.1752954626838</v>
      </c>
      <c r="J158" s="198">
        <v>-13.422246670553561</v>
      </c>
      <c r="K158" s="198">
        <v>1.3306650128101762</v>
      </c>
      <c r="L158" s="199">
        <v>2.7773877744831958</v>
      </c>
      <c r="M158" s="198">
        <v>17.27233426068965</v>
      </c>
      <c r="N158" s="198">
        <v>0.42497555289881439</v>
      </c>
      <c r="O158" s="198">
        <v>75.552299004966684</v>
      </c>
      <c r="P158" s="198">
        <v>55.555329716281044</v>
      </c>
      <c r="Q158" s="198">
        <v>51.431812401181134</v>
      </c>
      <c r="R158" s="198">
        <v>29.411604668178942</v>
      </c>
      <c r="S158" s="198">
        <v>23.624562521770496</v>
      </c>
      <c r="T158" s="198">
        <v>18.335072910216969</v>
      </c>
      <c r="U158" s="198">
        <v>19.203574986889581</v>
      </c>
      <c r="V158" s="198">
        <v>27.885814418040145</v>
      </c>
      <c r="W158" s="198">
        <v>35.168724095067745</v>
      </c>
      <c r="X158" s="198">
        <v>57.319144493401986</v>
      </c>
      <c r="Y158" s="198">
        <v>66.825783369444537</v>
      </c>
      <c r="Z158" s="198">
        <v>79.275468916270555</v>
      </c>
      <c r="AA158" s="198"/>
      <c r="AB158" s="198">
        <v>124.05253291424525</v>
      </c>
      <c r="AC158" s="198">
        <v>107.3147616717966</v>
      </c>
      <c r="AD158" s="198">
        <v>107.84051405016552</v>
      </c>
      <c r="AE158" s="198">
        <v>102.18172472195081</v>
      </c>
      <c r="AF158" s="198">
        <v>94.099633617995565</v>
      </c>
      <c r="AG158" s="198">
        <v>85.471975881397356</v>
      </c>
      <c r="AH158" s="198">
        <v>93.44272014790613</v>
      </c>
      <c r="AI158" s="198">
        <v>100.98831285812209</v>
      </c>
      <c r="AJ158" s="198">
        <v>108.41565377086063</v>
      </c>
      <c r="AK158" s="198">
        <v>112.22051905054623</v>
      </c>
      <c r="AL158" s="198">
        <v>118.31100157853935</v>
      </c>
      <c r="AM158" s="45">
        <v>124.20349186125115</v>
      </c>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row>
    <row r="159" spans="1:131">
      <c r="A159" s="24" t="s">
        <v>423</v>
      </c>
      <c r="B159" s="24"/>
      <c r="C159" s="198">
        <v>315.58847519429145</v>
      </c>
      <c r="D159" s="198">
        <v>30.451059986919489</v>
      </c>
      <c r="E159" s="198">
        <v>6.0902119973838982</v>
      </c>
      <c r="F159" s="198">
        <v>36.541271984303386</v>
      </c>
      <c r="G159" s="198">
        <v>87.076314267199962</v>
      </c>
      <c r="H159" s="198">
        <v>227.60562881692306</v>
      </c>
      <c r="I159" s="198">
        <v>1014.3004822512221</v>
      </c>
      <c r="J159" s="198">
        <v>-15.477619190144257</v>
      </c>
      <c r="K159" s="198">
        <v>2.5260115757186798</v>
      </c>
      <c r="L159" s="199">
        <v>2.613863835790049</v>
      </c>
      <c r="M159" s="198">
        <v>2.9981043904191012</v>
      </c>
      <c r="N159" s="198">
        <v>7.3766582543883921E-2</v>
      </c>
      <c r="O159" s="198">
        <v>13.114248250080038</v>
      </c>
      <c r="P159" s="198">
        <v>9.6432060322408404</v>
      </c>
      <c r="Q159" s="198">
        <v>8.9274524357795482</v>
      </c>
      <c r="R159" s="198">
        <v>5.1052196972372155</v>
      </c>
      <c r="S159" s="198">
        <v>4.1007140985831319</v>
      </c>
      <c r="T159" s="198">
        <v>3.1825728799079429</v>
      </c>
      <c r="U159" s="198">
        <v>3.333326093101971</v>
      </c>
      <c r="V159" s="198">
        <v>4.8403754452237004</v>
      </c>
      <c r="W159" s="198">
        <v>6.1045313576886739</v>
      </c>
      <c r="X159" s="198">
        <v>9.9493662041874682</v>
      </c>
      <c r="Y159" s="198">
        <v>11.59951350461691</v>
      </c>
      <c r="Z159" s="198">
        <v>13.760510179063267</v>
      </c>
      <c r="AA159" s="198"/>
      <c r="AB159" s="198">
        <v>21.532841940146529</v>
      </c>
      <c r="AC159" s="198">
        <v>18.627526150721078</v>
      </c>
      <c r="AD159" s="198">
        <v>18.718785414817688</v>
      </c>
      <c r="AE159" s="198">
        <v>17.73654173696173</v>
      </c>
      <c r="AF159" s="198">
        <v>16.333665179756437</v>
      </c>
      <c r="AG159" s="198">
        <v>14.836090031619189</v>
      </c>
      <c r="AH159" s="198">
        <v>16.219639181354879</v>
      </c>
      <c r="AI159" s="198">
        <v>17.529391198156659</v>
      </c>
      <c r="AJ159" s="198">
        <v>18.818617255476585</v>
      </c>
      <c r="AK159" s="198">
        <v>19.479059736950603</v>
      </c>
      <c r="AL159" s="198">
        <v>20.536236035842926</v>
      </c>
      <c r="AM159" s="45">
        <v>21.559045154776381</v>
      </c>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row>
    <row r="160" spans="1:131">
      <c r="A160" s="24" t="s">
        <v>427</v>
      </c>
      <c r="B160" s="24"/>
      <c r="C160" s="198">
        <v>1818.1320336264869</v>
      </c>
      <c r="D160" s="198">
        <v>371.54658006207535</v>
      </c>
      <c r="E160" s="198">
        <v>74.309316012415067</v>
      </c>
      <c r="F160" s="198">
        <v>445.85589607449043</v>
      </c>
      <c r="G160" s="198">
        <v>527.90645288009398</v>
      </c>
      <c r="H160" s="198">
        <v>1311.255376264872</v>
      </c>
      <c r="I160" s="198">
        <v>2148.1925280322707</v>
      </c>
      <c r="J160" s="198">
        <v>-12.907726943575256</v>
      </c>
      <c r="K160" s="198">
        <v>3.5884744805063682</v>
      </c>
      <c r="L160" s="199">
        <v>2.4838782877365282</v>
      </c>
      <c r="M160" s="198">
        <v>17.27233426068965</v>
      </c>
      <c r="N160" s="198">
        <v>0.42497555289881439</v>
      </c>
      <c r="O160" s="198">
        <v>75.552299004966684</v>
      </c>
      <c r="P160" s="198">
        <v>55.555329716281044</v>
      </c>
      <c r="Q160" s="198">
        <v>51.431812401181134</v>
      </c>
      <c r="R160" s="198">
        <v>29.411604668178942</v>
      </c>
      <c r="S160" s="198">
        <v>23.624562521770496</v>
      </c>
      <c r="T160" s="198">
        <v>18.335072910216969</v>
      </c>
      <c r="U160" s="198">
        <v>19.203574986889581</v>
      </c>
      <c r="V160" s="198">
        <v>27.885814418040145</v>
      </c>
      <c r="W160" s="198">
        <v>35.168724095067745</v>
      </c>
      <c r="X160" s="198">
        <v>57.319144493401986</v>
      </c>
      <c r="Y160" s="198">
        <v>66.825783369444537</v>
      </c>
      <c r="Z160" s="198">
        <v>79.275468916270555</v>
      </c>
      <c r="AA160" s="198"/>
      <c r="AB160" s="198">
        <v>124.05253291424525</v>
      </c>
      <c r="AC160" s="198">
        <v>107.3147616717966</v>
      </c>
      <c r="AD160" s="198">
        <v>107.84051405016552</v>
      </c>
      <c r="AE160" s="198">
        <v>102.18172472195081</v>
      </c>
      <c r="AF160" s="198">
        <v>94.099633617995565</v>
      </c>
      <c r="AG160" s="198">
        <v>85.471975881397356</v>
      </c>
      <c r="AH160" s="198">
        <v>93.44272014790613</v>
      </c>
      <c r="AI160" s="198">
        <v>100.98831285812209</v>
      </c>
      <c r="AJ160" s="198">
        <v>108.41565377086063</v>
      </c>
      <c r="AK160" s="198">
        <v>112.22051905054623</v>
      </c>
      <c r="AL160" s="198">
        <v>118.31100157853935</v>
      </c>
      <c r="AM160" s="45">
        <v>124.20349186125115</v>
      </c>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row>
    <row r="161" spans="1:131">
      <c r="A161" s="24" t="s">
        <v>428</v>
      </c>
      <c r="B161" s="24"/>
      <c r="C161" s="198">
        <v>841.23057955103127</v>
      </c>
      <c r="D161" s="198">
        <v>179.07824387962339</v>
      </c>
      <c r="E161" s="198">
        <v>35.815648775924679</v>
      </c>
      <c r="F161" s="198">
        <v>214.89389265554806</v>
      </c>
      <c r="G161" s="198">
        <v>259.22279513512672</v>
      </c>
      <c r="H161" s="198">
        <v>606.70407853410973</v>
      </c>
      <c r="I161" s="198">
        <v>2237.7580480577449</v>
      </c>
      <c r="J161" s="198">
        <v>-12.70473254359705</v>
      </c>
      <c r="K161" s="198">
        <v>4.8975407713613412</v>
      </c>
      <c r="L161" s="199">
        <v>2.3404734842776818</v>
      </c>
      <c r="M161" s="198">
        <v>7.991727493705282</v>
      </c>
      <c r="N161" s="198">
        <v>0.1966317209355842</v>
      </c>
      <c r="O161" s="198">
        <v>34.957254535353464</v>
      </c>
      <c r="P161" s="198">
        <v>25.704867055863577</v>
      </c>
      <c r="Q161" s="198">
        <v>23.796958941043552</v>
      </c>
      <c r="R161" s="198">
        <v>13.608440301877943</v>
      </c>
      <c r="S161" s="198">
        <v>10.930836734771145</v>
      </c>
      <c r="T161" s="198">
        <v>8.4834454952136387</v>
      </c>
      <c r="U161" s="198">
        <v>8.8852922762987756</v>
      </c>
      <c r="V161" s="198">
        <v>12.902473192417036</v>
      </c>
      <c r="W161" s="198">
        <v>16.27219894121399</v>
      </c>
      <c r="X161" s="198">
        <v>26.520965611818589</v>
      </c>
      <c r="Y161" s="198">
        <v>30.919587484908899</v>
      </c>
      <c r="Z161" s="198">
        <v>36.679926114933892</v>
      </c>
      <c r="AA161" s="198"/>
      <c r="AB161" s="198">
        <v>57.397802925275748</v>
      </c>
      <c r="AC161" s="198">
        <v>49.653412120724148</v>
      </c>
      <c r="AD161" s="198">
        <v>49.896672219427458</v>
      </c>
      <c r="AE161" s="198">
        <v>47.27840988309088</v>
      </c>
      <c r="AF161" s="198">
        <v>43.538911289139342</v>
      </c>
      <c r="AG161" s="198">
        <v>39.546984749321552</v>
      </c>
      <c r="AH161" s="198">
        <v>43.234964332077062</v>
      </c>
      <c r="AI161" s="198">
        <v>46.726230758976754</v>
      </c>
      <c r="AJ161" s="198">
        <v>50.162783322259806</v>
      </c>
      <c r="AK161" s="198">
        <v>51.923254489999579</v>
      </c>
      <c r="AL161" s="198">
        <v>54.741256731866265</v>
      </c>
      <c r="AM161" s="45">
        <v>57.467650043157988</v>
      </c>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row>
    <row r="162" spans="1:131">
      <c r="A162" s="24" t="s">
        <v>430</v>
      </c>
      <c r="B162" s="24"/>
      <c r="C162" s="198">
        <v>1468.6907917047924</v>
      </c>
      <c r="D162" s="198">
        <v>338.08982109258011</v>
      </c>
      <c r="E162" s="198">
        <v>67.617964218516022</v>
      </c>
      <c r="F162" s="198">
        <v>405.70778531109613</v>
      </c>
      <c r="G162" s="198">
        <v>489.3983017237183</v>
      </c>
      <c r="H162" s="198">
        <v>1059.2347866245555</v>
      </c>
      <c r="I162" s="198">
        <v>2419.8423653217524</v>
      </c>
      <c r="J162" s="198">
        <v>-12.292050333769698</v>
      </c>
      <c r="K162" s="198">
        <v>6.7425037952965994</v>
      </c>
      <c r="L162" s="199">
        <v>2.1643613859995146</v>
      </c>
      <c r="M162" s="198">
        <v>13.952627097891837</v>
      </c>
      <c r="N162" s="198">
        <v>0.34329612464787984</v>
      </c>
      <c r="O162" s="198">
        <v>61.031302341333543</v>
      </c>
      <c r="P162" s="198">
        <v>44.87770947067974</v>
      </c>
      <c r="Q162" s="198">
        <v>41.546723712707731</v>
      </c>
      <c r="R162" s="198">
        <v>23.75875467044893</v>
      </c>
      <c r="S162" s="198">
        <v>19.083970136410123</v>
      </c>
      <c r="T162" s="198">
        <v>14.811109562136343</v>
      </c>
      <c r="U162" s="198">
        <v>15.512687323813692</v>
      </c>
      <c r="V162" s="198">
        <v>22.526218171995609</v>
      </c>
      <c r="W162" s="198">
        <v>28.409367570190302</v>
      </c>
      <c r="X162" s="198">
        <v>46.302522670996822</v>
      </c>
      <c r="Y162" s="198">
        <v>53.982005084304802</v>
      </c>
      <c r="Z162" s="198">
        <v>64.038886644095854</v>
      </c>
      <c r="AA162" s="198"/>
      <c r="AB162" s="198">
        <v>100.20989092601698</v>
      </c>
      <c r="AC162" s="198">
        <v>86.689084932399126</v>
      </c>
      <c r="AD162" s="198">
        <v>87.113788783684981</v>
      </c>
      <c r="AE162" s="198">
        <v>82.54260713964949</v>
      </c>
      <c r="AF162" s="198">
        <v>76.013877343045039</v>
      </c>
      <c r="AG162" s="198">
        <v>69.044437699848274</v>
      </c>
      <c r="AH162" s="198">
        <v>75.483221292426549</v>
      </c>
      <c r="AI162" s="198">
        <v>81.578566584453725</v>
      </c>
      <c r="AJ162" s="198">
        <v>87.578387831557052</v>
      </c>
      <c r="AK162" s="198">
        <v>90.651965820722793</v>
      </c>
      <c r="AL162" s="198">
        <v>95.571870118355363</v>
      </c>
      <c r="AM162" s="45">
        <v>100.3318358735194</v>
      </c>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row>
    <row r="163" spans="1:131">
      <c r="A163" s="24" t="s">
        <v>429</v>
      </c>
      <c r="B163" s="24"/>
      <c r="C163" s="198">
        <v>724.30887875791984</v>
      </c>
      <c r="D163" s="198">
        <v>154.26033291735365</v>
      </c>
      <c r="E163" s="198">
        <v>30.85206658347073</v>
      </c>
      <c r="F163" s="198">
        <v>185.11239950082438</v>
      </c>
      <c r="G163" s="198">
        <v>245.29434009866293</v>
      </c>
      <c r="H163" s="198">
        <v>522.37895476342499</v>
      </c>
      <c r="I163" s="198">
        <v>2238.8026257637403</v>
      </c>
      <c r="J163" s="198">
        <v>-12.70236507646686</v>
      </c>
      <c r="K163" s="198">
        <v>7.1427199509739285</v>
      </c>
      <c r="L163" s="199">
        <v>2.1296005221861716</v>
      </c>
      <c r="M163" s="198">
        <v>6.8809661952539356</v>
      </c>
      <c r="N163" s="198">
        <v>0.16930209716711028</v>
      </c>
      <c r="O163" s="198">
        <v>30.098584683488795</v>
      </c>
      <c r="P163" s="198">
        <v>22.132176229007978</v>
      </c>
      <c r="Q163" s="198">
        <v>20.489446136913653</v>
      </c>
      <c r="R163" s="198">
        <v>11.717018349425524</v>
      </c>
      <c r="S163" s="198">
        <v>9.4115719182170849</v>
      </c>
      <c r="T163" s="198">
        <v>7.3043408596981072</v>
      </c>
      <c r="U163" s="198">
        <v>7.6503354044941316</v>
      </c>
      <c r="V163" s="198">
        <v>11.109172821786117</v>
      </c>
      <c r="W163" s="198">
        <v>14.010544143945422</v>
      </c>
      <c r="X163" s="198">
        <v>22.834846156122623</v>
      </c>
      <c r="Y163" s="198">
        <v>26.622108476850983</v>
      </c>
      <c r="Z163" s="198">
        <v>31.581824059950794</v>
      </c>
      <c r="AA163" s="198"/>
      <c r="AB163" s="198">
        <v>49.420146260211595</v>
      </c>
      <c r="AC163" s="198">
        <v>42.752139703315336</v>
      </c>
      <c r="AD163" s="198">
        <v>42.961589351986419</v>
      </c>
      <c r="AE163" s="198">
        <v>40.707236380012702</v>
      </c>
      <c r="AF163" s="198">
        <v>37.487486528375804</v>
      </c>
      <c r="AG163" s="198">
        <v>34.050393409765505</v>
      </c>
      <c r="AH163" s="198">
        <v>37.225784820160257</v>
      </c>
      <c r="AI163" s="198">
        <v>40.231804017016479</v>
      </c>
      <c r="AJ163" s="198">
        <v>43.19071396918757</v>
      </c>
      <c r="AK163" s="198">
        <v>44.706499211174112</v>
      </c>
      <c r="AL163" s="198">
        <v>47.132830461796402</v>
      </c>
      <c r="AM163" s="45">
        <v>49.480285405016289</v>
      </c>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row>
    <row r="164" spans="1:131">
      <c r="A164" s="24" t="s">
        <v>432</v>
      </c>
      <c r="B164" s="24"/>
      <c r="C164" s="198">
        <v>841.23057955103127</v>
      </c>
      <c r="D164" s="198">
        <v>204.91157721295673</v>
      </c>
      <c r="E164" s="198">
        <v>40.98231544259135</v>
      </c>
      <c r="F164" s="198">
        <v>245.89389265554809</v>
      </c>
      <c r="G164" s="198">
        <v>296.61756029054987</v>
      </c>
      <c r="H164" s="198">
        <v>606.70407853410973</v>
      </c>
      <c r="I164" s="198">
        <v>2560.5708494479804</v>
      </c>
      <c r="J164" s="198">
        <v>-11.973098418044511</v>
      </c>
      <c r="K164" s="198">
        <v>8.1684302755595635</v>
      </c>
      <c r="L164" s="199">
        <v>2.0454084982015783</v>
      </c>
      <c r="M164" s="198">
        <v>7.991727493705282</v>
      </c>
      <c r="N164" s="198">
        <v>0.1966317209355842</v>
      </c>
      <c r="O164" s="198">
        <v>34.957254535353464</v>
      </c>
      <c r="P164" s="198">
        <v>25.704867055863577</v>
      </c>
      <c r="Q164" s="198">
        <v>23.796958941043552</v>
      </c>
      <c r="R164" s="198">
        <v>13.608440301877943</v>
      </c>
      <c r="S164" s="198">
        <v>10.930836734771145</v>
      </c>
      <c r="T164" s="198">
        <v>8.4834454952136387</v>
      </c>
      <c r="U164" s="198">
        <v>8.8852922762987756</v>
      </c>
      <c r="V164" s="198">
        <v>12.902473192417036</v>
      </c>
      <c r="W164" s="198">
        <v>16.27219894121399</v>
      </c>
      <c r="X164" s="198">
        <v>26.520965611818589</v>
      </c>
      <c r="Y164" s="198">
        <v>30.919587484908899</v>
      </c>
      <c r="Z164" s="198">
        <v>36.679926114933892</v>
      </c>
      <c r="AA164" s="198"/>
      <c r="AB164" s="198">
        <v>57.397802925275748</v>
      </c>
      <c r="AC164" s="198">
        <v>49.653412120724148</v>
      </c>
      <c r="AD164" s="198">
        <v>49.896672219427458</v>
      </c>
      <c r="AE164" s="198">
        <v>47.27840988309088</v>
      </c>
      <c r="AF164" s="198">
        <v>43.538911289139342</v>
      </c>
      <c r="AG164" s="198">
        <v>39.546984749321552</v>
      </c>
      <c r="AH164" s="198">
        <v>43.234964332077062</v>
      </c>
      <c r="AI164" s="198">
        <v>46.726230758976754</v>
      </c>
      <c r="AJ164" s="198">
        <v>50.162783322259806</v>
      </c>
      <c r="AK164" s="198">
        <v>51.923254489999579</v>
      </c>
      <c r="AL164" s="198">
        <v>54.741256731866265</v>
      </c>
      <c r="AM164" s="45">
        <v>57.467650043157988</v>
      </c>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row>
    <row r="165" spans="1:131">
      <c r="A165" s="24" t="s">
        <v>431</v>
      </c>
      <c r="B165" s="24"/>
      <c r="C165" s="198">
        <v>734.71773160610712</v>
      </c>
      <c r="D165" s="198">
        <v>186.95819668884204</v>
      </c>
      <c r="E165" s="198">
        <v>37.39163933776841</v>
      </c>
      <c r="F165" s="198">
        <v>224.34983602661043</v>
      </c>
      <c r="G165" s="198">
        <v>265.63678350740315</v>
      </c>
      <c r="H165" s="198">
        <v>529.88592565745375</v>
      </c>
      <c r="I165" s="198">
        <v>2674.9110291607008</v>
      </c>
      <c r="J165" s="198">
        <v>-11.713953870370561</v>
      </c>
      <c r="K165" s="198">
        <v>8.8269755634318088</v>
      </c>
      <c r="L165" s="199">
        <v>1.994776170155991</v>
      </c>
      <c r="M165" s="198">
        <v>6.9798507549773587</v>
      </c>
      <c r="N165" s="198">
        <v>0.17173509318301433</v>
      </c>
      <c r="O165" s="198">
        <v>30.531123546530743</v>
      </c>
      <c r="P165" s="198">
        <v>22.4502319264239</v>
      </c>
      <c r="Q165" s="198">
        <v>20.783894591205311</v>
      </c>
      <c r="R165" s="198">
        <v>11.88540054574462</v>
      </c>
      <c r="S165" s="198">
        <v>9.5468231487899384</v>
      </c>
      <c r="T165" s="198">
        <v>7.4093096256367206</v>
      </c>
      <c r="U165" s="198">
        <v>7.7602763672519153</v>
      </c>
      <c r="V165" s="198">
        <v>11.268819829517609</v>
      </c>
      <c r="W165" s="198">
        <v>14.211885997668714</v>
      </c>
      <c r="X165" s="198">
        <v>23.162999738690417</v>
      </c>
      <c r="Y165" s="198">
        <v>27.004687812505704</v>
      </c>
      <c r="Z165" s="198">
        <v>32.035678166890762</v>
      </c>
      <c r="AA165" s="198"/>
      <c r="AB165" s="198">
        <v>50.130350214967144</v>
      </c>
      <c r="AC165" s="198">
        <v>43.36651948543269</v>
      </c>
      <c r="AD165" s="198">
        <v>43.578979080048185</v>
      </c>
      <c r="AE165" s="198">
        <v>41.292229393024691</v>
      </c>
      <c r="AF165" s="198">
        <v>38.026209361086899</v>
      </c>
      <c r="AG165" s="198">
        <v>34.539722679113851</v>
      </c>
      <c r="AH165" s="198">
        <v>37.760746806289426</v>
      </c>
      <c r="AI165" s="198">
        <v>40.809964716286594</v>
      </c>
      <c r="AJ165" s="198">
        <v>43.811396387004066</v>
      </c>
      <c r="AK165" s="198">
        <v>45.348964580982511</v>
      </c>
      <c r="AL165" s="198">
        <v>47.810164001372364</v>
      </c>
      <c r="AM165" s="45">
        <v>50.19135360364217</v>
      </c>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row>
    <row r="166" spans="1:131">
      <c r="A166" s="24" t="s">
        <v>433</v>
      </c>
      <c r="B166" s="24"/>
      <c r="C166" s="198">
        <v>1468.6907917047924</v>
      </c>
      <c r="D166" s="198">
        <v>366.92315442591342</v>
      </c>
      <c r="E166" s="198">
        <v>73.384630885182688</v>
      </c>
      <c r="F166" s="198">
        <v>440.3077853110961</v>
      </c>
      <c r="G166" s="198">
        <v>531.13568476815828</v>
      </c>
      <c r="H166" s="198">
        <v>1059.2347866245555</v>
      </c>
      <c r="I166" s="198">
        <v>2626.2139186207141</v>
      </c>
      <c r="J166" s="198">
        <v>-11.824322690111977</v>
      </c>
      <c r="K166" s="198">
        <v>8.8335563952666174</v>
      </c>
      <c r="L166" s="199">
        <v>1.9942828489991469</v>
      </c>
      <c r="M166" s="198">
        <v>13.952627097891837</v>
      </c>
      <c r="N166" s="198">
        <v>0.34329612464787984</v>
      </c>
      <c r="O166" s="198">
        <v>61.031302341333543</v>
      </c>
      <c r="P166" s="198">
        <v>44.87770947067974</v>
      </c>
      <c r="Q166" s="198">
        <v>41.546723712707731</v>
      </c>
      <c r="R166" s="198">
        <v>23.75875467044893</v>
      </c>
      <c r="S166" s="198">
        <v>19.083970136410123</v>
      </c>
      <c r="T166" s="198">
        <v>14.811109562136343</v>
      </c>
      <c r="U166" s="198">
        <v>15.512687323813692</v>
      </c>
      <c r="V166" s="198">
        <v>22.526218171995609</v>
      </c>
      <c r="W166" s="198">
        <v>28.409367570190302</v>
      </c>
      <c r="X166" s="198">
        <v>46.302522670996822</v>
      </c>
      <c r="Y166" s="198">
        <v>53.982005084304802</v>
      </c>
      <c r="Z166" s="198">
        <v>64.038886644095854</v>
      </c>
      <c r="AA166" s="198"/>
      <c r="AB166" s="198">
        <v>100.20989092601698</v>
      </c>
      <c r="AC166" s="198">
        <v>86.689084932399126</v>
      </c>
      <c r="AD166" s="198">
        <v>87.113788783684981</v>
      </c>
      <c r="AE166" s="198">
        <v>82.54260713964949</v>
      </c>
      <c r="AF166" s="198">
        <v>76.013877343045039</v>
      </c>
      <c r="AG166" s="198">
        <v>69.044437699848274</v>
      </c>
      <c r="AH166" s="198">
        <v>75.483221292426549</v>
      </c>
      <c r="AI166" s="198">
        <v>81.578566584453725</v>
      </c>
      <c r="AJ166" s="198">
        <v>87.578387831557052</v>
      </c>
      <c r="AK166" s="198">
        <v>90.651965820722793</v>
      </c>
      <c r="AL166" s="198">
        <v>95.571870118355363</v>
      </c>
      <c r="AM166" s="45">
        <v>100.3318358735194</v>
      </c>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row>
    <row r="167" spans="1:131">
      <c r="A167" s="24" t="s">
        <v>434</v>
      </c>
      <c r="B167" s="24"/>
      <c r="C167" s="198">
        <v>3575.1679071329308</v>
      </c>
      <c r="D167" s="198">
        <v>984.136129944407</v>
      </c>
      <c r="E167" s="198">
        <v>196.82722598888142</v>
      </c>
      <c r="F167" s="198">
        <v>1180.9633559332883</v>
      </c>
      <c r="G167" s="198">
        <v>1424.5757210414745</v>
      </c>
      <c r="H167" s="198">
        <v>2578.4475783790995</v>
      </c>
      <c r="I167" s="198">
        <v>2893.6372407392369</v>
      </c>
      <c r="J167" s="198">
        <v>-11.218225200830501</v>
      </c>
      <c r="K167" s="198">
        <v>11.543213923494241</v>
      </c>
      <c r="L167" s="199">
        <v>1.8099757986146612</v>
      </c>
      <c r="M167" s="198">
        <v>33.964252313908865</v>
      </c>
      <c r="N167" s="198">
        <v>0.83567030883305371</v>
      </c>
      <c r="O167" s="198">
        <v>148.56575304594153</v>
      </c>
      <c r="P167" s="198">
        <v>109.2437887889062</v>
      </c>
      <c r="Q167" s="198">
        <v>101.13532004362652</v>
      </c>
      <c r="R167" s="198">
        <v>57.834867414561231</v>
      </c>
      <c r="S167" s="198">
        <v>46.455249776013211</v>
      </c>
      <c r="T167" s="198">
        <v>36.054017547229876</v>
      </c>
      <c r="U167" s="198">
        <v>37.761836723378948</v>
      </c>
      <c r="V167" s="198">
        <v>54.834559277185761</v>
      </c>
      <c r="W167" s="198">
        <v>69.155645131397193</v>
      </c>
      <c r="X167" s="198">
        <v>112.712147449697</v>
      </c>
      <c r="Y167" s="198">
        <v>131.40596593247059</v>
      </c>
      <c r="Z167" s="198">
        <v>155.88698018099521</v>
      </c>
      <c r="AA167" s="198"/>
      <c r="AB167" s="198">
        <v>243.93642830709547</v>
      </c>
      <c r="AC167" s="198">
        <v>211.02333867653877</v>
      </c>
      <c r="AD167" s="198">
        <v>212.05717615119906</v>
      </c>
      <c r="AE167" s="198">
        <v>200.92975436593625</v>
      </c>
      <c r="AF167" s="198">
        <v>185.03716119724811</v>
      </c>
      <c r="AG167" s="198">
        <v>168.07176787975163</v>
      </c>
      <c r="AH167" s="198">
        <v>183.74540905131482</v>
      </c>
      <c r="AI167" s="198">
        <v>198.58303382164124</v>
      </c>
      <c r="AJ167" s="198">
        <v>213.18812870773323</v>
      </c>
      <c r="AK167" s="198">
        <v>220.67000130406134</v>
      </c>
      <c r="AL167" s="198">
        <v>232.64630295339919</v>
      </c>
      <c r="AM167" s="45">
        <v>244.23327340560769</v>
      </c>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row>
    <row r="168" spans="1:131">
      <c r="A168" s="24" t="s">
        <v>435</v>
      </c>
      <c r="B168" s="24"/>
      <c r="C168" s="198">
        <v>3575.1679071329308</v>
      </c>
      <c r="D168" s="198">
        <v>1014.9694632777404</v>
      </c>
      <c r="E168" s="198">
        <v>202.99389265554808</v>
      </c>
      <c r="F168" s="198">
        <v>1217.9633559332885</v>
      </c>
      <c r="G168" s="198">
        <v>1469.2081826785923</v>
      </c>
      <c r="H168" s="198">
        <v>2578.4475783790995</v>
      </c>
      <c r="I168" s="198">
        <v>2984.295919833256</v>
      </c>
      <c r="J168" s="198">
        <v>-11.01275322723761</v>
      </c>
      <c r="K168" s="198">
        <v>12.461809842355065</v>
      </c>
      <c r="L168" s="199">
        <v>1.7549912999246937</v>
      </c>
      <c r="M168" s="198">
        <v>33.964252313908865</v>
      </c>
      <c r="N168" s="198">
        <v>0.83567030883305371</v>
      </c>
      <c r="O168" s="198">
        <v>148.56575304594153</v>
      </c>
      <c r="P168" s="198">
        <v>109.2437887889062</v>
      </c>
      <c r="Q168" s="198">
        <v>101.13532004362652</v>
      </c>
      <c r="R168" s="198">
        <v>57.834867414561231</v>
      </c>
      <c r="S168" s="198">
        <v>46.455249776013211</v>
      </c>
      <c r="T168" s="198">
        <v>36.054017547229876</v>
      </c>
      <c r="U168" s="198">
        <v>37.761836723378948</v>
      </c>
      <c r="V168" s="198">
        <v>54.834559277185761</v>
      </c>
      <c r="W168" s="198">
        <v>69.155645131397193</v>
      </c>
      <c r="X168" s="198">
        <v>112.712147449697</v>
      </c>
      <c r="Y168" s="198">
        <v>131.40596593247059</v>
      </c>
      <c r="Z168" s="198">
        <v>155.88698018099521</v>
      </c>
      <c r="AA168" s="198"/>
      <c r="AB168" s="198">
        <v>243.93642830709547</v>
      </c>
      <c r="AC168" s="198">
        <v>211.02333867653877</v>
      </c>
      <c r="AD168" s="198">
        <v>212.05717615119906</v>
      </c>
      <c r="AE168" s="198">
        <v>200.92975436593625</v>
      </c>
      <c r="AF168" s="198">
        <v>185.03716119724811</v>
      </c>
      <c r="AG168" s="198">
        <v>168.07176787975163</v>
      </c>
      <c r="AH168" s="198">
        <v>183.74540905131482</v>
      </c>
      <c r="AI168" s="198">
        <v>198.58303382164124</v>
      </c>
      <c r="AJ168" s="198">
        <v>213.18812870773323</v>
      </c>
      <c r="AK168" s="198">
        <v>220.67000130406134</v>
      </c>
      <c r="AL168" s="198">
        <v>232.64630295339919</v>
      </c>
      <c r="AM168" s="45">
        <v>244.23327340560769</v>
      </c>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c r="BO168" s="45"/>
      <c r="BP168" s="45"/>
      <c r="BQ168" s="45"/>
      <c r="BR168" s="45"/>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row>
    <row r="169" spans="1:131">
      <c r="A169" s="24" t="s">
        <v>436</v>
      </c>
      <c r="B169" s="24"/>
      <c r="C169" s="198">
        <v>734.71773160610712</v>
      </c>
      <c r="D169" s="198">
        <v>228.79070335550873</v>
      </c>
      <c r="E169" s="198">
        <v>45.758140671101749</v>
      </c>
      <c r="F169" s="198">
        <v>274.54884402661048</v>
      </c>
      <c r="G169" s="198">
        <v>325.07388075048186</v>
      </c>
      <c r="H169" s="198">
        <v>529.88592565745375</v>
      </c>
      <c r="I169" s="198">
        <v>3273.4311017860246</v>
      </c>
      <c r="J169" s="198">
        <v>-10.357447226039852</v>
      </c>
      <c r="K169" s="198">
        <v>14.779582206037436</v>
      </c>
      <c r="L169" s="199">
        <v>1.6300476815735934</v>
      </c>
      <c r="M169" s="198">
        <v>6.9798507549773587</v>
      </c>
      <c r="N169" s="198">
        <v>0.17173509318301433</v>
      </c>
      <c r="O169" s="198">
        <v>30.531123546530743</v>
      </c>
      <c r="P169" s="198">
        <v>22.4502319264239</v>
      </c>
      <c r="Q169" s="198">
        <v>20.783894591205311</v>
      </c>
      <c r="R169" s="198">
        <v>11.88540054574462</v>
      </c>
      <c r="S169" s="198">
        <v>9.5468231487899384</v>
      </c>
      <c r="T169" s="198">
        <v>7.4093096256367206</v>
      </c>
      <c r="U169" s="198">
        <v>7.7602763672519153</v>
      </c>
      <c r="V169" s="198">
        <v>11.268819829517609</v>
      </c>
      <c r="W169" s="198">
        <v>14.211885997668714</v>
      </c>
      <c r="X169" s="198">
        <v>23.162999738690417</v>
      </c>
      <c r="Y169" s="198">
        <v>27.004687812505704</v>
      </c>
      <c r="Z169" s="198">
        <v>32.035678166890762</v>
      </c>
      <c r="AA169" s="198"/>
      <c r="AB169" s="198">
        <v>50.130350214967144</v>
      </c>
      <c r="AC169" s="198">
        <v>43.36651948543269</v>
      </c>
      <c r="AD169" s="198">
        <v>43.578979080048185</v>
      </c>
      <c r="AE169" s="198">
        <v>41.292229393024691</v>
      </c>
      <c r="AF169" s="198">
        <v>38.026209361086899</v>
      </c>
      <c r="AG169" s="198">
        <v>34.539722679113851</v>
      </c>
      <c r="AH169" s="198">
        <v>37.760746806289426</v>
      </c>
      <c r="AI169" s="198">
        <v>40.809964716286594</v>
      </c>
      <c r="AJ169" s="198">
        <v>43.811396387004066</v>
      </c>
      <c r="AK169" s="198">
        <v>45.348964580982511</v>
      </c>
      <c r="AL169" s="198">
        <v>47.810164001372364</v>
      </c>
      <c r="AM169" s="45">
        <v>50.19135360364217</v>
      </c>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c r="BO169" s="45"/>
      <c r="BP169" s="45"/>
      <c r="BQ169" s="45"/>
      <c r="BR169" s="45"/>
      <c r="BS169" s="45"/>
      <c r="BT169" s="45"/>
      <c r="BU169" s="45"/>
      <c r="BV169" s="45"/>
      <c r="BW169" s="45"/>
      <c r="BX169" s="45"/>
      <c r="BY169" s="45"/>
      <c r="BZ169" s="45"/>
      <c r="CA169" s="45"/>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row>
    <row r="170" spans="1:131">
      <c r="A170" s="24" t="s">
        <v>420</v>
      </c>
      <c r="B170" s="24"/>
      <c r="C170" s="198">
        <v>724.30887875791984</v>
      </c>
      <c r="D170" s="198">
        <v>210.259506250687</v>
      </c>
      <c r="E170" s="198">
        <v>42.051901250137405</v>
      </c>
      <c r="F170" s="198">
        <v>252.3114075008244</v>
      </c>
      <c r="G170" s="198">
        <v>334.34043515817496</v>
      </c>
      <c r="H170" s="198">
        <v>522.37895476342499</v>
      </c>
      <c r="I170" s="198">
        <v>3051.5267650694309</v>
      </c>
      <c r="J170" s="198">
        <v>-10.860378908583934</v>
      </c>
      <c r="K170" s="198">
        <v>16.18881579014732</v>
      </c>
      <c r="L170" s="199">
        <v>1.5624163272871552</v>
      </c>
      <c r="M170" s="198">
        <v>6.8809661952539356</v>
      </c>
      <c r="N170" s="198">
        <v>0.16930209716711028</v>
      </c>
      <c r="O170" s="198">
        <v>30.098584683488795</v>
      </c>
      <c r="P170" s="198">
        <v>22.132176229007978</v>
      </c>
      <c r="Q170" s="198">
        <v>20.489446136913653</v>
      </c>
      <c r="R170" s="198">
        <v>11.717018349425524</v>
      </c>
      <c r="S170" s="198">
        <v>9.4115719182170849</v>
      </c>
      <c r="T170" s="198">
        <v>7.3043408596981072</v>
      </c>
      <c r="U170" s="198">
        <v>7.6503354044941316</v>
      </c>
      <c r="V170" s="198">
        <v>11.109172821786117</v>
      </c>
      <c r="W170" s="198">
        <v>14.010544143945422</v>
      </c>
      <c r="X170" s="198">
        <v>22.834846156122623</v>
      </c>
      <c r="Y170" s="198">
        <v>26.622108476850983</v>
      </c>
      <c r="Z170" s="198">
        <v>31.581824059950794</v>
      </c>
      <c r="AA170" s="198"/>
      <c r="AB170" s="198">
        <v>49.420146260211595</v>
      </c>
      <c r="AC170" s="198">
        <v>42.752139703315336</v>
      </c>
      <c r="AD170" s="198">
        <v>42.961589351986419</v>
      </c>
      <c r="AE170" s="198">
        <v>40.707236380012702</v>
      </c>
      <c r="AF170" s="198">
        <v>37.487486528375804</v>
      </c>
      <c r="AG170" s="198">
        <v>34.050393409765505</v>
      </c>
      <c r="AH170" s="198">
        <v>37.225784820160257</v>
      </c>
      <c r="AI170" s="198">
        <v>40.231804017016479</v>
      </c>
      <c r="AJ170" s="198">
        <v>43.19071396918757</v>
      </c>
      <c r="AK170" s="198">
        <v>44.706499211174112</v>
      </c>
      <c r="AL170" s="198">
        <v>47.132830461796402</v>
      </c>
      <c r="AM170" s="45">
        <v>49.480285405016289</v>
      </c>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row>
    <row r="171" spans="1:131">
      <c r="A171" s="24" t="s">
        <v>437</v>
      </c>
      <c r="B171" s="24"/>
      <c r="C171" s="198">
        <v>77.194303284934591</v>
      </c>
      <c r="D171" s="198">
        <v>30.451059986919489</v>
      </c>
      <c r="E171" s="198">
        <v>6.0902119973838982</v>
      </c>
      <c r="F171" s="198">
        <v>36.541271984303386</v>
      </c>
      <c r="G171" s="198">
        <v>87.076314267199962</v>
      </c>
      <c r="H171" s="198">
        <v>55.673319278959603</v>
      </c>
      <c r="I171" s="198">
        <v>4146.6990303799967</v>
      </c>
      <c r="J171" s="198">
        <v>-8.3782425149554136</v>
      </c>
      <c r="K171" s="198">
        <v>65.224836204307806</v>
      </c>
      <c r="L171" s="200">
        <v>0.63936237709972432</v>
      </c>
      <c r="M171" s="198">
        <v>0.73334927535431171</v>
      </c>
      <c r="N171" s="198">
        <v>1.8043624507137073E-2</v>
      </c>
      <c r="O171" s="198">
        <v>3.2078017302354049</v>
      </c>
      <c r="P171" s="198">
        <v>2.3587698208358887</v>
      </c>
      <c r="Q171" s="198">
        <v>2.1836934015575871</v>
      </c>
      <c r="R171" s="198">
        <v>1.2487587748637792</v>
      </c>
      <c r="S171" s="198">
        <v>1.0030523694376006</v>
      </c>
      <c r="T171" s="198">
        <v>0.77847106415014411</v>
      </c>
      <c r="U171" s="198">
        <v>0.81534595083069783</v>
      </c>
      <c r="V171" s="198">
        <v>1.1839767276086746</v>
      </c>
      <c r="W171" s="198">
        <v>1.4931947205857186</v>
      </c>
      <c r="X171" s="198">
        <v>2.433657920448733</v>
      </c>
      <c r="Y171" s="198">
        <v>2.8372910730717615</v>
      </c>
      <c r="Z171" s="198">
        <v>3.3658801876845397</v>
      </c>
      <c r="AA171" s="198"/>
      <c r="AB171" s="198">
        <v>5.2670260860790057</v>
      </c>
      <c r="AC171" s="198">
        <v>4.5563733030540767</v>
      </c>
      <c r="AD171" s="198">
        <v>4.5786957129769874</v>
      </c>
      <c r="AE171" s="198">
        <v>4.3384346694726528</v>
      </c>
      <c r="AF171" s="198">
        <v>3.9952850079979769</v>
      </c>
      <c r="AG171" s="198">
        <v>3.6289716624104487</v>
      </c>
      <c r="AH171" s="198">
        <v>3.9673937565904014</v>
      </c>
      <c r="AI171" s="198">
        <v>4.2877647535059449</v>
      </c>
      <c r="AJ171" s="198">
        <v>4.6031150121309627</v>
      </c>
      <c r="AK171" s="198">
        <v>4.7646620939303626</v>
      </c>
      <c r="AL171" s="198">
        <v>5.0232519799903557</v>
      </c>
      <c r="AM171" s="45">
        <v>5.2734355054848692</v>
      </c>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row>
    <row r="172" spans="1:131">
      <c r="A172" s="24"/>
      <c r="B172" s="24"/>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row>
  </sheetData>
  <mergeCells count="3">
    <mergeCell ref="I6:N6"/>
    <mergeCell ref="O6:P6"/>
    <mergeCell ref="R6:T6"/>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dimension ref="A1:DC34"/>
  <sheetViews>
    <sheetView workbookViewId="0">
      <selection activeCell="D37" sqref="D37"/>
    </sheetView>
  </sheetViews>
  <sheetFormatPr defaultRowHeight="12.75"/>
  <cols>
    <col min="1" max="2" width="20.7109375" customWidth="1"/>
    <col min="3" max="3" width="44.140625" customWidth="1"/>
    <col min="4" max="4" width="54.85546875" customWidth="1"/>
    <col min="5" max="5" width="17.42578125" bestFit="1" customWidth="1"/>
    <col min="6" max="6" width="12.140625" bestFit="1" customWidth="1"/>
    <col min="7" max="7" width="12.5703125" customWidth="1"/>
    <col min="8" max="8" width="13.7109375" customWidth="1"/>
    <col min="9" max="9" width="25.42578125" customWidth="1"/>
    <col min="10" max="10" width="15.7109375" bestFit="1" customWidth="1"/>
    <col min="11" max="11" width="15.42578125" bestFit="1" customWidth="1"/>
    <col min="12" max="12" width="14.42578125" bestFit="1" customWidth="1"/>
    <col min="13" max="13" width="14.28515625" customWidth="1"/>
    <col min="14" max="14" width="12.5703125" customWidth="1"/>
    <col min="15" max="15" width="13.28515625" bestFit="1" customWidth="1"/>
    <col min="16" max="16" width="12.140625" bestFit="1" customWidth="1"/>
    <col min="17" max="17" width="13.28515625" bestFit="1" customWidth="1"/>
    <col min="18" max="18" width="27.7109375" customWidth="1"/>
    <col min="19" max="20" width="13.28515625" bestFit="1" customWidth="1"/>
    <col min="21" max="21" width="14.42578125" bestFit="1" customWidth="1"/>
    <col min="22" max="22" width="10.7109375" customWidth="1"/>
    <col min="23" max="23" width="14" bestFit="1" customWidth="1"/>
    <col min="24" max="24" width="12.140625" bestFit="1" customWidth="1"/>
    <col min="25" max="25" width="15.42578125" bestFit="1" customWidth="1"/>
    <col min="26" max="26" width="12.42578125" bestFit="1" customWidth="1"/>
    <col min="27" max="27" width="13.28515625" bestFit="1" customWidth="1"/>
    <col min="28" max="28" width="12.28515625" bestFit="1" customWidth="1"/>
    <col min="29" max="29" width="12.5703125" bestFit="1" customWidth="1"/>
    <col min="30" max="32" width="14.28515625" bestFit="1" customWidth="1"/>
    <col min="33" max="33" width="13.7109375" bestFit="1" customWidth="1"/>
    <col min="34" max="34" width="14" bestFit="1" customWidth="1"/>
    <col min="35" max="35" width="12.85546875" bestFit="1" customWidth="1"/>
    <col min="36" max="36" width="15.28515625" bestFit="1" customWidth="1"/>
    <col min="37" max="37" width="12.28515625" bestFit="1" customWidth="1"/>
    <col min="38" max="38" width="10.85546875" bestFit="1" customWidth="1"/>
    <col min="39" max="39" width="12.28515625" bestFit="1" customWidth="1"/>
    <col min="40" max="40" width="12.5703125" bestFit="1" customWidth="1"/>
    <col min="41" max="45" width="12.85546875" customWidth="1"/>
    <col min="46" max="46" width="12.5703125" customWidth="1"/>
    <col min="47" max="47" width="12.28515625" customWidth="1"/>
    <col min="48" max="48" width="12.7109375" customWidth="1"/>
    <col min="49" max="49" width="11.85546875" customWidth="1"/>
    <col min="50" max="50" width="12.5703125" bestFit="1" customWidth="1"/>
    <col min="51" max="51" width="13.42578125" customWidth="1"/>
    <col min="52" max="52" width="15.7109375" bestFit="1" customWidth="1"/>
    <col min="53" max="53" width="11" bestFit="1" customWidth="1"/>
    <col min="54" max="54" width="16.140625" bestFit="1" customWidth="1"/>
    <col min="55" max="55" width="17.28515625" bestFit="1" customWidth="1"/>
    <col min="56" max="56" width="15" bestFit="1" customWidth="1"/>
    <col min="57" max="57" width="12.5703125" bestFit="1" customWidth="1"/>
    <col min="58" max="58" width="13.5703125" customWidth="1"/>
    <col min="59" max="60" width="14.5703125" bestFit="1" customWidth="1"/>
    <col min="61" max="61" width="14.85546875" bestFit="1" customWidth="1"/>
    <col min="62" max="62" width="15" bestFit="1" customWidth="1"/>
    <col min="63" max="63" width="13.28515625" bestFit="1" customWidth="1"/>
    <col min="64" max="64" width="14" bestFit="1" customWidth="1"/>
    <col min="65" max="65" width="13.28515625" bestFit="1" customWidth="1"/>
    <col min="66" max="66" width="11.140625" bestFit="1" customWidth="1"/>
    <col min="67" max="67" width="16.85546875" bestFit="1" customWidth="1"/>
    <col min="68" max="68" width="14.7109375" customWidth="1"/>
    <col min="69" max="69" width="12" customWidth="1"/>
    <col min="70" max="70" width="14" customWidth="1"/>
    <col min="71" max="71" width="12.5703125" customWidth="1"/>
    <col min="72" max="72" width="11.28515625" customWidth="1"/>
    <col min="73" max="73" width="14.42578125" customWidth="1"/>
    <col min="74" max="74" width="15.7109375" customWidth="1"/>
    <col min="75" max="75" width="12.85546875" customWidth="1"/>
    <col min="76" max="76" width="13" customWidth="1"/>
    <col min="77" max="77" width="11.7109375" customWidth="1"/>
    <col min="78" max="78" width="14" customWidth="1"/>
    <col min="79" max="79" width="14.85546875" customWidth="1"/>
    <col min="80" max="80" width="11.85546875" customWidth="1"/>
    <col min="81" max="81" width="13.85546875" customWidth="1"/>
    <col min="82" max="82" width="13.7109375" customWidth="1"/>
    <col min="83" max="83" width="13" customWidth="1"/>
    <col min="84" max="84" width="12.42578125" customWidth="1"/>
    <col min="85" max="85" width="13" customWidth="1"/>
    <col min="86" max="86" width="12.7109375" customWidth="1"/>
    <col min="87" max="87" width="12.42578125" customWidth="1"/>
    <col min="88" max="88" width="10.28515625" customWidth="1"/>
    <col min="89" max="93" width="9.85546875" customWidth="1"/>
    <col min="94" max="101" width="10.7109375" customWidth="1"/>
    <col min="102" max="102" width="16.5703125" customWidth="1"/>
    <col min="103" max="107" width="10.7109375" customWidth="1"/>
  </cols>
  <sheetData>
    <row r="1" spans="1:107">
      <c r="C1" s="15" t="s">
        <v>14</v>
      </c>
      <c r="D1" s="16"/>
      <c r="E1" s="16"/>
      <c r="F1" s="16"/>
      <c r="G1" s="16"/>
      <c r="H1" s="16"/>
      <c r="I1" s="16"/>
      <c r="J1" s="17"/>
      <c r="K1" s="18"/>
      <c r="L1" s="18"/>
      <c r="M1" s="18"/>
      <c r="N1" s="18"/>
      <c r="O1" s="18"/>
      <c r="P1" s="19"/>
      <c r="Q1" s="20"/>
      <c r="R1" s="19"/>
      <c r="S1" s="19"/>
      <c r="T1" s="19"/>
      <c r="U1" s="17"/>
      <c r="V1" s="17"/>
      <c r="W1" s="17"/>
      <c r="X1" s="19"/>
      <c r="Y1" s="17"/>
      <c r="Z1" s="17"/>
      <c r="AA1" s="17"/>
      <c r="AB1" s="17"/>
      <c r="AC1" s="17"/>
      <c r="AD1" s="17"/>
      <c r="AE1" s="17"/>
      <c r="AF1" s="17"/>
      <c r="AG1" s="17"/>
      <c r="AH1" s="17"/>
      <c r="AI1" s="17"/>
      <c r="AJ1" s="17"/>
      <c r="AK1" s="17"/>
      <c r="AL1" s="17"/>
      <c r="AM1" s="17"/>
      <c r="AN1" s="17"/>
      <c r="AO1" s="17"/>
      <c r="AP1" s="17"/>
      <c r="AQ1" s="17"/>
      <c r="AR1" s="21"/>
      <c r="AS1" s="17"/>
      <c r="AT1" s="17"/>
      <c r="AU1" s="17"/>
      <c r="AV1" s="17"/>
      <c r="AW1" s="17"/>
      <c r="AX1" s="21"/>
      <c r="AY1" s="17"/>
      <c r="AZ1" s="17"/>
      <c r="BA1" s="17"/>
      <c r="BB1" s="17"/>
      <c r="BC1" s="17"/>
      <c r="BD1" s="17"/>
      <c r="BE1" s="17"/>
      <c r="BF1" s="17"/>
      <c r="BG1" s="17"/>
      <c r="BH1" s="17"/>
      <c r="BI1" s="17"/>
      <c r="BJ1" s="17"/>
      <c r="BK1" s="17"/>
      <c r="BL1" s="17"/>
      <c r="BM1" s="17"/>
      <c r="BN1" s="17"/>
      <c r="BO1" s="22"/>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21"/>
      <c r="CS1" s="17"/>
      <c r="CT1" s="17"/>
      <c r="CU1" s="17"/>
      <c r="CV1" s="17"/>
      <c r="CW1" s="17"/>
      <c r="CX1" s="17"/>
      <c r="CY1" s="17"/>
      <c r="CZ1" s="17"/>
      <c r="DA1" s="17"/>
      <c r="DB1" s="17"/>
      <c r="DC1" s="17"/>
    </row>
    <row r="2" spans="1:107">
      <c r="C2" s="23" t="s">
        <v>15</v>
      </c>
      <c r="D2" s="17" t="str">
        <f>'7PSourceSummary'!D2</f>
        <v>Exterior Building Lighting</v>
      </c>
      <c r="E2" s="17"/>
      <c r="F2" s="17"/>
      <c r="G2" s="17"/>
      <c r="H2" s="17"/>
      <c r="I2" s="17"/>
      <c r="J2" s="17"/>
      <c r="K2" s="18"/>
      <c r="L2" s="18"/>
      <c r="M2" s="18"/>
      <c r="N2" s="18"/>
      <c r="O2" s="18"/>
      <c r="P2" s="19"/>
      <c r="Q2" s="19"/>
      <c r="R2" s="19"/>
      <c r="S2" s="19"/>
      <c r="T2" s="19"/>
      <c r="U2" s="17"/>
      <c r="V2" s="17"/>
      <c r="W2" s="17"/>
      <c r="X2" s="19"/>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21"/>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row>
    <row r="3" spans="1:107">
      <c r="C3" s="23" t="s">
        <v>16</v>
      </c>
      <c r="D3" s="24"/>
      <c r="E3" s="23">
        <v>2012</v>
      </c>
      <c r="F3" s="24"/>
      <c r="G3" s="24"/>
      <c r="H3" s="24"/>
      <c r="I3" s="24"/>
      <c r="J3" s="24"/>
      <c r="K3" s="24"/>
      <c r="L3" s="25"/>
      <c r="M3" s="26"/>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6"/>
      <c r="CR3" s="26"/>
      <c r="CS3" s="24"/>
      <c r="CT3" s="24"/>
      <c r="CU3" s="24"/>
      <c r="CV3" s="24"/>
      <c r="CW3" s="24"/>
      <c r="CX3" s="24"/>
      <c r="CY3" s="24"/>
      <c r="CZ3" s="24"/>
      <c r="DA3" s="24"/>
      <c r="DB3" s="24"/>
      <c r="DC3" s="24"/>
    </row>
    <row r="4" spans="1:107">
      <c r="E4" s="368" t="s">
        <v>1002</v>
      </c>
      <c r="F4" s="369"/>
      <c r="G4" s="370"/>
      <c r="H4" s="233"/>
      <c r="I4" s="370"/>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row>
    <row r="5" spans="1:107">
      <c r="C5" s="28">
        <v>1</v>
      </c>
      <c r="D5" s="28">
        <v>2</v>
      </c>
      <c r="E5" s="28">
        <v>3</v>
      </c>
      <c r="F5" s="28">
        <v>4</v>
      </c>
      <c r="G5" s="28">
        <v>5</v>
      </c>
      <c r="H5" s="28">
        <v>6</v>
      </c>
      <c r="I5" s="28">
        <v>7</v>
      </c>
      <c r="J5" s="28">
        <v>8</v>
      </c>
      <c r="K5" s="28">
        <v>9</v>
      </c>
      <c r="L5" s="28">
        <v>10</v>
      </c>
      <c r="M5" s="28">
        <v>11</v>
      </c>
      <c r="N5" s="28">
        <v>12</v>
      </c>
      <c r="O5" s="28">
        <v>13</v>
      </c>
      <c r="P5" s="28">
        <v>14</v>
      </c>
      <c r="Q5" s="28">
        <v>15</v>
      </c>
      <c r="R5" s="28">
        <v>16</v>
      </c>
      <c r="S5" s="28">
        <v>17</v>
      </c>
      <c r="T5" s="28">
        <v>18</v>
      </c>
      <c r="U5" s="28">
        <v>19</v>
      </c>
      <c r="V5" s="28">
        <v>20</v>
      </c>
      <c r="W5" s="28">
        <v>21</v>
      </c>
      <c r="X5" s="28">
        <v>22</v>
      </c>
      <c r="Y5" s="28">
        <v>23</v>
      </c>
      <c r="Z5" s="28">
        <v>24</v>
      </c>
      <c r="AA5" s="28">
        <v>25</v>
      </c>
      <c r="AB5" s="28">
        <v>26</v>
      </c>
      <c r="AC5" s="28">
        <v>27</v>
      </c>
      <c r="AD5" s="28">
        <v>28</v>
      </c>
      <c r="AE5" s="28">
        <v>29</v>
      </c>
      <c r="AF5" s="28">
        <v>30</v>
      </c>
      <c r="AG5" s="28">
        <v>31</v>
      </c>
      <c r="AH5" s="28">
        <v>32</v>
      </c>
      <c r="AI5" s="28">
        <v>33</v>
      </c>
      <c r="AJ5" s="28">
        <v>34</v>
      </c>
      <c r="AK5" s="28">
        <v>35</v>
      </c>
      <c r="AL5" s="28">
        <v>36</v>
      </c>
      <c r="AM5" s="28">
        <v>37</v>
      </c>
      <c r="AN5" s="28">
        <v>38</v>
      </c>
      <c r="AO5" s="28">
        <v>39</v>
      </c>
      <c r="AP5" s="28">
        <v>40</v>
      </c>
      <c r="AQ5" s="28">
        <v>41</v>
      </c>
      <c r="AR5" s="28">
        <v>42</v>
      </c>
      <c r="AS5" s="28">
        <v>43</v>
      </c>
      <c r="AT5" s="28">
        <v>44</v>
      </c>
      <c r="AU5" s="28">
        <v>45</v>
      </c>
      <c r="AV5" s="28">
        <v>46</v>
      </c>
      <c r="AW5" s="28">
        <v>47</v>
      </c>
      <c r="AX5" s="28">
        <v>48</v>
      </c>
      <c r="AY5" s="28">
        <v>49</v>
      </c>
      <c r="AZ5" s="28">
        <v>50</v>
      </c>
      <c r="BA5" s="28">
        <v>51</v>
      </c>
      <c r="BB5" s="28">
        <v>52</v>
      </c>
      <c r="BC5" s="28">
        <v>53</v>
      </c>
      <c r="BD5" s="28">
        <v>54</v>
      </c>
      <c r="BE5" s="28">
        <v>55</v>
      </c>
      <c r="BF5" s="28">
        <v>56</v>
      </c>
      <c r="BG5" s="28">
        <v>57</v>
      </c>
      <c r="BH5" s="28">
        <v>58</v>
      </c>
      <c r="BI5" s="28">
        <v>59</v>
      </c>
      <c r="BJ5" s="28">
        <v>60</v>
      </c>
      <c r="BK5" s="28">
        <v>61</v>
      </c>
      <c r="BL5" s="28">
        <v>62</v>
      </c>
      <c r="BM5" s="28">
        <v>63</v>
      </c>
      <c r="BN5" s="28">
        <v>64</v>
      </c>
      <c r="BO5" s="28">
        <v>65</v>
      </c>
      <c r="BP5" s="28">
        <v>66</v>
      </c>
      <c r="BQ5" s="28">
        <v>67</v>
      </c>
      <c r="BR5" s="28">
        <v>68</v>
      </c>
      <c r="BS5" s="28">
        <v>69</v>
      </c>
      <c r="BT5" s="28">
        <v>70</v>
      </c>
      <c r="BU5" s="28">
        <v>71</v>
      </c>
      <c r="BV5" s="28">
        <v>72</v>
      </c>
      <c r="BW5" s="28">
        <v>73</v>
      </c>
      <c r="BX5" s="28">
        <v>74</v>
      </c>
      <c r="BY5" s="28">
        <v>75</v>
      </c>
      <c r="BZ5" s="28">
        <v>76</v>
      </c>
      <c r="CA5" s="28">
        <v>77</v>
      </c>
      <c r="CB5" s="28">
        <v>78</v>
      </c>
      <c r="CC5" s="28">
        <v>79</v>
      </c>
      <c r="CD5" s="28">
        <v>80</v>
      </c>
      <c r="CE5" s="28">
        <v>81</v>
      </c>
      <c r="CF5" s="28">
        <v>82</v>
      </c>
      <c r="CG5" s="28">
        <v>83</v>
      </c>
      <c r="CH5" s="28">
        <v>84</v>
      </c>
      <c r="CI5" s="28">
        <v>85</v>
      </c>
      <c r="CJ5" s="28">
        <v>86</v>
      </c>
      <c r="CK5" s="28">
        <v>87</v>
      </c>
      <c r="CL5" s="28">
        <v>88</v>
      </c>
      <c r="CM5" s="28">
        <v>89</v>
      </c>
      <c r="CN5" s="28">
        <v>90</v>
      </c>
      <c r="CO5" s="28">
        <v>91</v>
      </c>
      <c r="CP5" s="28">
        <v>92</v>
      </c>
      <c r="CQ5" s="28">
        <v>93</v>
      </c>
      <c r="CR5" s="28">
        <v>94</v>
      </c>
      <c r="CS5" s="28">
        <v>95</v>
      </c>
      <c r="CT5" s="28">
        <v>96</v>
      </c>
      <c r="CU5" s="28">
        <v>97</v>
      </c>
      <c r="CV5" s="28">
        <v>98</v>
      </c>
      <c r="CW5" s="28">
        <v>99</v>
      </c>
      <c r="CX5" s="28">
        <v>100</v>
      </c>
      <c r="CY5" s="28">
        <v>101</v>
      </c>
      <c r="CZ5" s="28">
        <v>102</v>
      </c>
      <c r="DA5" s="28">
        <v>103</v>
      </c>
      <c r="DB5" s="28">
        <v>104</v>
      </c>
      <c r="DC5" s="28">
        <v>105</v>
      </c>
    </row>
    <row r="6" spans="1:107">
      <c r="C6" s="29" t="s">
        <v>17</v>
      </c>
      <c r="D6" s="30"/>
      <c r="E6" s="30"/>
      <c r="F6" s="30"/>
      <c r="G6" s="30"/>
      <c r="H6" s="30"/>
      <c r="I6" s="31"/>
      <c r="J6" s="32"/>
      <c r="K6" s="380" t="s">
        <v>18</v>
      </c>
      <c r="L6" s="381"/>
      <c r="M6" s="381"/>
      <c r="N6" s="381"/>
      <c r="O6" s="381"/>
      <c r="P6" s="382"/>
      <c r="Q6" s="383" t="s">
        <v>19</v>
      </c>
      <c r="R6" s="384"/>
      <c r="S6" s="33" t="s">
        <v>20</v>
      </c>
      <c r="T6" s="385" t="s">
        <v>21</v>
      </c>
      <c r="U6" s="385"/>
      <c r="V6" s="385"/>
      <c r="W6" s="34"/>
      <c r="X6" s="34"/>
      <c r="Y6" s="34"/>
      <c r="Z6" s="35"/>
      <c r="AA6" s="36"/>
      <c r="AB6" s="34"/>
      <c r="AC6" s="34"/>
      <c r="AD6" s="34"/>
      <c r="AE6" s="34"/>
      <c r="AF6" s="34"/>
      <c r="AG6" s="37"/>
      <c r="AH6" s="37"/>
      <c r="AI6" s="37"/>
      <c r="AJ6" s="37"/>
      <c r="AK6" s="37"/>
      <c r="AL6" s="37"/>
      <c r="AM6" s="37"/>
      <c r="AN6" s="37"/>
      <c r="AO6" s="37"/>
      <c r="AP6" s="37"/>
      <c r="AQ6" s="3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row>
    <row r="7" spans="1:107" ht="25.5">
      <c r="A7" s="232" t="s">
        <v>869</v>
      </c>
      <c r="B7" s="232" t="s">
        <v>1000</v>
      </c>
      <c r="C7" s="38" t="s">
        <v>22</v>
      </c>
      <c r="D7" s="38" t="s">
        <v>23</v>
      </c>
      <c r="E7" s="38" t="s">
        <v>24</v>
      </c>
      <c r="F7" s="38" t="s">
        <v>25</v>
      </c>
      <c r="G7" s="38" t="s">
        <v>26</v>
      </c>
      <c r="H7" s="39" t="s">
        <v>27</v>
      </c>
      <c r="I7" s="38" t="s">
        <v>28</v>
      </c>
      <c r="J7" s="40" t="s">
        <v>29</v>
      </c>
      <c r="K7" s="40" t="s">
        <v>30</v>
      </c>
      <c r="L7" s="40" t="s">
        <v>31</v>
      </c>
      <c r="M7" s="40" t="s">
        <v>32</v>
      </c>
      <c r="N7" s="40" t="s">
        <v>33</v>
      </c>
      <c r="O7" s="40" t="s">
        <v>34</v>
      </c>
      <c r="P7" s="40" t="s">
        <v>35</v>
      </c>
      <c r="Q7" s="41" t="s">
        <v>36</v>
      </c>
      <c r="R7" s="40" t="s">
        <v>28</v>
      </c>
      <c r="S7" s="42" t="s">
        <v>37</v>
      </c>
      <c r="T7" s="43" t="s">
        <v>38</v>
      </c>
      <c r="U7" s="43" t="s">
        <v>39</v>
      </c>
      <c r="V7" s="43" t="s">
        <v>40</v>
      </c>
      <c r="W7" s="44"/>
      <c r="X7" s="44"/>
      <c r="Y7" s="44"/>
      <c r="Z7" s="44"/>
      <c r="AA7" s="44"/>
      <c r="AB7" s="44"/>
      <c r="AC7" s="44"/>
      <c r="AD7" s="44"/>
      <c r="AE7" s="44"/>
      <c r="AF7" s="44"/>
      <c r="AG7" s="37"/>
      <c r="AH7" s="37"/>
      <c r="AI7" s="37"/>
      <c r="AJ7" s="37"/>
      <c r="AK7" s="37"/>
      <c r="AL7" s="37"/>
      <c r="AM7" s="37"/>
      <c r="AN7" s="37"/>
      <c r="AO7" s="37"/>
      <c r="AP7" s="37"/>
      <c r="AQ7" s="3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row>
    <row r="8" spans="1:107">
      <c r="A8" t="str">
        <f>'Savings and Cost Analysis'!AM13</f>
        <v>HPS 250W-New</v>
      </c>
      <c r="B8" s="367">
        <f>VLOOKUP(A8,CostMatrix,MATCH($B$7,'Savings and Cost Analysis'!$AM$12:$CW$12,0),FALSE)</f>
        <v>0.17511179323272733</v>
      </c>
      <c r="C8" s="45" t="str">
        <f>'Savings and Cost Analysis'!AQ13</f>
        <v>Exterior Lighting: Parking Lot - HPS 250W - New</v>
      </c>
      <c r="D8" s="45" t="str">
        <f>'Savings and Cost Analysis'!AT13</f>
        <v>Exterior Lighting: Parking Lot - HPS 250W to LED 135W - New</v>
      </c>
      <c r="E8" s="339">
        <f>'Savings and Cost Analysis'!BB13*$B8</f>
        <v>130.19651169604927</v>
      </c>
      <c r="F8" s="169">
        <f>'Savings and Cost Analysis'!BK13</f>
        <v>16.279069767441861</v>
      </c>
      <c r="G8" s="371">
        <f>'Savings and Cost Analysis'!BQ13*$B8</f>
        <v>0.35225089298694362</v>
      </c>
      <c r="H8" s="48"/>
      <c r="I8" s="49" t="str">
        <f>'Savings and Cost Analysis'!BV13</f>
        <v>S-All-Lgt-Streetlight-All-All-U</v>
      </c>
      <c r="J8" s="47"/>
      <c r="K8" s="170">
        <f>(-1)*'Savings and Cost Analysis'!BT13*$B8</f>
        <v>-4.5237213251787889</v>
      </c>
      <c r="L8" s="169">
        <f>'Savings and Cost Analysis'!BU13</f>
        <v>5.5813953488372094</v>
      </c>
      <c r="M8" s="47"/>
      <c r="N8" s="47"/>
      <c r="O8" s="47"/>
      <c r="P8" s="47"/>
      <c r="Q8" s="24"/>
      <c r="R8" s="50"/>
      <c r="S8" s="51" t="str">
        <f>'Savings and Cost Analysis'!BW13</f>
        <v>L</v>
      </c>
      <c r="T8" s="47"/>
      <c r="U8" s="47"/>
      <c r="V8" s="47"/>
      <c r="W8" s="44"/>
      <c r="X8" s="44"/>
      <c r="Y8" s="44"/>
      <c r="Z8" s="44"/>
      <c r="AA8" s="44"/>
      <c r="AB8" s="44"/>
      <c r="AC8" s="44"/>
      <c r="AD8" s="44"/>
      <c r="AE8" s="44"/>
      <c r="AF8" s="44"/>
      <c r="AG8" s="37"/>
      <c r="AH8" s="37"/>
      <c r="AI8" s="37"/>
      <c r="AJ8" s="37"/>
      <c r="AK8" s="37"/>
      <c r="AL8" s="37"/>
      <c r="AM8" s="37"/>
      <c r="AN8" s="37"/>
      <c r="AO8" s="37"/>
      <c r="AP8" s="37"/>
      <c r="AQ8" s="37"/>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row>
    <row r="9" spans="1:107">
      <c r="A9" t="str">
        <f>'Savings and Cost Analysis'!AM14</f>
        <v>MH 400W-New</v>
      </c>
      <c r="B9" s="367">
        <f>VLOOKUP(A9,CostMatrix,MATCH($B$7,'Savings and Cost Analysis'!$AM$12:$CW$12,0),FALSE)</f>
        <v>3.9599516560738408E-2</v>
      </c>
      <c r="C9" s="45" t="str">
        <f>'Savings and Cost Analysis'!AQ14</f>
        <v>Exterior Lighting: Parking Lot - MH 400W - New</v>
      </c>
      <c r="D9" s="45" t="str">
        <f>'Savings and Cost Analysis'!AT14</f>
        <v>Exterior Lighting: Parking Lot - MH 400W to LED 180W - New</v>
      </c>
      <c r="E9" s="339">
        <f>'Savings and Cost Analysis'!BB14*$B9</f>
        <v>51.403081848075573</v>
      </c>
      <c r="F9" s="169">
        <f>'Savings and Cost Analysis'!BK14</f>
        <v>16.279069767441861</v>
      </c>
      <c r="G9" s="371">
        <f>'Savings and Cost Analysis'!BQ14*$B9</f>
        <v>5.3072521232113603</v>
      </c>
      <c r="H9" s="48"/>
      <c r="I9" s="49" t="str">
        <f>'Savings and Cost Analysis'!BV14</f>
        <v>S-All-Lgt-Streetlight-All-All-U</v>
      </c>
      <c r="J9" s="24"/>
      <c r="K9" s="170">
        <f>(-1)*'Savings and Cost Analysis'!BT14*$B9</f>
        <v>-1.141786060834624</v>
      </c>
      <c r="L9" s="169">
        <f>'Savings and Cost Analysis'!BU14</f>
        <v>3.7209302325581395</v>
      </c>
      <c r="M9" s="24"/>
      <c r="N9" s="24"/>
      <c r="O9" s="24"/>
      <c r="P9" s="24"/>
      <c r="Q9" s="24"/>
      <c r="R9" s="50"/>
      <c r="S9" s="51" t="str">
        <f>'Savings and Cost Analysis'!BW14</f>
        <v>L</v>
      </c>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row>
    <row r="10" spans="1:107">
      <c r="A10" t="str">
        <f>'Savings and Cost Analysis'!AM15</f>
        <v>MH 1000W-New</v>
      </c>
      <c r="B10" s="367">
        <f>VLOOKUP(A10,CostMatrix,MATCH($B$7,'Savings and Cost Analysis'!$AM$12:$CW$12,0),FALSE)</f>
        <v>1.9785358456165295E-3</v>
      </c>
      <c r="C10" s="45" t="str">
        <f>'Savings and Cost Analysis'!AQ15</f>
        <v>Exterior Lighting: Parking Lot - MH 1000W - New</v>
      </c>
      <c r="D10" s="45" t="str">
        <f>'Savings and Cost Analysis'!AT15</f>
        <v>Exterior Lighting: Parking Lot - MH 1000W to LED 421W - New</v>
      </c>
      <c r="E10" s="339">
        <f>'Savings and Cost Analysis'!BB15*$B10</f>
        <v>6.2518603404583653</v>
      </c>
      <c r="F10" s="169">
        <f>'Savings and Cost Analysis'!BK15</f>
        <v>16.279069767441861</v>
      </c>
      <c r="G10" s="371">
        <f>'Savings and Cost Analysis'!BQ15*$B10</f>
        <v>1.0527185054529571</v>
      </c>
      <c r="H10" s="48"/>
      <c r="I10" s="49" t="str">
        <f>'Savings and Cost Analysis'!BV15</f>
        <v>S-All-Lgt-Streetlight-All-All-U</v>
      </c>
      <c r="J10" s="24"/>
      <c r="K10" s="170">
        <f>(-1)*'Savings and Cost Analysis'!BT15*$B10</f>
        <v>-6.1004855239842989E-2</v>
      </c>
      <c r="L10" s="169">
        <f>'Savings and Cost Analysis'!BU15</f>
        <v>3.7209302325581395</v>
      </c>
      <c r="M10" s="24"/>
      <c r="N10" s="24"/>
      <c r="O10" s="24"/>
      <c r="P10" s="24"/>
      <c r="Q10" s="24"/>
      <c r="R10" s="50"/>
      <c r="S10" s="51" t="str">
        <f>'Savings and Cost Analysis'!BW15</f>
        <v>L</v>
      </c>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row>
    <row r="11" spans="1:107">
      <c r="A11" t="str">
        <f>'Savings and Cost Analysis'!AM16</f>
        <v>HPS 250W-NR</v>
      </c>
      <c r="B11" s="367">
        <f>VLOOKUP(A11,CostMatrix,MATCH($B$7,'Savings and Cost Analysis'!$AM$12:$CW$12,0),FALSE)</f>
        <v>0.17511179323272733</v>
      </c>
      <c r="C11" s="45" t="str">
        <f>'Savings and Cost Analysis'!AQ16</f>
        <v>Exterior Lighting: Parking Lot - HPS 250W - NR</v>
      </c>
      <c r="D11" s="45" t="str">
        <f>'Savings and Cost Analysis'!AT16</f>
        <v>Exterior Lighting: Parking Lot - HPS 250W to LED 135W - NR</v>
      </c>
      <c r="E11" s="339">
        <f>'Savings and Cost Analysis'!BB16*$B11</f>
        <v>130.19651169604927</v>
      </c>
      <c r="F11" s="169">
        <f>'Savings and Cost Analysis'!BK16</f>
        <v>16.279069767441861</v>
      </c>
      <c r="G11" s="371">
        <f>'Savings and Cost Analysis'!BQ16*$B11</f>
        <v>31.358712414728529</v>
      </c>
      <c r="H11" s="24"/>
      <c r="I11" s="49" t="str">
        <f>'Savings and Cost Analysis'!BV16</f>
        <v>S-All-Lgt-Streetlight-All-All-U</v>
      </c>
      <c r="J11" s="24"/>
      <c r="K11" s="170">
        <f>(-1)*'Savings and Cost Analysis'!BT16*$B11</f>
        <v>-4.5237213251787889</v>
      </c>
      <c r="L11" s="169">
        <f>'Savings and Cost Analysis'!BU16</f>
        <v>5.5813953488372094</v>
      </c>
      <c r="M11" s="24"/>
      <c r="N11" s="24"/>
      <c r="O11" s="24"/>
      <c r="P11" s="24"/>
      <c r="Q11" s="24"/>
      <c r="R11" s="24"/>
      <c r="S11" s="51" t="str">
        <f>'Savings and Cost Analysis'!BW16</f>
        <v>L</v>
      </c>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row>
    <row r="12" spans="1:107">
      <c r="A12" t="str">
        <f>'Savings and Cost Analysis'!AM17</f>
        <v>MH 400W-NR</v>
      </c>
      <c r="B12" s="367">
        <f>VLOOKUP(A12,CostMatrix,MATCH($B$7,'Savings and Cost Analysis'!$AM$12:$CW$12,0),FALSE)</f>
        <v>3.9599516560738408E-2</v>
      </c>
      <c r="C12" s="45" t="str">
        <f>'Savings and Cost Analysis'!AQ17</f>
        <v>Exterior Lighting: Parking Lot - MH 400W - NR</v>
      </c>
      <c r="D12" s="45" t="str">
        <f>'Savings and Cost Analysis'!AT17</f>
        <v>Exterior Lighting: Parking Lot - MH 400W to LED 180W - NR</v>
      </c>
      <c r="E12" s="339">
        <f>'Savings and Cost Analysis'!BB17*$B12</f>
        <v>51.403081848075573</v>
      </c>
      <c r="F12" s="169">
        <f>'Savings and Cost Analysis'!BK17</f>
        <v>16.279069767441861</v>
      </c>
      <c r="G12" s="371">
        <f>'Savings and Cost Analysis'!BQ17*$B12</f>
        <v>13.388193469372712</v>
      </c>
      <c r="H12" s="24"/>
      <c r="I12" s="49" t="str">
        <f>'Savings and Cost Analysis'!BV17</f>
        <v>S-All-Lgt-Streetlight-All-All-U</v>
      </c>
      <c r="J12" s="24"/>
      <c r="K12" s="170">
        <f>(-1)*'Savings and Cost Analysis'!BT17*$B12</f>
        <v>-1.141786060834624</v>
      </c>
      <c r="L12" s="169">
        <f>'Savings and Cost Analysis'!BU17</f>
        <v>3.7209302325581395</v>
      </c>
      <c r="M12" s="24"/>
      <c r="N12" s="24"/>
      <c r="O12" s="24"/>
      <c r="P12" s="24"/>
      <c r="Q12" s="24"/>
      <c r="R12" s="24"/>
      <c r="S12" s="51" t="str">
        <f>'Savings and Cost Analysis'!BW17</f>
        <v>L</v>
      </c>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row>
    <row r="13" spans="1:107">
      <c r="A13" t="str">
        <f>'Savings and Cost Analysis'!AM18</f>
        <v>MH 1000W-NR</v>
      </c>
      <c r="B13" s="367">
        <f>VLOOKUP(A13,CostMatrix,MATCH($B$7,'Savings and Cost Analysis'!$AM$12:$CW$12,0),FALSE)</f>
        <v>1.9785358456165295E-3</v>
      </c>
      <c r="C13" s="45" t="str">
        <f>'Savings and Cost Analysis'!AQ18</f>
        <v>Exterior Lighting: Parking Lot - MH 1000W - NR</v>
      </c>
      <c r="D13" s="45" t="str">
        <f>'Savings and Cost Analysis'!AT18</f>
        <v>Exterior Lighting: Parking Lot - MH 1000W to LED 421W - NR</v>
      </c>
      <c r="E13" s="339">
        <f>'Savings and Cost Analysis'!BB18*$B13</f>
        <v>6.2518603404583653</v>
      </c>
      <c r="F13" s="169">
        <f>'Savings and Cost Analysis'!BK18</f>
        <v>16.279069767441861</v>
      </c>
      <c r="G13" s="371">
        <f>'Savings and Cost Analysis'!BQ18*$B13</f>
        <v>1.947148610061336</v>
      </c>
      <c r="H13" s="24"/>
      <c r="I13" s="49" t="str">
        <f>'Savings and Cost Analysis'!BV18</f>
        <v>S-All-Lgt-Streetlight-All-All-U</v>
      </c>
      <c r="J13" s="24"/>
      <c r="K13" s="170">
        <f>(-1)*'Savings and Cost Analysis'!BT18*$B13</f>
        <v>-6.1004855239842989E-2</v>
      </c>
      <c r="L13" s="169">
        <f>'Savings and Cost Analysis'!BU18</f>
        <v>3.7209302325581395</v>
      </c>
      <c r="M13" s="24"/>
      <c r="N13" s="24"/>
      <c r="O13" s="24"/>
      <c r="P13" s="24"/>
      <c r="Q13" s="24"/>
      <c r="R13" s="24"/>
      <c r="S13" s="51" t="str">
        <f>'Savings and Cost Analysis'!BW18</f>
        <v>L</v>
      </c>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row>
    <row r="14" spans="1:107">
      <c r="A14" t="str">
        <f>'Savings and Cost Analysis'!AM19</f>
        <v>HPS 250W-Retro</v>
      </c>
      <c r="B14" s="367">
        <f>VLOOKUP(A14,CostMatrix,MATCH($B$7,'Savings and Cost Analysis'!$AM$12:$CW$12,0),FALSE)</f>
        <v>0.17511179323272733</v>
      </c>
      <c r="C14" s="45" t="str">
        <f>'Savings and Cost Analysis'!AQ19</f>
        <v>Exterior Lighting: Parking Lot - HPS 250W - Retro</v>
      </c>
      <c r="D14" s="45" t="str">
        <f>'Savings and Cost Analysis'!AT19</f>
        <v>Exterior Lighting: Parking Lot - HPS 250W to LED 135W - Retro</v>
      </c>
      <c r="E14" s="339">
        <f>'Savings and Cost Analysis'!BB19*$B14</f>
        <v>130.19651169604927</v>
      </c>
      <c r="F14" s="169">
        <f>'Savings and Cost Analysis'!BK19</f>
        <v>16.279069767441861</v>
      </c>
      <c r="G14" s="371">
        <f>'Savings and Cost Analysis'!BQ19*$B14</f>
        <v>35.88243373990732</v>
      </c>
      <c r="I14" s="49" t="str">
        <f>'Savings and Cost Analysis'!BV19</f>
        <v>S-All-Lgt-Streetlight-All-All-U</v>
      </c>
      <c r="K14" s="170">
        <f>(-1)*'Savings and Cost Analysis'!BT19*$B14</f>
        <v>-4.5237213251787889</v>
      </c>
      <c r="L14" s="169">
        <f>'Savings and Cost Analysis'!BU19</f>
        <v>5.5813953488372094</v>
      </c>
      <c r="S14" s="51" t="str">
        <f>'Savings and Cost Analysis'!BW19</f>
        <v>R</v>
      </c>
    </row>
    <row r="15" spans="1:107">
      <c r="A15" t="str">
        <f>'Savings and Cost Analysis'!AM20</f>
        <v>MH 400W-Retro</v>
      </c>
      <c r="B15" s="367">
        <f>VLOOKUP(A15,CostMatrix,MATCH($B$7,'Savings and Cost Analysis'!$AM$12:$CW$12,0),FALSE)</f>
        <v>3.9599516560738408E-2</v>
      </c>
      <c r="C15" s="45" t="str">
        <f>'Savings and Cost Analysis'!AQ20</f>
        <v>Exterior Lighting: Parking Lot - MH 400W - Retro</v>
      </c>
      <c r="D15" s="45" t="str">
        <f>'Savings and Cost Analysis'!AT20</f>
        <v>Exterior Lighting: Parking Lot - MH 400W to LED 180W - Retro</v>
      </c>
      <c r="E15" s="339">
        <f>'Savings and Cost Analysis'!BB20*$B15</f>
        <v>51.403081848075573</v>
      </c>
      <c r="F15" s="169">
        <f>'Savings and Cost Analysis'!BK20</f>
        <v>16.279069767441861</v>
      </c>
      <c r="G15" s="371">
        <f>'Savings and Cost Analysis'!BQ20*$B15</f>
        <v>14.529979530207335</v>
      </c>
      <c r="I15" s="49" t="str">
        <f>'Savings and Cost Analysis'!BV20</f>
        <v>S-All-Lgt-Streetlight-All-All-U</v>
      </c>
      <c r="K15" s="170">
        <f>(-1)*'Savings and Cost Analysis'!BT20*$B15</f>
        <v>-1.141786060834624</v>
      </c>
      <c r="L15" s="169">
        <f>'Savings and Cost Analysis'!BU20</f>
        <v>3.7209302325581395</v>
      </c>
      <c r="S15" s="51" t="str">
        <f>'Savings and Cost Analysis'!BW20</f>
        <v>R</v>
      </c>
    </row>
    <row r="16" spans="1:107">
      <c r="A16" t="str">
        <f>'Savings and Cost Analysis'!AM21</f>
        <v>MH 1000W-Retro</v>
      </c>
      <c r="B16" s="367">
        <f>VLOOKUP(A16,CostMatrix,MATCH($B$7,'Savings and Cost Analysis'!$AM$12:$CW$12,0),FALSE)</f>
        <v>1.9785358456165295E-3</v>
      </c>
      <c r="C16" s="45" t="str">
        <f>'Savings and Cost Analysis'!AQ21</f>
        <v>Exterior Lighting: Parking Lot - MH 1000W - Retro</v>
      </c>
      <c r="D16" s="45" t="str">
        <f>'Savings and Cost Analysis'!AT21</f>
        <v>Exterior Lighting: Parking Lot - MH 1000W to LED 421W - Retro</v>
      </c>
      <c r="E16" s="339">
        <f>'Savings and Cost Analysis'!BB21*$B16</f>
        <v>6.2518603404583653</v>
      </c>
      <c r="F16" s="169">
        <f>'Savings and Cost Analysis'!BK21</f>
        <v>16.279069767441861</v>
      </c>
      <c r="G16" s="371">
        <f>'Savings and Cost Analysis'!BQ21*$B16</f>
        <v>2.008153465301179</v>
      </c>
      <c r="I16" s="49" t="str">
        <f>'Savings and Cost Analysis'!BV21</f>
        <v>S-All-Lgt-Streetlight-All-All-U</v>
      </c>
      <c r="K16" s="170">
        <f>(-1)*'Savings and Cost Analysis'!BT21*$B16</f>
        <v>-6.1004855239842989E-2</v>
      </c>
      <c r="L16" s="169">
        <f>'Savings and Cost Analysis'!BU21</f>
        <v>3.7209302325581395</v>
      </c>
      <c r="S16" s="51" t="str">
        <f>'Savings and Cost Analysis'!BW21</f>
        <v>R</v>
      </c>
    </row>
    <row r="17" spans="1:19">
      <c r="A17" t="str">
        <f>'Savings and Cost Analysis'!AM22</f>
        <v>HID 150W-New</v>
      </c>
      <c r="B17" s="367">
        <f>VLOOKUP(A17,CostMatrix,MATCH($B$7,'Savings and Cost Analysis'!$AM$12:$CW$12,0),FALSE)</f>
        <v>0.10307864807900002</v>
      </c>
      <c r="C17" s="45" t="str">
        <f>'Savings and Cost Analysis'!AQ22</f>
        <v>Exterior Lighting: Façade - HID 150W - New</v>
      </c>
      <c r="D17" s="45" t="str">
        <f>'Savings and Cost Analysis'!AT22</f>
        <v>Exterior Lighting: Façade - HID 150W to LED 27W - New</v>
      </c>
      <c r="E17" s="339">
        <f>'Savings and Cost Analysis'!BB22*$B17</f>
        <v>66.935750455655011</v>
      </c>
      <c r="F17" s="169">
        <f>'Savings and Cost Analysis'!BK22</f>
        <v>16.744186046511629</v>
      </c>
      <c r="G17" s="371">
        <f>'Savings and Cost Analysis'!BQ22*$B17</f>
        <v>0.75267609869364605</v>
      </c>
      <c r="I17" s="49" t="str">
        <f>'Savings and Cost Analysis'!BV22</f>
        <v>S-All-Lgt-Streetlight-All-All-U</v>
      </c>
      <c r="K17" s="170">
        <f>(-1)*'Savings and Cost Analysis'!BT22*$B17</f>
        <v>-4.3120382329557554</v>
      </c>
      <c r="L17" s="169">
        <f>'Savings and Cost Analysis'!BU22</f>
        <v>5.5813953488372094</v>
      </c>
      <c r="S17" s="51" t="str">
        <f>'Savings and Cost Analysis'!BW22</f>
        <v>L</v>
      </c>
    </row>
    <row r="18" spans="1:19">
      <c r="A18" t="str">
        <f>'Savings and Cost Analysis'!AM23</f>
        <v>HID 400W-New</v>
      </c>
      <c r="B18" s="367">
        <f>VLOOKUP(A18,CostMatrix,MATCH($B$7,'Savings and Cost Analysis'!$AM$12:$CW$12,0),FALSE)</f>
        <v>1.7972880058664389E-2</v>
      </c>
      <c r="C18" s="45" t="str">
        <f>'Savings and Cost Analysis'!AQ23</f>
        <v>Exterior Lighting: Façade - HID 400W - New</v>
      </c>
      <c r="D18" s="45" t="str">
        <f>'Savings and Cost Analysis'!AT23</f>
        <v>Exterior Lighting: Façade - HID 400W to LED 82W - New</v>
      </c>
      <c r="E18" s="339">
        <f>'Savings and Cost Analysis'!BB23*$B18</f>
        <v>28.880984703126135</v>
      </c>
      <c r="F18" s="169">
        <f>'Savings and Cost Analysis'!BK23</f>
        <v>16.744186046511629</v>
      </c>
      <c r="G18" s="371">
        <f>'Savings and Cost Analysis'!BQ23*$B18</f>
        <v>0.93212841418794667</v>
      </c>
      <c r="I18" s="49" t="str">
        <f>'Savings and Cost Analysis'!BV23</f>
        <v>S-All-Lgt-Streetlight-All-All-U</v>
      </c>
      <c r="K18" s="170">
        <f>(-1)*'Savings and Cost Analysis'!BT23*$B18</f>
        <v>-0.70569423195622161</v>
      </c>
      <c r="L18" s="169">
        <f>'Savings and Cost Analysis'!BU23</f>
        <v>3.7209302325581395</v>
      </c>
      <c r="S18" s="51" t="str">
        <f>'Savings and Cost Analysis'!BW23</f>
        <v>L</v>
      </c>
    </row>
    <row r="19" spans="1:19">
      <c r="A19" t="str">
        <f>'Savings and Cost Analysis'!AM24</f>
        <v>HID 150W-NR</v>
      </c>
      <c r="B19" s="367">
        <f>VLOOKUP(A19,CostMatrix,MATCH($B$7,'Savings and Cost Analysis'!$AM$12:$CW$12,0),FALSE)</f>
        <v>0.10307864807900002</v>
      </c>
      <c r="C19" s="45" t="str">
        <f>'Savings and Cost Analysis'!AQ24</f>
        <v>Exterior Lighting: Façade - HID 150W - NR</v>
      </c>
      <c r="D19" s="45" t="str">
        <f>'Savings and Cost Analysis'!AT24</f>
        <v>Exterior Lighting: Façade - HID 150W to LED 27W - NR</v>
      </c>
      <c r="E19" s="339">
        <f>'Savings and Cost Analysis'!BB24*$B19</f>
        <v>66.935750455655011</v>
      </c>
      <c r="F19" s="169">
        <f>'Savings and Cost Analysis'!BK24</f>
        <v>16.744186046511629</v>
      </c>
      <c r="G19" s="371">
        <f>'Savings and Cost Analysis'!BQ24*$B19</f>
        <v>19.271398161973615</v>
      </c>
      <c r="I19" s="49" t="str">
        <f>'Savings and Cost Analysis'!BV24</f>
        <v>S-All-Lgt-Streetlight-All-All-U</v>
      </c>
      <c r="K19" s="170">
        <f>(-1)*'Savings and Cost Analysis'!BT24*$B19</f>
        <v>-4.3120382329557554</v>
      </c>
      <c r="L19" s="169">
        <f>'Savings and Cost Analysis'!BU24</f>
        <v>5.5813953488372094</v>
      </c>
      <c r="S19" s="51" t="str">
        <f>'Savings and Cost Analysis'!BW24</f>
        <v>L</v>
      </c>
    </row>
    <row r="20" spans="1:19">
      <c r="A20" t="str">
        <f>'Savings and Cost Analysis'!AM25</f>
        <v>HID 400W-NR</v>
      </c>
      <c r="B20" s="367">
        <f>VLOOKUP(A20,CostMatrix,MATCH($B$7,'Savings and Cost Analysis'!$AM$12:$CW$12,0),FALSE)</f>
        <v>1.7972880058664389E-2</v>
      </c>
      <c r="C20" s="45" t="str">
        <f>'Savings and Cost Analysis'!AQ25</f>
        <v>Exterior Lighting: Façade - HID 400W - NR</v>
      </c>
      <c r="D20" s="45" t="str">
        <f>'Savings and Cost Analysis'!AT25</f>
        <v>Exterior Lighting: Façade - HID 400W to LED 82W - NR</v>
      </c>
      <c r="E20" s="339">
        <f>'Savings and Cost Analysis'!BB25*$B20</f>
        <v>28.880984703126135</v>
      </c>
      <c r="F20" s="169">
        <f>'Savings and Cost Analysis'!BK25</f>
        <v>16.744186046511629</v>
      </c>
      <c r="G20" s="371">
        <f>'Savings and Cost Analysis'!BQ25*$B20</f>
        <v>5.9720678877064044</v>
      </c>
      <c r="I20" s="49" t="str">
        <f>'Savings and Cost Analysis'!BV25</f>
        <v>S-All-Lgt-Streetlight-All-All-U</v>
      </c>
      <c r="K20" s="170">
        <f>(-1)*'Savings and Cost Analysis'!BT25*$B20</f>
        <v>-0.70569423195622161</v>
      </c>
      <c r="L20" s="169">
        <f>'Savings and Cost Analysis'!BU25</f>
        <v>3.7209302325581395</v>
      </c>
      <c r="S20" s="51" t="str">
        <f>'Savings and Cost Analysis'!BW25</f>
        <v>L</v>
      </c>
    </row>
    <row r="21" spans="1:19">
      <c r="A21" t="str">
        <f>'Savings and Cost Analysis'!AM26</f>
        <v>HID 150W-Retro</v>
      </c>
      <c r="B21" s="367">
        <f>VLOOKUP(A21,CostMatrix,MATCH($B$7,'Savings and Cost Analysis'!$AM$12:$CW$12,0),FALSE)</f>
        <v>0.10307864807900002</v>
      </c>
      <c r="C21" s="45" t="str">
        <f>'Savings and Cost Analysis'!AQ26</f>
        <v>Exterior Lighting: Façade - HID 150W - Retro</v>
      </c>
      <c r="D21" s="45" t="str">
        <f>'Savings and Cost Analysis'!AT26</f>
        <v>Exterior Lighting: Façade - HID 150W to LED 27W - Retro</v>
      </c>
      <c r="E21" s="339">
        <f>'Savings and Cost Analysis'!BB26*$B21</f>
        <v>66.935750455655011</v>
      </c>
      <c r="F21" s="169">
        <f>'Savings and Cost Analysis'!BK26</f>
        <v>16.744186046511629</v>
      </c>
      <c r="G21" s="371">
        <f>'Savings and Cost Analysis'!BQ26*$B21</f>
        <v>23.583436394929375</v>
      </c>
      <c r="I21" s="49" t="str">
        <f>'Savings and Cost Analysis'!BV26</f>
        <v>S-All-Lgt-Streetlight-All-All-U</v>
      </c>
      <c r="K21" s="170">
        <f>(-1)*'Savings and Cost Analysis'!BT26*$B21</f>
        <v>-4.3120382329557554</v>
      </c>
      <c r="L21" s="169">
        <f>'Savings and Cost Analysis'!BU26</f>
        <v>5.5813953488372094</v>
      </c>
      <c r="S21" s="51" t="str">
        <f>'Savings and Cost Analysis'!BW26</f>
        <v>R</v>
      </c>
    </row>
    <row r="22" spans="1:19">
      <c r="A22" t="str">
        <f>'Savings and Cost Analysis'!AM27</f>
        <v>HID 400W-Retro</v>
      </c>
      <c r="B22" s="367">
        <f>VLOOKUP(A22,CostMatrix,MATCH($B$7,'Savings and Cost Analysis'!$AM$12:$CW$12,0),FALSE)</f>
        <v>1.7972880058664389E-2</v>
      </c>
      <c r="C22" s="45" t="str">
        <f>'Savings and Cost Analysis'!AQ27</f>
        <v>Exterior Lighting: Façade - HID 400W - Retro</v>
      </c>
      <c r="D22" s="45" t="str">
        <f>'Savings and Cost Analysis'!AT27</f>
        <v>Exterior Lighting: Façade - HID 400W to LED 82W - Retro</v>
      </c>
      <c r="E22" s="339">
        <f>'Savings and Cost Analysis'!BB27*$B22</f>
        <v>28.880984703126135</v>
      </c>
      <c r="F22" s="169">
        <f>'Savings and Cost Analysis'!BK27</f>
        <v>16.744186046511629</v>
      </c>
      <c r="G22" s="371">
        <f>'Savings and Cost Analysis'!BQ27*$B22</f>
        <v>6.677762119662626</v>
      </c>
      <c r="I22" s="49" t="str">
        <f>'Savings and Cost Analysis'!BV27</f>
        <v>S-All-Lgt-Streetlight-All-All-U</v>
      </c>
      <c r="K22" s="170">
        <f>(-1)*'Savings and Cost Analysis'!BT27*$B22</f>
        <v>-0.70569423195622161</v>
      </c>
      <c r="L22" s="169">
        <f>'Savings and Cost Analysis'!BU27</f>
        <v>3.7209302325581395</v>
      </c>
      <c r="S22" s="51" t="str">
        <f>'Savings and Cost Analysis'!BW27</f>
        <v>R</v>
      </c>
    </row>
    <row r="23" spans="1:19">
      <c r="A23" t="str">
        <f>'Savings and Cost Analysis'!AM28</f>
        <v>HID 150W-New</v>
      </c>
      <c r="B23" s="367">
        <f>VLOOKUP(A23,CostMatrix,MATCH($B$7,'Savings and Cost Analysis'!$AM$12:$CW$12,0),FALSE)</f>
        <v>0.10307864807900002</v>
      </c>
      <c r="C23" s="45" t="str">
        <f>'Savings and Cost Analysis'!AQ28</f>
        <v>Exterior Lighting: Walkway - HID 150W - New</v>
      </c>
      <c r="D23" s="45" t="str">
        <f>'Savings and Cost Analysis'!AT28</f>
        <v>Exterior Lighting: Walkway - HID 150W to LED 28W - New</v>
      </c>
      <c r="E23" s="339">
        <f>'Savings and Cost Analysis'!BB28*$B23</f>
        <v>66.781973941888168</v>
      </c>
      <c r="F23" s="169">
        <f>'Savings and Cost Analysis'!BK28</f>
        <v>16.744186046511629</v>
      </c>
      <c r="G23" s="371">
        <f>'Savings and Cost Analysis'!BQ28*$B23</f>
        <v>0.68761315445724391</v>
      </c>
      <c r="I23" s="49" t="str">
        <f>'Savings and Cost Analysis'!BV28</f>
        <v>S-All-Lgt-Streetlight-All-All-U</v>
      </c>
      <c r="K23" s="170">
        <f>(-1)*'Savings and Cost Analysis'!BT28*$B23</f>
        <v>-4.0543416127582557</v>
      </c>
      <c r="L23" s="169">
        <f>'Savings and Cost Analysis'!BU28</f>
        <v>5.5813953488372094</v>
      </c>
      <c r="S23" s="51" t="str">
        <f>'Savings and Cost Analysis'!BW28</f>
        <v>L</v>
      </c>
    </row>
    <row r="24" spans="1:19">
      <c r="A24" t="str">
        <f>'Savings and Cost Analysis'!AM29</f>
        <v>CFL 26W-New</v>
      </c>
      <c r="B24" s="367">
        <f>VLOOKUP(A24,CostMatrix,MATCH($B$7,'Savings and Cost Analysis'!$AM$12:$CW$12,0),FALSE)</f>
        <v>3.3875741585912798E-2</v>
      </c>
      <c r="C24" s="45" t="str">
        <f>'Savings and Cost Analysis'!AQ29</f>
        <v>Exterior Lighting: Walkway - CFL 26W - New</v>
      </c>
      <c r="D24" s="45" t="str">
        <f>'Savings and Cost Analysis'!AT29</f>
        <v>Exterior Lighting: Walkway - CFL 26W to LED 12W - New</v>
      </c>
      <c r="E24" s="339">
        <f>'Savings and Cost Analysis'!BB29*$B24</f>
        <v>2.3112289292682102</v>
      </c>
      <c r="F24" s="169">
        <f>'Savings and Cost Analysis'!BK29</f>
        <v>6.6762790697674417</v>
      </c>
      <c r="G24" s="371">
        <f>'Savings and Cost Analysis'!BQ29*$B24</f>
        <v>0.13553311531055059</v>
      </c>
      <c r="I24" s="49" t="str">
        <f>'Savings and Cost Analysis'!BV29</f>
        <v>S-All-Lgt-Streetlight-All-All-U</v>
      </c>
      <c r="K24" s="170">
        <f>(-1)*'Savings and Cost Analysis'!BT29*$B24</f>
        <v>-0.33142343072491642</v>
      </c>
      <c r="L24" s="169">
        <f>'Savings and Cost Analysis'!BU29</f>
        <v>2.3255813953488373</v>
      </c>
      <c r="S24" s="51" t="str">
        <f>'Savings and Cost Analysis'!BW29</f>
        <v>L</v>
      </c>
    </row>
    <row r="25" spans="1:19">
      <c r="A25" t="str">
        <f>'Savings and Cost Analysis'!AM30</f>
        <v>INC 75W-New</v>
      </c>
      <c r="B25" s="367">
        <f>VLOOKUP(A25,CostMatrix,MATCH($B$7,'Savings and Cost Analysis'!$AM$12:$CW$12,0),FALSE)</f>
        <v>6.150829076602693E-3</v>
      </c>
      <c r="C25" s="45" t="str">
        <f>'Savings and Cost Analysis'!AQ30</f>
        <v>Exterior Lighting: Walkway - INC 75W - New</v>
      </c>
      <c r="D25" s="45" t="str">
        <f>'Savings and Cost Analysis'!AT30</f>
        <v>Exterior Lighting: Walkway - INC 75W to LED 12W - New</v>
      </c>
      <c r="E25" s="339">
        <f>'Savings and Cost Analysis'!BB30*$B25</f>
        <v>1.7156302515732005</v>
      </c>
      <c r="F25" s="169">
        <f>'Savings and Cost Analysis'!BK30</f>
        <v>6.6762790697674417</v>
      </c>
      <c r="G25" s="371">
        <f>'Savings and Cost Analysis'!BQ30*$B25</f>
        <v>2.9394812076628273E-2</v>
      </c>
      <c r="I25" s="49" t="str">
        <f>'Savings and Cost Analysis'!BV30</f>
        <v>S-All-Lgt-Streetlight-All-All-U</v>
      </c>
      <c r="K25" s="170">
        <f>(-1)*'Savings and Cost Analysis'!BT30*$B25</f>
        <v>-5.5390635160910709E-2</v>
      </c>
      <c r="L25" s="169">
        <f>'Savings and Cost Analysis'!BU30</f>
        <v>0.23255813953488372</v>
      </c>
      <c r="S25" s="51" t="str">
        <f>'Savings and Cost Analysis'!BW30</f>
        <v>L</v>
      </c>
    </row>
    <row r="26" spans="1:19">
      <c r="A26" t="str">
        <f>'Savings and Cost Analysis'!AM31</f>
        <v>HID 150W-NR</v>
      </c>
      <c r="B26" s="367">
        <f>VLOOKUP(A26,CostMatrix,MATCH($B$7,'Savings and Cost Analysis'!$AM$12:$CW$12,0),FALSE)</f>
        <v>0.10307864807900002</v>
      </c>
      <c r="C26" s="45" t="str">
        <f>'Savings and Cost Analysis'!AQ31</f>
        <v>Exterior Lighting: Walkway - HID 150W - NR</v>
      </c>
      <c r="D26" s="45" t="str">
        <f>'Savings and Cost Analysis'!AT31</f>
        <v>Exterior Lighting: Walkway - HID 150W to LED 29W - NR</v>
      </c>
      <c r="E26" s="339">
        <f>'Savings and Cost Analysis'!BB31*$B26</f>
        <v>65.987461954092865</v>
      </c>
      <c r="F26" s="169">
        <f>'Savings and Cost Analysis'!BK31</f>
        <v>14.186046511627907</v>
      </c>
      <c r="G26" s="371">
        <f>'Savings and Cost Analysis'!BQ31*$B26</f>
        <v>15.900946569337281</v>
      </c>
      <c r="I26" s="49" t="str">
        <f>'Savings and Cost Analysis'!BV31</f>
        <v>S-All-Lgt-Streetlight-All-All-U</v>
      </c>
      <c r="K26" s="170">
        <f>(-1)*'Savings and Cost Analysis'!BT31*$B26</f>
        <v>-4.0543416127582557</v>
      </c>
      <c r="L26" s="169">
        <f>'Savings and Cost Analysis'!BU31</f>
        <v>5.5813953488372094</v>
      </c>
      <c r="S26" s="51" t="str">
        <f>'Savings and Cost Analysis'!BW31</f>
        <v>L</v>
      </c>
    </row>
    <row r="27" spans="1:19">
      <c r="A27" t="str">
        <f>'Savings and Cost Analysis'!AM32</f>
        <v>CFL 26W-NR</v>
      </c>
      <c r="B27" s="367">
        <f>VLOOKUP(A27,CostMatrix,MATCH($B$7,'Savings and Cost Analysis'!$AM$12:$CW$12,0),FALSE)</f>
        <v>3.3875741585912798E-2</v>
      </c>
      <c r="C27" s="45" t="str">
        <f>'Savings and Cost Analysis'!AQ32</f>
        <v>Exterior Lighting: Walkway - CFL 26W - NR</v>
      </c>
      <c r="D27" s="45" t="str">
        <f>'Savings and Cost Analysis'!AT32</f>
        <v>Exterior Lighting: Walkway - CFL 26W to LED 12W - NR</v>
      </c>
      <c r="E27" s="339">
        <f>'Savings and Cost Analysis'!BB32*$B27</f>
        <v>2.3112289292682102</v>
      </c>
      <c r="F27" s="169">
        <f>'Savings and Cost Analysis'!BK32</f>
        <v>6.6762790697674417</v>
      </c>
      <c r="G27" s="371">
        <f>'Savings and Cost Analysis'!BQ32*$B27</f>
        <v>0.13553311531055059</v>
      </c>
      <c r="I27" s="49" t="str">
        <f>'Savings and Cost Analysis'!BV32</f>
        <v>S-All-Lgt-Streetlight-All-All-U</v>
      </c>
      <c r="K27" s="170">
        <f>(-1)*'Savings and Cost Analysis'!BT32*$B27</f>
        <v>-0.33142343072491642</v>
      </c>
      <c r="L27" s="169">
        <f>'Savings and Cost Analysis'!BU32</f>
        <v>2.3255813953488373</v>
      </c>
      <c r="S27" s="51" t="str">
        <f>'Savings and Cost Analysis'!BW32</f>
        <v>L</v>
      </c>
    </row>
    <row r="28" spans="1:19">
      <c r="A28" t="str">
        <f>'Savings and Cost Analysis'!AM33</f>
        <v>INC 75W-NR</v>
      </c>
      <c r="B28" s="367">
        <f>VLOOKUP(A28,CostMatrix,MATCH($B$7,'Savings and Cost Analysis'!$AM$12:$CW$12,0),FALSE)</f>
        <v>6.150829076602693E-3</v>
      </c>
      <c r="C28" s="45" t="str">
        <f>'Savings and Cost Analysis'!AQ33</f>
        <v>Exterior Lighting: Walkway - INC 75W - NR</v>
      </c>
      <c r="D28" s="45" t="str">
        <f>'Savings and Cost Analysis'!AT33</f>
        <v>Exterior Lighting: Walkway - INC 75W to LED 12W - NR</v>
      </c>
      <c r="E28" s="339">
        <f>'Savings and Cost Analysis'!BB33*$B28</f>
        <v>1.7156302515732005</v>
      </c>
      <c r="F28" s="169">
        <f>'Savings and Cost Analysis'!BK33</f>
        <v>6.6762790697674417</v>
      </c>
      <c r="G28" s="371">
        <f>'Savings and Cost Analysis'!BQ33*$B28</f>
        <v>2.9394812076628273E-2</v>
      </c>
      <c r="I28" s="49" t="str">
        <f>'Savings and Cost Analysis'!BV33</f>
        <v>S-All-Lgt-Streetlight-All-All-U</v>
      </c>
      <c r="K28" s="170">
        <f>(-1)*'Savings and Cost Analysis'!BT33*$B28</f>
        <v>-5.5390635160910709E-2</v>
      </c>
      <c r="L28" s="169">
        <f>'Savings and Cost Analysis'!BU33</f>
        <v>0.23255813953488372</v>
      </c>
      <c r="S28" s="51" t="str">
        <f>'Savings and Cost Analysis'!BW33</f>
        <v>L</v>
      </c>
    </row>
    <row r="29" spans="1:19">
      <c r="A29" t="str">
        <f>'Savings and Cost Analysis'!AM34</f>
        <v>HID 150W-Retro</v>
      </c>
      <c r="B29" s="367">
        <f>VLOOKUP(A29,CostMatrix,MATCH($B$7,'Savings and Cost Analysis'!$AM$12:$CW$12,0),FALSE)</f>
        <v>0.10307864807900002</v>
      </c>
      <c r="C29" s="45" t="str">
        <f>'Savings and Cost Analysis'!AQ34</f>
        <v>Exterior Lighting: Walkway - HID 150W - Retro</v>
      </c>
      <c r="D29" s="45" t="str">
        <f>'Savings and Cost Analysis'!AT34</f>
        <v>Exterior Lighting: Walkway - HID 150W to LED 29W - Retro</v>
      </c>
      <c r="E29" s="339">
        <f>'Savings and Cost Analysis'!BB34*$B29</f>
        <v>65.987461954092865</v>
      </c>
      <c r="F29" s="169">
        <f>'Savings and Cost Analysis'!BK34</f>
        <v>14.186046511627907</v>
      </c>
      <c r="G29" s="371">
        <f>'Savings and Cost Analysis'!BQ34*$B29</f>
        <v>21.673265650078871</v>
      </c>
      <c r="I29" s="49" t="str">
        <f>'Savings and Cost Analysis'!BV34</f>
        <v>S-All-Lgt-Streetlight-All-All-U</v>
      </c>
      <c r="K29" s="170">
        <f>(-1)*'Savings and Cost Analysis'!BT34*$B29</f>
        <v>-4.0543416127582557</v>
      </c>
      <c r="L29" s="169">
        <f>'Savings and Cost Analysis'!BU34</f>
        <v>5.5813953488372094</v>
      </c>
      <c r="S29" s="51" t="str">
        <f>'Savings and Cost Analysis'!BW34</f>
        <v>R</v>
      </c>
    </row>
    <row r="30" spans="1:19">
      <c r="A30" t="str">
        <f>'Savings and Cost Analysis'!AM35</f>
        <v>CFL 26W-Retro</v>
      </c>
      <c r="B30" s="367">
        <f>VLOOKUP(A30,CostMatrix,MATCH($B$7,'Savings and Cost Analysis'!$AM$12:$CW$12,0),FALSE)</f>
        <v>3.3875741585912798E-2</v>
      </c>
      <c r="C30" s="45" t="str">
        <f>'Savings and Cost Analysis'!AQ35</f>
        <v>Exterior Lighting: Walkway - CFL 26W - Retro</v>
      </c>
      <c r="D30" s="45" t="str">
        <f>'Savings and Cost Analysis'!AT35</f>
        <v>Exterior Lighting: Walkway - CFL 26W to LED 12W - Retro</v>
      </c>
      <c r="E30" s="339">
        <f>'Savings and Cost Analysis'!BB35*$B30</f>
        <v>2.3112289292682102</v>
      </c>
      <c r="F30" s="169">
        <f>'Savings and Cost Analysis'!BK35</f>
        <v>6.6762790697674417</v>
      </c>
      <c r="G30" s="371">
        <f>'Savings and Cost Analysis'!BQ35*$B30</f>
        <v>1.0315522391340137</v>
      </c>
      <c r="I30" s="49" t="str">
        <f>'Savings and Cost Analysis'!BV35</f>
        <v>S-All-Lgt-Streetlight-All-All-U</v>
      </c>
      <c r="K30" s="170">
        <f>(-1)*'Savings and Cost Analysis'!BT35*$B30</f>
        <v>-0.33142343072491642</v>
      </c>
      <c r="L30" s="169">
        <f>'Savings and Cost Analysis'!BU35</f>
        <v>2.3255813953488373</v>
      </c>
      <c r="S30" s="51" t="str">
        <f>'Savings and Cost Analysis'!BW35</f>
        <v>R</v>
      </c>
    </row>
    <row r="31" spans="1:19">
      <c r="A31" t="str">
        <f>'Savings and Cost Analysis'!AM36</f>
        <v>INC 75W-Retro</v>
      </c>
      <c r="B31" s="367">
        <f>VLOOKUP(A31,CostMatrix,MATCH($B$7,'Savings and Cost Analysis'!$AM$12:$CW$12,0),FALSE)</f>
        <v>6.150829076602693E-3</v>
      </c>
      <c r="C31" s="45" t="str">
        <f>'Savings and Cost Analysis'!AQ36</f>
        <v>Exterior Lighting: Walkway - INC 75W - Retro</v>
      </c>
      <c r="D31" s="45" t="str">
        <f>'Savings and Cost Analysis'!AT36</f>
        <v>Exterior Lighting: Walkway - INC 75W to LED 12W - Retro</v>
      </c>
      <c r="E31" s="339">
        <f>'Savings and Cost Analysis'!BB36*$B31</f>
        <v>1.7156302515732005</v>
      </c>
      <c r="F31" s="169">
        <f>'Savings and Cost Analysis'!BK36</f>
        <v>6.6762790697674417</v>
      </c>
      <c r="G31" s="371">
        <f>'Savings and Cost Analysis'!BQ36*$B31</f>
        <v>0.18729926518091722</v>
      </c>
      <c r="I31" s="49" t="str">
        <f>'Savings and Cost Analysis'!BV36</f>
        <v>S-All-Lgt-Streetlight-All-All-U</v>
      </c>
      <c r="K31" s="170">
        <f>(-1)*'Savings and Cost Analysis'!BT36*$B31</f>
        <v>-5.5390635160910709E-2</v>
      </c>
      <c r="L31" s="169">
        <f>'Savings and Cost Analysis'!BU36</f>
        <v>0.23255813953488372</v>
      </c>
      <c r="S31" s="51" t="str">
        <f>'Savings and Cost Analysis'!BW36</f>
        <v>R</v>
      </c>
    </row>
    <row r="34" spans="3:107">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row>
  </sheetData>
  <mergeCells count="3">
    <mergeCell ref="K6:P6"/>
    <mergeCell ref="Q6:R6"/>
    <mergeCell ref="T6:V6"/>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sheetPr>
    <tabColor theme="8" tint="0.39997558519241921"/>
  </sheetPr>
  <dimension ref="B6:AE97"/>
  <sheetViews>
    <sheetView topLeftCell="C10" workbookViewId="0">
      <selection activeCell="G42" sqref="G42"/>
    </sheetView>
  </sheetViews>
  <sheetFormatPr defaultRowHeight="12.75"/>
  <cols>
    <col min="2" max="2" width="14.28515625" customWidth="1"/>
    <col min="3" max="3" width="37.140625" customWidth="1"/>
    <col min="4" max="6" width="10.85546875" customWidth="1"/>
    <col min="13" max="13" width="16.28515625" customWidth="1"/>
    <col min="14" max="14" width="11.28515625" bestFit="1" customWidth="1"/>
    <col min="15" max="15" width="15.85546875" customWidth="1"/>
  </cols>
  <sheetData>
    <row r="6" spans="2:14">
      <c r="B6" s="294" t="s">
        <v>838</v>
      </c>
      <c r="C6" s="294" t="s">
        <v>839</v>
      </c>
    </row>
    <row r="7" spans="2:14">
      <c r="C7" t="s">
        <v>921</v>
      </c>
    </row>
    <row r="8" spans="2:14">
      <c r="C8" t="s">
        <v>864</v>
      </c>
    </row>
    <row r="9" spans="2:14">
      <c r="C9" s="58" t="s">
        <v>863</v>
      </c>
      <c r="D9" s="58" t="s">
        <v>69</v>
      </c>
      <c r="E9" s="58"/>
      <c r="F9" s="58"/>
      <c r="G9" s="58"/>
      <c r="H9" s="58"/>
      <c r="I9" s="58"/>
      <c r="J9" s="58"/>
      <c r="K9" s="58"/>
    </row>
    <row r="10" spans="2:14">
      <c r="C10" s="58" t="s">
        <v>74</v>
      </c>
      <c r="D10" s="58" t="s">
        <v>88</v>
      </c>
      <c r="E10" s="58" t="s">
        <v>93</v>
      </c>
      <c r="F10" s="58" t="s">
        <v>852</v>
      </c>
      <c r="G10" s="58" t="s">
        <v>91</v>
      </c>
      <c r="H10" s="58" t="s">
        <v>111</v>
      </c>
      <c r="I10" s="58" t="s">
        <v>116</v>
      </c>
      <c r="J10" s="58" t="s">
        <v>100</v>
      </c>
      <c r="K10" s="58" t="s">
        <v>106</v>
      </c>
      <c r="M10" s="335"/>
      <c r="N10" s="321" t="s">
        <v>879</v>
      </c>
    </row>
    <row r="11" spans="2:14">
      <c r="C11" s="326" t="s">
        <v>987</v>
      </c>
      <c r="D11" s="118">
        <v>12156.941598520787</v>
      </c>
      <c r="E11" s="118">
        <v>955.38441372277657</v>
      </c>
      <c r="F11" s="118">
        <v>1973.2842359846493</v>
      </c>
      <c r="G11" s="118">
        <v>74600.544045817704</v>
      </c>
      <c r="H11" s="118">
        <v>19857.920282204697</v>
      </c>
      <c r="I11" s="118">
        <v>1701.8183008765125</v>
      </c>
      <c r="J11" s="118">
        <v>373.66118108287299</v>
      </c>
      <c r="K11" s="118">
        <v>111619.55405821001</v>
      </c>
      <c r="M11" s="335" t="str">
        <f>C11</f>
        <v>BuildingFacade</v>
      </c>
      <c r="N11" s="336">
        <f t="shared" ref="N11:N18" si="0">K11/1000*4300/8760</f>
        <v>54.790420371039161</v>
      </c>
    </row>
    <row r="12" spans="2:14">
      <c r="C12" s="326" t="s">
        <v>997</v>
      </c>
      <c r="D12" s="118">
        <v>86.935985960733333</v>
      </c>
      <c r="E12" s="118">
        <v>47.252748945831982</v>
      </c>
      <c r="F12" s="118">
        <v>1287.8793633961031</v>
      </c>
      <c r="G12" s="118">
        <v>14783.096749927387</v>
      </c>
      <c r="H12" s="118">
        <v>451.34393111543517</v>
      </c>
      <c r="I12" s="118">
        <v>797.11319195608633</v>
      </c>
      <c r="J12" s="118">
        <v>27.831500917663025</v>
      </c>
      <c r="K12" s="118">
        <v>17481.45347221924</v>
      </c>
      <c r="M12" s="335" t="str">
        <f t="shared" ref="M12:M18" si="1">C12</f>
        <v>ExteriorSales</v>
      </c>
      <c r="N12" s="336">
        <f t="shared" si="0"/>
        <v>8.5810787591943765</v>
      </c>
    </row>
    <row r="13" spans="2:14">
      <c r="C13" s="326" t="s">
        <v>100</v>
      </c>
      <c r="D13" s="118">
        <v>49.681854820087572</v>
      </c>
      <c r="E13" s="118">
        <v>573.64444167055251</v>
      </c>
      <c r="F13" s="118">
        <v>2233.6104210209833</v>
      </c>
      <c r="G13" s="118">
        <v>20042.636574785167</v>
      </c>
      <c r="H13" s="118">
        <v>2067.6337629950917</v>
      </c>
      <c r="I13" s="118">
        <v>174.58210522197783</v>
      </c>
      <c r="J13" s="118">
        <v>290.45288185850762</v>
      </c>
      <c r="K13" s="118">
        <v>25432.242042372363</v>
      </c>
      <c r="M13" s="335" t="str">
        <f t="shared" si="1"/>
        <v>Other</v>
      </c>
      <c r="N13" s="336">
        <f t="shared" si="0"/>
        <v>12.483863102991</v>
      </c>
    </row>
    <row r="14" spans="2:14">
      <c r="C14" s="326" t="s">
        <v>986</v>
      </c>
      <c r="D14" s="118">
        <v>781.31516266882375</v>
      </c>
      <c r="E14" s="118">
        <v>594.60584411421371</v>
      </c>
      <c r="F14" s="118">
        <v>7423.4815300453902</v>
      </c>
      <c r="G14" s="118">
        <v>200294.03158237319</v>
      </c>
      <c r="H14" s="118">
        <v>4033.8592267521426</v>
      </c>
      <c r="I14" s="118">
        <v>4101.3667181239807</v>
      </c>
      <c r="J14" s="118">
        <v>878.35851870818453</v>
      </c>
      <c r="K14" s="118">
        <v>218107.01858278591</v>
      </c>
      <c r="M14" s="335" t="str">
        <f t="shared" si="1"/>
        <v>ParkingLot</v>
      </c>
      <c r="N14" s="336">
        <f t="shared" si="0"/>
        <v>107.0616643728287</v>
      </c>
    </row>
    <row r="15" spans="2:14">
      <c r="C15" s="326" t="s">
        <v>857</v>
      </c>
      <c r="D15" s="118">
        <v>169.51741776593255</v>
      </c>
      <c r="E15" s="118">
        <v>254.92146574448151</v>
      </c>
      <c r="F15" s="118">
        <v>1547.6650977915476</v>
      </c>
      <c r="G15" s="118">
        <v>2093.0724276126703</v>
      </c>
      <c r="H15" s="118">
        <v>477.49043029811691</v>
      </c>
      <c r="I15" s="118">
        <v>184.44845554245185</v>
      </c>
      <c r="J15" s="118">
        <v>28.082165916764033</v>
      </c>
      <c r="K15" s="118">
        <v>4755.1974606719641</v>
      </c>
      <c r="M15" s="335" t="str">
        <f t="shared" si="1"/>
        <v>Signage</v>
      </c>
      <c r="N15" s="336">
        <f t="shared" si="0"/>
        <v>2.3341722695079277</v>
      </c>
    </row>
    <row r="16" spans="2:14">
      <c r="C16" s="326" t="s">
        <v>998</v>
      </c>
      <c r="D16" s="118">
        <v>68.595163603680959</v>
      </c>
      <c r="E16" s="118">
        <v>0</v>
      </c>
      <c r="F16" s="118">
        <v>8.5313151799055866</v>
      </c>
      <c r="G16" s="118">
        <v>9791.2809358036066</v>
      </c>
      <c r="H16" s="118">
        <v>2321.7181259108829</v>
      </c>
      <c r="I16" s="118">
        <v>0</v>
      </c>
      <c r="J16" s="118">
        <v>0</v>
      </c>
      <c r="K16" s="118">
        <v>12190.125540498077</v>
      </c>
      <c r="M16" s="335" t="str">
        <f t="shared" si="1"/>
        <v>SportingField</v>
      </c>
      <c r="N16" s="336">
        <f t="shared" si="0"/>
        <v>5.9837374228472289</v>
      </c>
    </row>
    <row r="17" spans="3:14">
      <c r="C17" s="326" t="s">
        <v>988</v>
      </c>
      <c r="D17" s="118">
        <v>12034.56722107731</v>
      </c>
      <c r="E17" s="118">
        <v>1617.1674000642831</v>
      </c>
      <c r="F17" s="118">
        <v>3645.0193153057376</v>
      </c>
      <c r="G17" s="118">
        <v>56394.011711955231</v>
      </c>
      <c r="H17" s="118">
        <v>10505.385400709776</v>
      </c>
      <c r="I17" s="118">
        <v>2905.3013289985897</v>
      </c>
      <c r="J17" s="118">
        <v>287.47215458833523</v>
      </c>
      <c r="K17" s="118">
        <v>87388.924532699268</v>
      </c>
      <c r="M17" s="335" t="str">
        <f t="shared" si="1"/>
        <v>Walkway/Area</v>
      </c>
      <c r="N17" s="336">
        <f t="shared" si="0"/>
        <v>42.896389896187991</v>
      </c>
    </row>
    <row r="18" spans="3:14" ht="15">
      <c r="C18" s="310" t="s">
        <v>106</v>
      </c>
      <c r="D18" s="311">
        <v>25347.554404417355</v>
      </c>
      <c r="E18" s="311">
        <v>4042.9763142621396</v>
      </c>
      <c r="F18" s="311">
        <v>18119.471278724315</v>
      </c>
      <c r="G18" s="311">
        <v>377998.67402827495</v>
      </c>
      <c r="H18" s="311">
        <v>39715.351159986138</v>
      </c>
      <c r="I18" s="311">
        <v>9864.630100719598</v>
      </c>
      <c r="J18" s="311">
        <v>1885.8584030723277</v>
      </c>
      <c r="K18" s="311">
        <v>476974.51568945678</v>
      </c>
      <c r="M18" s="335" t="str">
        <f t="shared" si="1"/>
        <v>Grand Total</v>
      </c>
      <c r="N18" s="336">
        <f t="shared" si="0"/>
        <v>234.13132619459637</v>
      </c>
    </row>
    <row r="21" spans="3:14">
      <c r="C21" t="s">
        <v>918</v>
      </c>
    </row>
    <row r="22" spans="3:14">
      <c r="C22" t="s">
        <v>865</v>
      </c>
    </row>
    <row r="23" spans="3:14">
      <c r="C23" s="58" t="s">
        <v>863</v>
      </c>
      <c r="D23" s="58" t="s">
        <v>69</v>
      </c>
      <c r="E23" s="58"/>
      <c r="F23" s="58"/>
      <c r="G23" s="58"/>
      <c r="H23" s="58"/>
      <c r="I23" s="58"/>
      <c r="J23" s="58"/>
      <c r="K23" s="58"/>
    </row>
    <row r="24" spans="3:14">
      <c r="C24" s="58" t="s">
        <v>74</v>
      </c>
      <c r="D24" s="58" t="s">
        <v>88</v>
      </c>
      <c r="E24" s="58" t="s">
        <v>93</v>
      </c>
      <c r="F24" s="58" t="s">
        <v>852</v>
      </c>
      <c r="G24" s="58" t="s">
        <v>91</v>
      </c>
      <c r="H24" s="58" t="s">
        <v>111</v>
      </c>
      <c r="I24" s="58" t="s">
        <v>116</v>
      </c>
      <c r="J24" s="58" t="s">
        <v>100</v>
      </c>
      <c r="K24" s="58" t="s">
        <v>106</v>
      </c>
    </row>
    <row r="25" spans="3:14">
      <c r="C25" s="326" t="s">
        <v>987</v>
      </c>
      <c r="D25" s="312">
        <f t="shared" ref="D25:K32" si="2">D11/$K$18</f>
        <v>2.5487612437633443E-2</v>
      </c>
      <c r="E25" s="312">
        <f t="shared" si="2"/>
        <v>2.0030093480818112E-3</v>
      </c>
      <c r="F25" s="312">
        <f t="shared" si="2"/>
        <v>4.1370852552411689E-3</v>
      </c>
      <c r="G25" s="312">
        <f t="shared" si="2"/>
        <v>0.15640362659205004</v>
      </c>
      <c r="H25" s="312">
        <f t="shared" si="2"/>
        <v>4.163308442905065E-2</v>
      </c>
      <c r="I25" s="312">
        <f t="shared" si="2"/>
        <v>3.5679438730947068E-3</v>
      </c>
      <c r="J25" s="312">
        <f t="shared" si="2"/>
        <v>7.8339862779199746E-4</v>
      </c>
      <c r="K25" s="314">
        <f t="shared" si="2"/>
        <v>0.23401576056294382</v>
      </c>
    </row>
    <row r="26" spans="3:14">
      <c r="C26" s="326" t="s">
        <v>997</v>
      </c>
      <c r="D26" s="312">
        <f t="shared" si="2"/>
        <v>1.8226547352340024E-4</v>
      </c>
      <c r="E26" s="312">
        <f t="shared" si="2"/>
        <v>9.9067659574074128E-5</v>
      </c>
      <c r="F26" s="312">
        <f t="shared" si="2"/>
        <v>2.7001009928895262E-3</v>
      </c>
      <c r="G26" s="312">
        <f t="shared" si="2"/>
        <v>3.0993472950140169E-2</v>
      </c>
      <c r="H26" s="312">
        <f t="shared" si="2"/>
        <v>9.4626424739490929E-4</v>
      </c>
      <c r="I26" s="312">
        <f t="shared" si="2"/>
        <v>1.6711861236524885E-3</v>
      </c>
      <c r="J26" s="312">
        <f t="shared" si="2"/>
        <v>5.835007951616276E-5</v>
      </c>
      <c r="K26" s="314">
        <f t="shared" si="2"/>
        <v>3.665070752669073E-2</v>
      </c>
    </row>
    <row r="27" spans="3:14">
      <c r="C27" s="326" t="s">
        <v>100</v>
      </c>
      <c r="D27" s="312">
        <f t="shared" si="2"/>
        <v>1.0416039680500222E-4</v>
      </c>
      <c r="E27" s="312">
        <f t="shared" si="2"/>
        <v>1.2026731466803029E-3</v>
      </c>
      <c r="F27" s="312">
        <f t="shared" si="2"/>
        <v>4.682871615881502E-3</v>
      </c>
      <c r="G27" s="312">
        <f t="shared" si="2"/>
        <v>4.2020351015638543E-2</v>
      </c>
      <c r="H27" s="312">
        <f t="shared" si="2"/>
        <v>4.3348935739394171E-3</v>
      </c>
      <c r="I27" s="312">
        <f t="shared" si="2"/>
        <v>3.6601977564697144E-4</v>
      </c>
      <c r="J27" s="312">
        <f t="shared" si="2"/>
        <v>6.0894842869888758E-4</v>
      </c>
      <c r="K27" s="314">
        <f t="shared" si="2"/>
        <v>5.3319917953290615E-2</v>
      </c>
    </row>
    <row r="28" spans="3:14">
      <c r="C28" s="326" t="s">
        <v>986</v>
      </c>
      <c r="D28" s="312">
        <f t="shared" si="2"/>
        <v>1.6380647958506732E-3</v>
      </c>
      <c r="E28" s="312">
        <f t="shared" si="2"/>
        <v>1.2466197345045223E-3</v>
      </c>
      <c r="F28" s="312">
        <f t="shared" si="2"/>
        <v>1.5563685869705012E-2</v>
      </c>
      <c r="G28" s="312">
        <f t="shared" si="2"/>
        <v>0.41992606521724191</v>
      </c>
      <c r="H28" s="312">
        <f t="shared" si="2"/>
        <v>8.4571797738948011E-3</v>
      </c>
      <c r="I28" s="312">
        <f t="shared" si="2"/>
        <v>8.5987124745973906E-3</v>
      </c>
      <c r="J28" s="312">
        <f t="shared" si="2"/>
        <v>1.8415208565986706E-3</v>
      </c>
      <c r="K28" s="314">
        <f t="shared" si="2"/>
        <v>0.4572718487223929</v>
      </c>
    </row>
    <row r="29" spans="3:14">
      <c r="C29" s="326" t="s">
        <v>857</v>
      </c>
      <c r="D29" s="312">
        <f t="shared" si="2"/>
        <v>3.5540141493911603E-4</v>
      </c>
      <c r="E29" s="312">
        <f t="shared" si="2"/>
        <v>5.3445510684359688E-4</v>
      </c>
      <c r="F29" s="312">
        <f t="shared" si="2"/>
        <v>3.244754272782121E-3</v>
      </c>
      <c r="G29" s="312">
        <f t="shared" si="2"/>
        <v>4.3882269571303562E-3</v>
      </c>
      <c r="H29" s="312">
        <f t="shared" si="2"/>
        <v>1.0010816397767381E-3</v>
      </c>
      <c r="I29" s="312">
        <f t="shared" si="2"/>
        <v>3.8670505336293581E-4</v>
      </c>
      <c r="J29" s="312">
        <f t="shared" si="2"/>
        <v>5.8875610736082714E-5</v>
      </c>
      <c r="K29" s="314">
        <f t="shared" si="2"/>
        <v>9.9695000555709446E-3</v>
      </c>
    </row>
    <row r="30" spans="3:14">
      <c r="C30" s="326" t="s">
        <v>998</v>
      </c>
      <c r="D30" s="312">
        <f t="shared" si="2"/>
        <v>1.4381305782034933E-4</v>
      </c>
      <c r="E30" s="312">
        <f t="shared" si="2"/>
        <v>0</v>
      </c>
      <c r="F30" s="312">
        <f t="shared" si="2"/>
        <v>1.788631236948529E-5</v>
      </c>
      <c r="G30" s="312">
        <f t="shared" si="2"/>
        <v>2.0527891142465993E-2</v>
      </c>
      <c r="H30" s="312">
        <f t="shared" si="2"/>
        <v>4.8675936544636715E-3</v>
      </c>
      <c r="I30" s="312">
        <f t="shared" si="2"/>
        <v>0</v>
      </c>
      <c r="J30" s="312">
        <f t="shared" si="2"/>
        <v>0</v>
      </c>
      <c r="K30" s="314">
        <f t="shared" si="2"/>
        <v>2.5557184167119499E-2</v>
      </c>
    </row>
    <row r="31" spans="3:14">
      <c r="C31" s="326" t="s">
        <v>988</v>
      </c>
      <c r="D31" s="312">
        <f t="shared" si="2"/>
        <v>2.523104867286587E-2</v>
      </c>
      <c r="E31" s="312">
        <f t="shared" si="2"/>
        <v>3.3904691904277132E-3</v>
      </c>
      <c r="F31" s="312">
        <f t="shared" si="2"/>
        <v>7.6419582082638896E-3</v>
      </c>
      <c r="G31" s="312">
        <f t="shared" si="2"/>
        <v>0.11823275637785145</v>
      </c>
      <c r="H31" s="312">
        <f t="shared" si="2"/>
        <v>2.2025045479682408E-2</v>
      </c>
      <c r="I31" s="312">
        <f t="shared" si="2"/>
        <v>6.0911038922048842E-3</v>
      </c>
      <c r="J31" s="312">
        <f t="shared" si="2"/>
        <v>6.0269919069533555E-4</v>
      </c>
      <c r="K31" s="314">
        <f t="shared" si="2"/>
        <v>0.18321508101199158</v>
      </c>
    </row>
    <row r="32" spans="3:14" ht="15">
      <c r="C32" s="310" t="s">
        <v>106</v>
      </c>
      <c r="D32" s="313">
        <f t="shared" si="2"/>
        <v>5.3142366249437856E-2</v>
      </c>
      <c r="E32" s="313">
        <f t="shared" si="2"/>
        <v>8.4762941861120222E-3</v>
      </c>
      <c r="F32" s="313">
        <f t="shared" si="2"/>
        <v>3.79883425271327E-2</v>
      </c>
      <c r="G32" s="313">
        <f t="shared" si="2"/>
        <v>0.79249239025251839</v>
      </c>
      <c r="H32" s="313">
        <f t="shared" si="2"/>
        <v>8.3265142798202588E-2</v>
      </c>
      <c r="I32" s="313">
        <f t="shared" si="2"/>
        <v>2.0681671192559377E-2</v>
      </c>
      <c r="J32" s="313">
        <f t="shared" si="2"/>
        <v>3.9537927940371375E-3</v>
      </c>
      <c r="K32" s="315">
        <f t="shared" si="2"/>
        <v>1</v>
      </c>
    </row>
    <row r="35" spans="2:14">
      <c r="C35" t="s">
        <v>919</v>
      </c>
    </row>
    <row r="36" spans="2:14">
      <c r="C36" t="s">
        <v>868</v>
      </c>
      <c r="N36" s="106">
        <f>P96</f>
        <v>3349.27364795836</v>
      </c>
    </row>
    <row r="37" spans="2:14">
      <c r="C37" s="58" t="s">
        <v>863</v>
      </c>
      <c r="D37" s="58" t="s">
        <v>69</v>
      </c>
      <c r="E37" s="58"/>
      <c r="F37" s="58"/>
      <c r="G37" s="58"/>
      <c r="H37" s="58"/>
      <c r="I37" s="58"/>
      <c r="J37" s="58"/>
      <c r="K37" s="58"/>
    </row>
    <row r="38" spans="2:14">
      <c r="B38" t="s">
        <v>873</v>
      </c>
      <c r="C38" s="323" t="s">
        <v>74</v>
      </c>
      <c r="D38" s="324" t="s">
        <v>88</v>
      </c>
      <c r="E38" s="324" t="s">
        <v>93</v>
      </c>
      <c r="F38" s="324" t="s">
        <v>852</v>
      </c>
      <c r="G38" s="324" t="s">
        <v>91</v>
      </c>
      <c r="H38" s="324" t="s">
        <v>111</v>
      </c>
      <c r="I38" s="324" t="s">
        <v>116</v>
      </c>
      <c r="J38" s="324" t="s">
        <v>100</v>
      </c>
      <c r="K38" s="325" t="s">
        <v>106</v>
      </c>
      <c r="M38" s="335"/>
      <c r="N38" s="321" t="s">
        <v>879</v>
      </c>
    </row>
    <row r="39" spans="2:14">
      <c r="C39" s="326" t="s">
        <v>987</v>
      </c>
      <c r="D39" s="327">
        <f>D25*$E$58*1000</f>
        <v>4.3151684233926169</v>
      </c>
      <c r="E39" s="327">
        <f t="shared" ref="E39:K39" si="3">E25*$E$58*1000</f>
        <v>0.33911857031538445</v>
      </c>
      <c r="F39" s="327">
        <f t="shared" si="3"/>
        <v>0.7004273037336517</v>
      </c>
      <c r="G39" s="327">
        <f t="shared" si="3"/>
        <v>26.479843587764876</v>
      </c>
      <c r="H39" s="327">
        <f t="shared" si="3"/>
        <v>7.04867008380167</v>
      </c>
      <c r="I39" s="327">
        <f t="shared" si="3"/>
        <v>0.60406908553279137</v>
      </c>
      <c r="J39" s="327">
        <f t="shared" si="3"/>
        <v>0.1326329419771661</v>
      </c>
      <c r="K39" s="328">
        <f t="shared" si="3"/>
        <v>39.619929996518159</v>
      </c>
      <c r="M39" s="335" t="str">
        <f>C39</f>
        <v>BuildingFacade</v>
      </c>
      <c r="N39" s="336">
        <f>K39/1000*$N$36*1000*4300/8760/1000</f>
        <v>65.137139968785476</v>
      </c>
    </row>
    <row r="40" spans="2:14">
      <c r="C40" s="326" t="s">
        <v>997</v>
      </c>
      <c r="D40" s="327">
        <f t="shared" ref="D40:K46" si="4">D26*$E$58*1000</f>
        <v>3.0858371608851562E-2</v>
      </c>
      <c r="E40" s="327">
        <f t="shared" si="4"/>
        <v>1.6772604237431165E-2</v>
      </c>
      <c r="F40" s="327">
        <f t="shared" si="4"/>
        <v>0.45713934849716287</v>
      </c>
      <c r="G40" s="327">
        <f t="shared" si="4"/>
        <v>5.2473355883363473</v>
      </c>
      <c r="H40" s="327">
        <f t="shared" si="4"/>
        <v>0.16020683029983451</v>
      </c>
      <c r="I40" s="327">
        <f t="shared" si="4"/>
        <v>0.28293939293227582</v>
      </c>
      <c r="J40" s="327">
        <f t="shared" si="4"/>
        <v>9.8789331973212074E-3</v>
      </c>
      <c r="K40" s="328">
        <f t="shared" si="4"/>
        <v>6.2051310691092247</v>
      </c>
      <c r="M40" s="335" t="str">
        <f t="shared" ref="M40:M46" si="5">C40</f>
        <v>ExteriorSales</v>
      </c>
      <c r="N40" s="336">
        <f t="shared" ref="N40:N46" si="6">K40/1000*$N$36*1000*4300/8760/1000</f>
        <v>10.201544803555867</v>
      </c>
    </row>
    <row r="41" spans="2:14">
      <c r="C41" s="326" t="s">
        <v>100</v>
      </c>
      <c r="D41" s="327">
        <f t="shared" si="4"/>
        <v>1.7634827756456764E-2</v>
      </c>
      <c r="E41" s="327">
        <f t="shared" si="4"/>
        <v>0.20361802028008846</v>
      </c>
      <c r="F41" s="327">
        <f t="shared" si="4"/>
        <v>0.79283141083142195</v>
      </c>
      <c r="G41" s="327">
        <f t="shared" si="4"/>
        <v>7.1142360739456372</v>
      </c>
      <c r="H41" s="327">
        <f t="shared" si="4"/>
        <v>0.73391714954873977</v>
      </c>
      <c r="I41" s="327">
        <f t="shared" si="4"/>
        <v>6.1968808654551011E-2</v>
      </c>
      <c r="J41" s="327">
        <f t="shared" si="4"/>
        <v>0.10309773178738656</v>
      </c>
      <c r="K41" s="328">
        <f t="shared" si="4"/>
        <v>9.0273040228042785</v>
      </c>
      <c r="M41" s="335" t="str">
        <f t="shared" si="5"/>
        <v>Other</v>
      </c>
      <c r="N41" s="336">
        <f t="shared" si="6"/>
        <v>14.841337824823464</v>
      </c>
    </row>
    <row r="42" spans="2:14">
      <c r="C42" s="326" t="s">
        <v>986</v>
      </c>
      <c r="D42" s="327">
        <f t="shared" si="4"/>
        <v>0.2773318018634397</v>
      </c>
      <c r="E42" s="327">
        <f t="shared" si="4"/>
        <v>0.21105837698509372</v>
      </c>
      <c r="F42" s="327">
        <f t="shared" si="4"/>
        <v>2.6350026304303307</v>
      </c>
      <c r="G42" s="327">
        <f t="shared" si="4"/>
        <v>71.095388052487294</v>
      </c>
      <c r="H42" s="327">
        <f t="shared" si="4"/>
        <v>1.4318389060789598</v>
      </c>
      <c r="I42" s="327">
        <f t="shared" si="4"/>
        <v>1.4558010344440129</v>
      </c>
      <c r="J42" s="327">
        <f t="shared" si="4"/>
        <v>0.31177783603144543</v>
      </c>
      <c r="K42" s="328">
        <f t="shared" si="4"/>
        <v>77.418198638320561</v>
      </c>
      <c r="M42" s="335" t="str">
        <f t="shared" si="5"/>
        <v>ParkingLot</v>
      </c>
      <c r="N42" s="336">
        <f t="shared" si="6"/>
        <v>127.27937786055378</v>
      </c>
    </row>
    <row r="43" spans="2:14">
      <c r="C43" s="326" t="s">
        <v>857</v>
      </c>
      <c r="D43" s="327">
        <f t="shared" si="4"/>
        <v>6.0171072011040397E-2</v>
      </c>
      <c r="E43" s="327">
        <f t="shared" si="4"/>
        <v>9.0485674419904835E-2</v>
      </c>
      <c r="F43" s="327">
        <f t="shared" si="4"/>
        <v>0.54935161988353565</v>
      </c>
      <c r="G43" s="327">
        <f t="shared" si="4"/>
        <v>0.74294673329736993</v>
      </c>
      <c r="H43" s="327">
        <f t="shared" si="4"/>
        <v>0.16948766353745551</v>
      </c>
      <c r="I43" s="327">
        <f t="shared" si="4"/>
        <v>6.5470920021296369E-2</v>
      </c>
      <c r="J43" s="327">
        <f t="shared" si="4"/>
        <v>9.9679080171971232E-3</v>
      </c>
      <c r="K43" s="328">
        <f t="shared" si="4"/>
        <v>1.6878815911877996</v>
      </c>
      <c r="M43" s="335" t="str">
        <f t="shared" si="5"/>
        <v>Signage</v>
      </c>
      <c r="N43" s="336">
        <f t="shared" si="6"/>
        <v>2.7749614768526354</v>
      </c>
    </row>
    <row r="44" spans="2:14">
      <c r="C44" s="326" t="s">
        <v>998</v>
      </c>
      <c r="D44" s="327">
        <f t="shared" si="4"/>
        <v>2.4348203171106031E-2</v>
      </c>
      <c r="E44" s="327">
        <f t="shared" si="4"/>
        <v>0</v>
      </c>
      <c r="F44" s="327">
        <f t="shared" si="4"/>
        <v>3.0282338346363448E-3</v>
      </c>
      <c r="G44" s="327">
        <f t="shared" si="4"/>
        <v>3.475465105786705</v>
      </c>
      <c r="H44" s="327">
        <f t="shared" si="4"/>
        <v>0.82410569005019774</v>
      </c>
      <c r="I44" s="327">
        <f t="shared" si="4"/>
        <v>0</v>
      </c>
      <c r="J44" s="327">
        <f t="shared" si="4"/>
        <v>0</v>
      </c>
      <c r="K44" s="328">
        <f t="shared" si="4"/>
        <v>4.3269472328426453</v>
      </c>
      <c r="M44" s="335" t="str">
        <f t="shared" si="5"/>
        <v>SportingField</v>
      </c>
      <c r="N44" s="336">
        <f t="shared" si="6"/>
        <v>7.1137169492220025</v>
      </c>
    </row>
    <row r="45" spans="2:14">
      <c r="C45" s="326" t="s">
        <v>988</v>
      </c>
      <c r="D45" s="327">
        <f t="shared" si="4"/>
        <v>4.2717310139836036</v>
      </c>
      <c r="E45" s="327">
        <f t="shared" si="4"/>
        <v>0.57402181655182349</v>
      </c>
      <c r="F45" s="327">
        <f t="shared" si="4"/>
        <v>1.2938181963444928</v>
      </c>
      <c r="G45" s="327">
        <f t="shared" si="4"/>
        <v>20.017342078658384</v>
      </c>
      <c r="H45" s="327">
        <f t="shared" si="4"/>
        <v>3.7289401276903824</v>
      </c>
      <c r="I45" s="327">
        <f t="shared" si="4"/>
        <v>1.0312515243851104</v>
      </c>
      <c r="J45" s="327">
        <f t="shared" si="4"/>
        <v>0.10203970744049341</v>
      </c>
      <c r="K45" s="328">
        <f t="shared" si="4"/>
        <v>31.019144465054293</v>
      </c>
      <c r="M45" s="335" t="str">
        <f t="shared" si="5"/>
        <v>Walkway/Area</v>
      </c>
      <c r="N45" s="336">
        <f t="shared" si="6"/>
        <v>50.997019805683216</v>
      </c>
    </row>
    <row r="46" spans="2:14" ht="15">
      <c r="C46" s="329" t="s">
        <v>106</v>
      </c>
      <c r="D46" s="330">
        <f t="shared" si="4"/>
        <v>8.997243713787114</v>
      </c>
      <c r="E46" s="330">
        <f t="shared" si="4"/>
        <v>1.4350750627897264</v>
      </c>
      <c r="F46" s="330">
        <f t="shared" si="4"/>
        <v>6.4315987435552318</v>
      </c>
      <c r="G46" s="330">
        <f t="shared" si="4"/>
        <v>134.17255722027659</v>
      </c>
      <c r="H46" s="330">
        <f t="shared" si="4"/>
        <v>14.09716645100724</v>
      </c>
      <c r="I46" s="330">
        <f t="shared" si="4"/>
        <v>3.5015007659700377</v>
      </c>
      <c r="J46" s="330">
        <f t="shared" si="4"/>
        <v>0.66939505845100988</v>
      </c>
      <c r="K46" s="331">
        <f t="shared" si="4"/>
        <v>169.30453701583696</v>
      </c>
      <c r="M46" s="335" t="str">
        <f t="shared" si="5"/>
        <v>Grand Total</v>
      </c>
      <c r="N46" s="336">
        <f t="shared" si="6"/>
        <v>278.34509868947652</v>
      </c>
    </row>
    <row r="51" spans="2:30">
      <c r="C51" t="s">
        <v>920</v>
      </c>
    </row>
    <row r="52" spans="2:30">
      <c r="C52" s="307" t="s">
        <v>860</v>
      </c>
      <c r="D52" s="307"/>
      <c r="E52" s="307"/>
      <c r="F52" s="307"/>
      <c r="G52" s="308">
        <v>324</v>
      </c>
      <c r="H52" s="308">
        <v>316</v>
      </c>
      <c r="I52" s="308">
        <v>95</v>
      </c>
      <c r="J52" s="308">
        <v>135</v>
      </c>
      <c r="K52" s="308">
        <v>191</v>
      </c>
      <c r="L52" s="308">
        <v>186</v>
      </c>
      <c r="M52" s="308">
        <v>59</v>
      </c>
      <c r="N52" s="308">
        <v>245</v>
      </c>
      <c r="O52" s="308">
        <v>124</v>
      </c>
      <c r="P52" s="308">
        <v>442</v>
      </c>
      <c r="Q52" s="308">
        <v>65</v>
      </c>
      <c r="R52" s="308">
        <v>12</v>
      </c>
      <c r="S52" s="308">
        <v>53</v>
      </c>
      <c r="T52" s="308">
        <v>171</v>
      </c>
      <c r="U52" s="308">
        <v>104</v>
      </c>
      <c r="V52" s="308">
        <v>125</v>
      </c>
      <c r="W52" s="308">
        <v>369</v>
      </c>
      <c r="X52" s="308">
        <v>333</v>
      </c>
      <c r="Z52" s="59">
        <f>SUM(G52:X52)</f>
        <v>3349</v>
      </c>
    </row>
    <row r="55" spans="2:30">
      <c r="G55" s="293" t="s">
        <v>92</v>
      </c>
      <c r="H55" s="293" t="s">
        <v>92</v>
      </c>
      <c r="I55" s="293" t="s">
        <v>92</v>
      </c>
      <c r="J55" s="293" t="s">
        <v>834</v>
      </c>
      <c r="K55" s="293" t="s">
        <v>834</v>
      </c>
      <c r="L55" s="293" t="s">
        <v>834</v>
      </c>
      <c r="M55" s="293" t="s">
        <v>834</v>
      </c>
      <c r="N55" s="293" t="s">
        <v>835</v>
      </c>
      <c r="O55" s="293" t="s">
        <v>834</v>
      </c>
      <c r="P55" s="293" t="s">
        <v>108</v>
      </c>
      <c r="Q55" s="293" t="s">
        <v>113</v>
      </c>
      <c r="R55" s="293" t="s">
        <v>113</v>
      </c>
      <c r="S55" s="293" t="s">
        <v>836</v>
      </c>
      <c r="T55" s="293" t="s">
        <v>122</v>
      </c>
      <c r="U55" s="293" t="s">
        <v>834</v>
      </c>
      <c r="V55" s="293" t="s">
        <v>837</v>
      </c>
      <c r="W55" s="293" t="s">
        <v>127</v>
      </c>
      <c r="X55" s="293" t="s">
        <v>100</v>
      </c>
    </row>
    <row r="56" spans="2:30">
      <c r="B56" s="294" t="s">
        <v>838</v>
      </c>
      <c r="C56" s="294" t="s">
        <v>839</v>
      </c>
      <c r="D56" s="294"/>
      <c r="E56" s="295" t="s">
        <v>841</v>
      </c>
      <c r="F56" s="309"/>
      <c r="G56" s="386" t="s">
        <v>92</v>
      </c>
      <c r="H56" s="387"/>
      <c r="I56" s="388"/>
      <c r="J56" s="386" t="s">
        <v>834</v>
      </c>
      <c r="K56" s="387"/>
      <c r="L56" s="387"/>
      <c r="M56" s="388"/>
      <c r="N56" s="386" t="s">
        <v>835</v>
      </c>
      <c r="O56" s="388"/>
      <c r="P56" s="295" t="s">
        <v>108</v>
      </c>
      <c r="Q56" s="386" t="s">
        <v>113</v>
      </c>
      <c r="R56" s="388"/>
      <c r="S56" s="295" t="s">
        <v>118</v>
      </c>
      <c r="T56" s="295" t="s">
        <v>122</v>
      </c>
      <c r="U56" s="386" t="s">
        <v>840</v>
      </c>
      <c r="V56" s="388"/>
      <c r="W56" s="295" t="s">
        <v>127</v>
      </c>
      <c r="X56" s="295" t="s">
        <v>100</v>
      </c>
    </row>
    <row r="57" spans="2:30" ht="25.5">
      <c r="B57" s="295" t="s">
        <v>842</v>
      </c>
      <c r="C57" s="295" t="s">
        <v>843</v>
      </c>
      <c r="D57" s="295"/>
      <c r="E57" s="295" t="s">
        <v>841</v>
      </c>
      <c r="F57" s="295"/>
      <c r="G57" s="295" t="s">
        <v>807</v>
      </c>
      <c r="H57" s="295" t="s">
        <v>808</v>
      </c>
      <c r="I57" s="295" t="s">
        <v>809</v>
      </c>
      <c r="J57" s="296" t="s">
        <v>844</v>
      </c>
      <c r="K57" s="296" t="s">
        <v>845</v>
      </c>
      <c r="L57" s="296" t="s">
        <v>846</v>
      </c>
      <c r="M57" s="296" t="s">
        <v>847</v>
      </c>
      <c r="N57" s="295" t="s">
        <v>848</v>
      </c>
      <c r="O57" s="295" t="s">
        <v>817</v>
      </c>
      <c r="P57" s="295" t="s">
        <v>108</v>
      </c>
      <c r="Q57" s="295" t="s">
        <v>820</v>
      </c>
      <c r="R57" s="295" t="s">
        <v>822</v>
      </c>
      <c r="S57" s="295" t="s">
        <v>118</v>
      </c>
      <c r="T57" s="295" t="s">
        <v>122</v>
      </c>
      <c r="U57" s="295" t="s">
        <v>826</v>
      </c>
      <c r="V57" s="295" t="s">
        <v>849</v>
      </c>
      <c r="W57" s="297" t="s">
        <v>127</v>
      </c>
      <c r="X57" s="295" t="s">
        <v>100</v>
      </c>
    </row>
    <row r="58" spans="2:30">
      <c r="C58" s="298" t="s">
        <v>850</v>
      </c>
      <c r="D58" s="298"/>
      <c r="E58" s="316">
        <f>SUMPRODUCT(G58:X58,G52:X52)/SUM(G52:X52)</f>
        <v>0.16930453701583695</v>
      </c>
      <c r="F58" s="300"/>
      <c r="G58" s="299">
        <f>VLOOKUP(G55,$Q$64:$T$75,2,FALSE)</f>
        <v>0.13694201484289967</v>
      </c>
      <c r="H58" s="299">
        <f t="shared" ref="H58:X58" si="7">VLOOKUP(H55,$Q$64:$T$75,2,FALSE)</f>
        <v>0.13694201484289967</v>
      </c>
      <c r="I58" s="299">
        <f t="shared" si="7"/>
        <v>0.13694201484289967</v>
      </c>
      <c r="J58" s="299">
        <f t="shared" si="7"/>
        <v>0.28431590929099099</v>
      </c>
      <c r="K58" s="299">
        <f t="shared" si="7"/>
        <v>0.28431590929099099</v>
      </c>
      <c r="L58" s="299">
        <f t="shared" si="7"/>
        <v>0.28431590929099099</v>
      </c>
      <c r="M58" s="299">
        <f t="shared" si="7"/>
        <v>0.28431590929099099</v>
      </c>
      <c r="N58" s="299">
        <f t="shared" si="7"/>
        <v>0.10641166515684555</v>
      </c>
      <c r="O58" s="317">
        <f t="shared" si="7"/>
        <v>0.28431590929099099</v>
      </c>
      <c r="P58" s="299">
        <f t="shared" si="7"/>
        <v>8.3532634554250654E-2</v>
      </c>
      <c r="Q58" s="299">
        <f t="shared" si="7"/>
        <v>0.26032202198271615</v>
      </c>
      <c r="R58" s="299">
        <f t="shared" si="7"/>
        <v>0.26032202198271615</v>
      </c>
      <c r="S58" s="299">
        <f t="shared" si="7"/>
        <v>0.43664170869555319</v>
      </c>
      <c r="T58" s="299">
        <f t="shared" si="7"/>
        <v>0.10259832460348207</v>
      </c>
      <c r="U58" s="317">
        <f t="shared" si="7"/>
        <v>0.28431590929099099</v>
      </c>
      <c r="V58" s="299">
        <f t="shared" si="7"/>
        <v>7.0371990255371983E-2</v>
      </c>
      <c r="W58" s="299">
        <f t="shared" si="7"/>
        <v>0.15772286537406049</v>
      </c>
      <c r="X58" s="299">
        <f t="shared" si="7"/>
        <v>0.14552691811087146</v>
      </c>
      <c r="Y58" s="298"/>
    </row>
    <row r="62" spans="2:30">
      <c r="C62" s="294" t="s">
        <v>839</v>
      </c>
      <c r="D62" s="294"/>
      <c r="E62" s="294"/>
      <c r="F62" s="294"/>
      <c r="Q62" s="294" t="s">
        <v>839</v>
      </c>
      <c r="W62" s="58"/>
      <c r="X62" s="58" t="s">
        <v>69</v>
      </c>
      <c r="Y62" s="58"/>
      <c r="Z62" s="58"/>
      <c r="AA62" s="58"/>
      <c r="AB62" s="58"/>
      <c r="AC62" s="58"/>
      <c r="AD62" s="58"/>
    </row>
    <row r="63" spans="2:30" ht="15">
      <c r="C63" s="301" t="s">
        <v>851</v>
      </c>
      <c r="D63" s="301"/>
      <c r="E63" s="301"/>
      <c r="F63" s="301"/>
      <c r="G63" s="301" t="s">
        <v>69</v>
      </c>
      <c r="H63" s="301"/>
      <c r="I63" s="301"/>
      <c r="J63" s="301"/>
      <c r="K63" s="301"/>
      <c r="L63" s="301"/>
      <c r="M63" s="301"/>
      <c r="N63" s="302"/>
      <c r="W63" s="58"/>
      <c r="X63" s="58" t="s">
        <v>851</v>
      </c>
      <c r="Y63" s="58"/>
      <c r="Z63" s="58"/>
      <c r="AA63" s="58"/>
      <c r="AB63" s="58"/>
      <c r="AC63" s="58"/>
      <c r="AD63" s="58"/>
    </row>
    <row r="64" spans="2:30" ht="45">
      <c r="C64" s="301" t="s">
        <v>74</v>
      </c>
      <c r="D64" s="301"/>
      <c r="E64" s="301"/>
      <c r="F64" s="301"/>
      <c r="G64" s="302" t="s">
        <v>88</v>
      </c>
      <c r="H64" s="302" t="s">
        <v>93</v>
      </c>
      <c r="I64" s="302" t="s">
        <v>852</v>
      </c>
      <c r="J64" s="302" t="s">
        <v>91</v>
      </c>
      <c r="K64" s="302" t="s">
        <v>111</v>
      </c>
      <c r="L64" s="302" t="s">
        <v>116</v>
      </c>
      <c r="M64" s="302" t="s">
        <v>100</v>
      </c>
      <c r="N64" s="82"/>
      <c r="Q64" s="58" t="s">
        <v>853</v>
      </c>
      <c r="R64" s="58" t="s">
        <v>854</v>
      </c>
      <c r="S64" s="58" t="s">
        <v>855</v>
      </c>
      <c r="T64" s="58" t="s">
        <v>856</v>
      </c>
      <c r="W64" s="58" t="s">
        <v>74</v>
      </c>
      <c r="X64" s="82" t="s">
        <v>88</v>
      </c>
      <c r="Y64" s="82" t="s">
        <v>93</v>
      </c>
      <c r="Z64" s="82" t="s">
        <v>852</v>
      </c>
      <c r="AA64" s="82" t="s">
        <v>91</v>
      </c>
      <c r="AB64" s="82" t="s">
        <v>111</v>
      </c>
      <c r="AC64" s="82" t="s">
        <v>116</v>
      </c>
      <c r="AD64" s="82" t="s">
        <v>100</v>
      </c>
    </row>
    <row r="65" spans="3:30" ht="15">
      <c r="C65" s="303" t="s">
        <v>987</v>
      </c>
      <c r="D65" s="303"/>
      <c r="E65" s="303"/>
      <c r="F65" s="303"/>
      <c r="G65" s="304">
        <v>0.1089140850014586</v>
      </c>
      <c r="H65" s="304">
        <v>8.5592925162963854E-3</v>
      </c>
      <c r="I65" s="304">
        <v>1.7678660810233792E-2</v>
      </c>
      <c r="J65" s="304">
        <v>0.66834655159895417</v>
      </c>
      <c r="K65" s="304">
        <v>0.17790718167399883</v>
      </c>
      <c r="L65" s="304">
        <v>1.5246596487825137E-2</v>
      </c>
      <c r="M65" s="304">
        <v>3.3476319112331105E-3</v>
      </c>
      <c r="Q65" t="s">
        <v>841</v>
      </c>
      <c r="R65" s="158">
        <v>0.16121646249693089</v>
      </c>
      <c r="S65">
        <v>796</v>
      </c>
      <c r="T65">
        <v>2.0181831717537343E-2</v>
      </c>
      <c r="W65" t="s">
        <v>841</v>
      </c>
      <c r="X65" s="60">
        <v>5.3037436102564554E-2</v>
      </c>
      <c r="Y65" s="60">
        <v>8.4074369491614377E-3</v>
      </c>
      <c r="Z65" s="60">
        <v>3.7768033231273375E-2</v>
      </c>
      <c r="AA65" s="60">
        <v>0.79354210391568925</v>
      </c>
      <c r="AB65" s="60">
        <v>8.2809652184077126E-2</v>
      </c>
      <c r="AC65" s="60">
        <v>2.0513663487473657E-2</v>
      </c>
      <c r="AD65" s="60">
        <v>3.9216741297606432E-3</v>
      </c>
    </row>
    <row r="66" spans="3:30" ht="15">
      <c r="C66" s="303" t="s">
        <v>997</v>
      </c>
      <c r="D66" s="303"/>
      <c r="E66" s="303"/>
      <c r="F66" s="303"/>
      <c r="G66" s="304">
        <v>4.9730410631408989E-3</v>
      </c>
      <c r="H66" s="304">
        <v>2.7030217493599134E-3</v>
      </c>
      <c r="I66" s="304">
        <v>7.3671183316807415E-2</v>
      </c>
      <c r="J66" s="304">
        <v>0.84564460120092622</v>
      </c>
      <c r="K66" s="304">
        <v>2.5818444206180634E-2</v>
      </c>
      <c r="L66" s="304">
        <v>4.559764971618771E-2</v>
      </c>
      <c r="M66" s="304">
        <v>1.5920587473971558E-3</v>
      </c>
      <c r="Q66" t="s">
        <v>127</v>
      </c>
      <c r="R66" s="158">
        <v>0.15772286537406049</v>
      </c>
      <c r="S66">
        <v>102</v>
      </c>
      <c r="T66">
        <v>5.3641846503626224E-2</v>
      </c>
      <c r="W66" t="s">
        <v>127</v>
      </c>
      <c r="X66" s="60">
        <v>6.2547021252822466E-2</v>
      </c>
      <c r="Y66" s="60">
        <v>5.1902790124572305E-4</v>
      </c>
      <c r="Z66" s="60">
        <v>7.2625874955335604E-4</v>
      </c>
      <c r="AA66" s="60">
        <v>0.77023039780739733</v>
      </c>
      <c r="AB66" s="60">
        <v>0.15125098453579933</v>
      </c>
      <c r="AC66" s="60">
        <v>1.271125955623144E-2</v>
      </c>
      <c r="AD66" s="60">
        <v>2.0150501969504681E-3</v>
      </c>
    </row>
    <row r="67" spans="3:30" ht="15">
      <c r="C67" s="303" t="s">
        <v>100</v>
      </c>
      <c r="D67" s="303"/>
      <c r="E67" s="303"/>
      <c r="F67" s="303"/>
      <c r="G67" s="304">
        <v>1.9534988200141067E-3</v>
      </c>
      <c r="H67" s="304">
        <v>2.2555795148332187E-2</v>
      </c>
      <c r="I67" s="304">
        <v>8.7825934390667978E-2</v>
      </c>
      <c r="J67" s="304">
        <v>0.78807981385960235</v>
      </c>
      <c r="K67" s="304">
        <v>8.129970450698884E-2</v>
      </c>
      <c r="L67" s="304">
        <v>6.8645975030871675E-3</v>
      </c>
      <c r="M67" s="304">
        <v>1.1420655771307438E-2</v>
      </c>
      <c r="Q67" t="s">
        <v>836</v>
      </c>
      <c r="R67" s="158">
        <v>0.43664170869555319</v>
      </c>
      <c r="S67">
        <v>43</v>
      </c>
      <c r="T67">
        <v>0.20150230835461891</v>
      </c>
      <c r="W67" t="s">
        <v>836</v>
      </c>
      <c r="X67" s="60">
        <v>7.0640063063622471E-2</v>
      </c>
      <c r="Y67" s="60">
        <v>4.9748407491122401E-2</v>
      </c>
      <c r="Z67" s="60">
        <v>5.4484348111404471E-2</v>
      </c>
      <c r="AA67" s="60">
        <v>0.56226646790425538</v>
      </c>
      <c r="AB67" s="60">
        <v>0.25377893571511911</v>
      </c>
      <c r="AC67" s="60">
        <v>9.0817777144761493E-3</v>
      </c>
      <c r="AD67" s="60">
        <v>0</v>
      </c>
    </row>
    <row r="68" spans="3:30" ht="15">
      <c r="C68" s="303" t="s">
        <v>986</v>
      </c>
      <c r="D68" s="303"/>
      <c r="E68" s="303"/>
      <c r="F68" s="303"/>
      <c r="G68" s="304">
        <v>3.582255939059858E-3</v>
      </c>
      <c r="H68" s="304">
        <v>2.7262114166606783E-3</v>
      </c>
      <c r="I68" s="304">
        <v>3.4035958944749367E-2</v>
      </c>
      <c r="J68" s="304">
        <v>0.91832914357292195</v>
      </c>
      <c r="K68" s="304">
        <v>1.8494862077173498E-2</v>
      </c>
      <c r="L68" s="304">
        <v>1.8804377524271384E-2</v>
      </c>
      <c r="M68" s="304">
        <v>4.0271905251631768E-3</v>
      </c>
      <c r="Q68" t="s">
        <v>113</v>
      </c>
      <c r="R68" s="158">
        <v>0.26032202198271615</v>
      </c>
      <c r="S68">
        <v>74</v>
      </c>
      <c r="T68">
        <v>0.11904090633134305</v>
      </c>
      <c r="W68" t="s">
        <v>113</v>
      </c>
      <c r="X68" s="60">
        <v>2.7991114297219195E-2</v>
      </c>
      <c r="Y68" s="60">
        <v>6.6008185228435184E-2</v>
      </c>
      <c r="Z68" s="60">
        <v>4.4737070325351673E-2</v>
      </c>
      <c r="AA68" s="60">
        <v>0.74709526501563361</v>
      </c>
      <c r="AB68" s="60">
        <v>4.8602167990716753E-2</v>
      </c>
      <c r="AC68" s="60">
        <v>6.3533575113378732E-2</v>
      </c>
      <c r="AD68" s="60">
        <v>2.0326220292648609E-3</v>
      </c>
    </row>
    <row r="69" spans="3:30" ht="15">
      <c r="C69" s="303" t="s">
        <v>857</v>
      </c>
      <c r="D69" s="303"/>
      <c r="E69" s="303"/>
      <c r="F69" s="303"/>
      <c r="G69" s="304">
        <v>3.5648870350376102E-2</v>
      </c>
      <c r="H69" s="304">
        <v>5.3609017891016901E-2</v>
      </c>
      <c r="I69" s="304">
        <v>0.325468103184267</v>
      </c>
      <c r="J69" s="304">
        <v>0.44016519711820645</v>
      </c>
      <c r="K69" s="304">
        <v>0.10041442742330241</v>
      </c>
      <c r="L69" s="304">
        <v>3.8788810994273018E-2</v>
      </c>
      <c r="M69" s="304">
        <v>5.9055730385580447E-3</v>
      </c>
      <c r="Q69" t="s">
        <v>122</v>
      </c>
      <c r="R69" s="158">
        <v>0.10259832460348207</v>
      </c>
      <c r="S69">
        <v>71</v>
      </c>
      <c r="T69">
        <v>1.9361976277696355E-2</v>
      </c>
      <c r="W69" t="s">
        <v>122</v>
      </c>
      <c r="X69" s="60">
        <v>0.1166365993854387</v>
      </c>
      <c r="Y69" s="60">
        <v>1.0059765988074971E-2</v>
      </c>
      <c r="Z69" s="60">
        <v>8.9394703366540845E-3</v>
      </c>
      <c r="AA69" s="60">
        <v>0.7410017724589677</v>
      </c>
      <c r="AB69" s="60">
        <v>0.1199457361866169</v>
      </c>
      <c r="AC69" s="60">
        <v>2.8661910179148689E-3</v>
      </c>
      <c r="AD69" s="60">
        <v>5.5046462633274421E-4</v>
      </c>
    </row>
    <row r="70" spans="3:30" ht="15">
      <c r="C70" s="303" t="s">
        <v>998</v>
      </c>
      <c r="D70" s="303"/>
      <c r="E70" s="303"/>
      <c r="F70" s="303"/>
      <c r="G70" s="304">
        <v>5.6271088739647404E-3</v>
      </c>
      <c r="H70" s="304">
        <v>0</v>
      </c>
      <c r="I70" s="304">
        <v>6.9985457914791959E-4</v>
      </c>
      <c r="J70" s="304">
        <v>0.80321411812166987</v>
      </c>
      <c r="K70" s="304">
        <v>0.19045891842521745</v>
      </c>
      <c r="L70" s="304">
        <v>0</v>
      </c>
      <c r="M70" s="304">
        <v>0</v>
      </c>
      <c r="Q70" t="s">
        <v>92</v>
      </c>
      <c r="R70" s="158">
        <v>0.13694201484289967</v>
      </c>
      <c r="S70">
        <v>114</v>
      </c>
      <c r="T70">
        <v>3.9621553031031376E-2</v>
      </c>
      <c r="W70" t="s">
        <v>92</v>
      </c>
      <c r="X70" s="60">
        <v>6.8515778730052407E-2</v>
      </c>
      <c r="Y70" s="60">
        <v>0</v>
      </c>
      <c r="Z70" s="60">
        <v>7.7263492076643176E-3</v>
      </c>
      <c r="AA70" s="60">
        <v>0.83211401378239691</v>
      </c>
      <c r="AB70" s="60">
        <v>8.1562294896726145E-2</v>
      </c>
      <c r="AC70" s="60">
        <v>9.6251302927147751E-3</v>
      </c>
      <c r="AD70" s="60">
        <v>4.5643309044550998E-4</v>
      </c>
    </row>
    <row r="71" spans="3:30" ht="15">
      <c r="C71" s="303" t="s">
        <v>988</v>
      </c>
      <c r="D71" s="303"/>
      <c r="E71" s="303"/>
      <c r="F71" s="303"/>
      <c r="G71" s="304">
        <v>0.13771272830545253</v>
      </c>
      <c r="H71" s="304">
        <v>1.850540453165973E-2</v>
      </c>
      <c r="I71" s="304">
        <v>4.171031208813928E-2</v>
      </c>
      <c r="J71" s="304">
        <v>0.64532218485940596</v>
      </c>
      <c r="K71" s="304">
        <v>0.12021415135711919</v>
      </c>
      <c r="L71" s="304">
        <v>3.3245646911600125E-2</v>
      </c>
      <c r="M71" s="304">
        <v>3.2895719466231516E-3</v>
      </c>
      <c r="Q71" t="s">
        <v>837</v>
      </c>
      <c r="R71" s="158">
        <v>7.0371990255371983E-2</v>
      </c>
      <c r="S71">
        <v>67</v>
      </c>
      <c r="T71">
        <v>1.4524641761212502E-2</v>
      </c>
      <c r="W71" t="s">
        <v>837</v>
      </c>
      <c r="X71" s="60">
        <v>0.12010125974760372</v>
      </c>
      <c r="Y71" s="60">
        <v>0</v>
      </c>
      <c r="Z71" s="60">
        <v>1.2279610386050516E-2</v>
      </c>
      <c r="AA71" s="60">
        <v>0.57198272152067897</v>
      </c>
      <c r="AB71" s="60">
        <v>0.26832137641468617</v>
      </c>
      <c r="AC71" s="60">
        <v>1.8619903808939501E-3</v>
      </c>
      <c r="AD71" s="60">
        <v>2.5453041550086639E-2</v>
      </c>
    </row>
    <row r="72" spans="3:30" ht="15">
      <c r="C72" s="303" t="s">
        <v>106</v>
      </c>
      <c r="D72" s="303"/>
      <c r="E72" s="303"/>
      <c r="F72" s="303"/>
      <c r="G72" s="304">
        <v>0.29841158835346687</v>
      </c>
      <c r="H72" s="304">
        <v>0.10865874325332579</v>
      </c>
      <c r="I72" s="304">
        <v>0.58109000731401272</v>
      </c>
      <c r="J72" s="304">
        <v>5.1091016103316873</v>
      </c>
      <c r="K72" s="304">
        <v>0.71460768966998078</v>
      </c>
      <c r="L72" s="304">
        <v>0.15854767913724452</v>
      </c>
      <c r="M72" s="304">
        <v>2.9582681940282081E-2</v>
      </c>
      <c r="Q72" t="s">
        <v>834</v>
      </c>
      <c r="R72" s="158">
        <v>0.28431590929099099</v>
      </c>
      <c r="S72">
        <v>130</v>
      </c>
      <c r="T72">
        <v>8.2287697444958355E-2</v>
      </c>
      <c r="W72" t="s">
        <v>834</v>
      </c>
      <c r="X72" s="60">
        <v>2.8870584428816626E-2</v>
      </c>
      <c r="Y72" s="60">
        <v>7.8609697747620468E-3</v>
      </c>
      <c r="Z72" s="60">
        <v>7.7580653565702873E-2</v>
      </c>
      <c r="AA72" s="60">
        <v>0.83461613460039141</v>
      </c>
      <c r="AB72" s="60">
        <v>3.6941018913235112E-2</v>
      </c>
      <c r="AC72" s="60">
        <v>4.599949066946999E-3</v>
      </c>
      <c r="AD72" s="60">
        <v>9.5306896501449849E-3</v>
      </c>
    </row>
    <row r="73" spans="3:30">
      <c r="Q73" t="s">
        <v>835</v>
      </c>
      <c r="R73" s="158">
        <v>0.10641166515684555</v>
      </c>
      <c r="S73">
        <v>74</v>
      </c>
      <c r="T73">
        <v>2.0666258072524368E-2</v>
      </c>
      <c r="W73" t="s">
        <v>835</v>
      </c>
      <c r="X73" s="60">
        <v>5.5055999898805642E-2</v>
      </c>
      <c r="Y73" s="60">
        <v>6.0763462590469669E-3</v>
      </c>
      <c r="Z73" s="60">
        <v>3.0156828843977627E-2</v>
      </c>
      <c r="AA73" s="60">
        <v>0.80395924165029553</v>
      </c>
      <c r="AB73" s="60">
        <v>6.0656724500699657E-2</v>
      </c>
      <c r="AC73" s="60">
        <v>4.3695375399598245E-2</v>
      </c>
      <c r="AD73" s="60">
        <v>3.9948344757638861E-4</v>
      </c>
    </row>
    <row r="74" spans="3:30">
      <c r="Q74" t="s">
        <v>108</v>
      </c>
      <c r="R74" s="158">
        <v>8.3532634554250654E-2</v>
      </c>
      <c r="S74">
        <v>43</v>
      </c>
      <c r="T74">
        <v>2.2922980433797369E-2</v>
      </c>
      <c r="W74" t="s">
        <v>108</v>
      </c>
      <c r="X74" s="60">
        <v>2.8953895134294538E-2</v>
      </c>
      <c r="Y74" s="60">
        <v>0</v>
      </c>
      <c r="Z74" s="60">
        <v>4.1426624794347902E-2</v>
      </c>
      <c r="AA74" s="60">
        <v>0.8516084532655307</v>
      </c>
      <c r="AB74" s="60">
        <v>7.3834583918693811E-2</v>
      </c>
      <c r="AC74" s="60">
        <v>4.1764428871330752E-3</v>
      </c>
      <c r="AD74" s="60">
        <v>0</v>
      </c>
    </row>
    <row r="75" spans="3:30">
      <c r="C75" s="58" t="s">
        <v>861</v>
      </c>
      <c r="D75" s="58" t="s">
        <v>862</v>
      </c>
      <c r="E75" s="58" t="s">
        <v>855</v>
      </c>
      <c r="F75" s="58" t="s">
        <v>856</v>
      </c>
      <c r="Q75" t="s">
        <v>100</v>
      </c>
      <c r="R75" s="158">
        <v>0.14552691811087146</v>
      </c>
      <c r="S75">
        <v>78</v>
      </c>
      <c r="T75">
        <v>3.5074311983207408E-2</v>
      </c>
      <c r="W75" t="s">
        <v>100</v>
      </c>
      <c r="X75" s="60">
        <v>7.6730553507968632E-2</v>
      </c>
      <c r="Y75" s="60">
        <v>1.7273973533904041E-4</v>
      </c>
      <c r="Z75" s="60">
        <v>1.4959610455695618E-2</v>
      </c>
      <c r="AA75" s="60">
        <v>0.74622527906407787</v>
      </c>
      <c r="AB75" s="60">
        <v>6.2171587244101198E-2</v>
      </c>
      <c r="AC75" s="60">
        <v>9.9740229992817647E-2</v>
      </c>
      <c r="AD75" s="60">
        <v>0</v>
      </c>
    </row>
    <row r="76" spans="3:30">
      <c r="C76" t="s">
        <v>987</v>
      </c>
      <c r="D76" s="158">
        <v>3.839461944580088E-2</v>
      </c>
      <c r="E76">
        <v>796</v>
      </c>
      <c r="F76" s="158">
        <v>6.2691778561376034E-3</v>
      </c>
    </row>
    <row r="77" spans="3:30">
      <c r="C77" t="s">
        <v>997</v>
      </c>
      <c r="D77" s="158">
        <v>6.01322733358442E-3</v>
      </c>
      <c r="E77">
        <v>796</v>
      </c>
      <c r="F77" s="158">
        <v>4.7751692576991763E-3</v>
      </c>
    </row>
    <row r="78" spans="3:30">
      <c r="C78" t="s">
        <v>100</v>
      </c>
      <c r="D78" s="158">
        <v>7.5023915366810592E-2</v>
      </c>
      <c r="E78">
        <v>796</v>
      </c>
      <c r="F78" s="158">
        <v>1.5275971704079305E-2</v>
      </c>
    </row>
    <row r="79" spans="3:30">
      <c r="C79" t="s">
        <v>986</v>
      </c>
      <c r="D79" s="158">
        <v>1.6356811172791978E-3</v>
      </c>
      <c r="E79">
        <v>796</v>
      </c>
      <c r="F79" s="158">
        <v>7.534257233445976E-4</v>
      </c>
    </row>
    <row r="80" spans="3:30">
      <c r="C80" t="s">
        <v>857</v>
      </c>
      <c r="D80" s="158">
        <v>4.1931293765954253E-3</v>
      </c>
      <c r="E80">
        <v>796</v>
      </c>
      <c r="F80" s="158">
        <v>3.2784623855457015E-3</v>
      </c>
    </row>
    <row r="81" spans="3:31">
      <c r="C81" t="s">
        <v>998</v>
      </c>
      <c r="D81" s="158">
        <v>3.0059827146962242E-2</v>
      </c>
      <c r="E81">
        <v>796</v>
      </c>
      <c r="F81" s="158">
        <v>6.6012757624277418E-3</v>
      </c>
    </row>
    <row r="82" spans="3:31">
      <c r="C82" t="s">
        <v>988</v>
      </c>
      <c r="D82" s="158">
        <v>8.7481200145375655E-3</v>
      </c>
      <c r="E82">
        <v>796</v>
      </c>
      <c r="F82" s="158">
        <v>5.0128634101077735E-3</v>
      </c>
      <c r="N82" t="s">
        <v>866</v>
      </c>
      <c r="W82" t="s">
        <v>858</v>
      </c>
    </row>
    <row r="83" spans="3:31" ht="25.5">
      <c r="N83" s="58" t="s">
        <v>74</v>
      </c>
      <c r="O83" s="58" t="s">
        <v>867</v>
      </c>
      <c r="P83" s="58"/>
      <c r="W83" s="58" t="s">
        <v>74</v>
      </c>
      <c r="X83" s="82" t="s">
        <v>88</v>
      </c>
      <c r="Y83" s="82" t="s">
        <v>93</v>
      </c>
      <c r="Z83" s="82" t="s">
        <v>852</v>
      </c>
      <c r="AA83" s="82" t="s">
        <v>91</v>
      </c>
      <c r="AB83" s="82" t="s">
        <v>111</v>
      </c>
      <c r="AC83" s="82" t="s">
        <v>116</v>
      </c>
      <c r="AD83" s="82" t="s">
        <v>100</v>
      </c>
      <c r="AE83" s="82" t="s">
        <v>859</v>
      </c>
    </row>
    <row r="84" spans="3:31">
      <c r="N84" s="318" t="s">
        <v>127</v>
      </c>
      <c r="O84" s="319">
        <v>368872051.45900011</v>
      </c>
      <c r="P84" s="320">
        <f>O84/1000000</f>
        <v>368.87205145900009</v>
      </c>
      <c r="T84" t="s">
        <v>106</v>
      </c>
      <c r="U84" s="106">
        <f>VLOOKUP(T84,$N$84:$P$96,3,FALSE)</f>
        <v>3349.27364795836</v>
      </c>
      <c r="W84" t="s">
        <v>841</v>
      </c>
      <c r="X84" s="305">
        <f>X65*$R65</f>
        <v>8.5505078283624678E-3</v>
      </c>
      <c r="Y84" s="305">
        <f t="shared" ref="Y84:AD84" si="8">Y65*$R65</f>
        <v>1.355417243609796E-3</v>
      </c>
      <c r="Z84" s="305">
        <f t="shared" si="8"/>
        <v>6.0888287130124235E-3</v>
      </c>
      <c r="AA84" s="305">
        <f t="shared" si="8"/>
        <v>0.12793205083565934</v>
      </c>
      <c r="AB84" s="305">
        <f t="shared" si="8"/>
        <v>1.3350279185718161E-2</v>
      </c>
      <c r="AC84" s="305">
        <f t="shared" si="8"/>
        <v>3.3071402603029572E-3</v>
      </c>
      <c r="AD84" s="305">
        <f t="shared" si="8"/>
        <v>6.3223843026574082E-4</v>
      </c>
      <c r="AE84" s="305">
        <f>SUM(X84:AD84)</f>
        <v>0.16121646249693089</v>
      </c>
    </row>
    <row r="85" spans="3:31">
      <c r="N85" s="318" t="s">
        <v>113</v>
      </c>
      <c r="O85" s="319">
        <v>77120837.687360033</v>
      </c>
      <c r="P85" s="320">
        <f t="shared" ref="P85:P96" si="9">O85/1000000</f>
        <v>77.120837687360037</v>
      </c>
      <c r="U85" s="106"/>
      <c r="X85" s="305"/>
      <c r="Y85" s="305"/>
      <c r="Z85" s="305"/>
      <c r="AA85" s="305"/>
      <c r="AB85" s="305"/>
      <c r="AC85" s="305"/>
      <c r="AD85" s="305"/>
      <c r="AE85" s="305"/>
    </row>
    <row r="86" spans="3:31">
      <c r="N86" s="318" t="s">
        <v>826</v>
      </c>
      <c r="O86" s="319">
        <v>103754034.99999991</v>
      </c>
      <c r="P86" s="320">
        <f t="shared" si="9"/>
        <v>103.75403499999992</v>
      </c>
      <c r="T86" t="s">
        <v>127</v>
      </c>
      <c r="U86" s="106">
        <f t="shared" ref="U86:U95" si="10">VLOOKUP(T86,$N$84:$P$96,3,FALSE)</f>
        <v>368.87205145900009</v>
      </c>
      <c r="W86" t="s">
        <v>127</v>
      </c>
      <c r="X86" s="305">
        <f>X66*$R66</f>
        <v>9.8650954126074178E-3</v>
      </c>
      <c r="Y86" s="305">
        <f t="shared" ref="X86:AD95" si="11">Y66*$R66</f>
        <v>8.1862567793560348E-5</v>
      </c>
      <c r="Z86" s="305">
        <f t="shared" si="11"/>
        <v>1.145476109825375E-4</v>
      </c>
      <c r="AA86" s="305">
        <f t="shared" si="11"/>
        <v>0.12148294534038519</v>
      </c>
      <c r="AB86" s="305">
        <f t="shared" si="11"/>
        <v>2.3855738671633982E-2</v>
      </c>
      <c r="AC86" s="305">
        <f t="shared" si="11"/>
        <v>2.0048562797222312E-3</v>
      </c>
      <c r="AD86" s="305">
        <f t="shared" si="11"/>
        <v>3.1781949093559274E-4</v>
      </c>
      <c r="AE86" s="305">
        <f t="shared" ref="AE86:AE95" si="12">SUM(X86:AD86)</f>
        <v>0.15772286537406052</v>
      </c>
    </row>
    <row r="87" spans="3:31">
      <c r="N87" s="318" t="s">
        <v>122</v>
      </c>
      <c r="O87" s="319">
        <v>171040928.8844001</v>
      </c>
      <c r="P87" s="320">
        <f t="shared" si="9"/>
        <v>171.0409288844001</v>
      </c>
      <c r="T87" t="s">
        <v>118</v>
      </c>
      <c r="U87" s="106">
        <f t="shared" si="10"/>
        <v>53.036739081999983</v>
      </c>
      <c r="W87" t="s">
        <v>836</v>
      </c>
      <c r="X87" s="305">
        <f t="shared" si="11"/>
        <v>3.0844397838461751E-2</v>
      </c>
      <c r="Y87" s="305">
        <f t="shared" si="11"/>
        <v>2.1722229651806344E-2</v>
      </c>
      <c r="Z87" s="305">
        <f t="shared" si="11"/>
        <v>2.3790138856526984E-2</v>
      </c>
      <c r="AA87" s="305">
        <f t="shared" si="11"/>
        <v>0.2455089912879275</v>
      </c>
      <c r="AB87" s="305">
        <f t="shared" si="11"/>
        <v>0.11081046812158855</v>
      </c>
      <c r="AC87" s="305">
        <f t="shared" si="11"/>
        <v>3.9654829392420619E-3</v>
      </c>
      <c r="AD87" s="305">
        <f t="shared" si="11"/>
        <v>0</v>
      </c>
      <c r="AE87" s="305">
        <f t="shared" si="12"/>
        <v>0.43664170869555319</v>
      </c>
    </row>
    <row r="88" spans="3:31">
      <c r="N88" s="318" t="s">
        <v>92</v>
      </c>
      <c r="O88" s="319">
        <v>734358126.13499999</v>
      </c>
      <c r="P88" s="320">
        <f t="shared" si="9"/>
        <v>734.35812613500002</v>
      </c>
      <c r="T88" t="s">
        <v>113</v>
      </c>
      <c r="U88" s="106">
        <f t="shared" si="10"/>
        <v>77.120837687360037</v>
      </c>
      <c r="W88" t="s">
        <v>113</v>
      </c>
      <c r="X88" s="305">
        <f t="shared" si="11"/>
        <v>7.2867034714014156E-3</v>
      </c>
      <c r="Y88" s="305">
        <f t="shared" si="11"/>
        <v>1.7183384246075902E-2</v>
      </c>
      <c r="Z88" s="305">
        <f t="shared" si="11"/>
        <v>1.1646044604678517E-2</v>
      </c>
      <c r="AA88" s="305">
        <f t="shared" si="11"/>
        <v>0.19448535000258291</v>
      </c>
      <c r="AB88" s="305">
        <f t="shared" si="11"/>
        <v>1.265221464408703E-2</v>
      </c>
      <c r="AC88" s="305">
        <f t="shared" si="11"/>
        <v>1.6539188737305525E-2</v>
      </c>
      <c r="AD88" s="305">
        <f t="shared" si="11"/>
        <v>5.2913627658484025E-4</v>
      </c>
      <c r="AE88" s="305">
        <f t="shared" si="12"/>
        <v>0.26032202198271615</v>
      </c>
    </row>
    <row r="89" spans="3:31">
      <c r="N89" s="318" t="s">
        <v>100</v>
      </c>
      <c r="O89" s="319">
        <v>333434464.10600013</v>
      </c>
      <c r="P89" s="320">
        <f t="shared" si="9"/>
        <v>333.43446410600012</v>
      </c>
      <c r="T89" t="s">
        <v>122</v>
      </c>
      <c r="U89" s="106">
        <f t="shared" si="10"/>
        <v>171.0409288844001</v>
      </c>
      <c r="W89" t="s">
        <v>122</v>
      </c>
      <c r="X89" s="305">
        <f t="shared" si="11"/>
        <v>1.1966719684393537E-2</v>
      </c>
      <c r="Y89" s="305">
        <f t="shared" si="11"/>
        <v>1.0321151362795845E-3</v>
      </c>
      <c r="Z89" s="305">
        <f t="shared" si="11"/>
        <v>9.1717467938323498E-4</v>
      </c>
      <c r="AA89" s="305">
        <f t="shared" si="11"/>
        <v>7.6025540382500728E-2</v>
      </c>
      <c r="AB89" s="305">
        <f t="shared" si="11"/>
        <v>1.2306231576078146E-2</v>
      </c>
      <c r="AC89" s="305">
        <f t="shared" si="11"/>
        <v>2.9406639643161442E-4</v>
      </c>
      <c r="AD89" s="305">
        <f t="shared" si="11"/>
        <v>5.6476748415221357E-5</v>
      </c>
      <c r="AE89" s="305">
        <f t="shared" si="12"/>
        <v>0.10259832460348207</v>
      </c>
    </row>
    <row r="90" spans="3:31">
      <c r="N90" s="318" t="s">
        <v>125</v>
      </c>
      <c r="O90" s="319">
        <v>125160635.43360004</v>
      </c>
      <c r="P90" s="320">
        <f t="shared" si="9"/>
        <v>125.16063543360004</v>
      </c>
      <c r="T90" t="s">
        <v>92</v>
      </c>
      <c r="U90" s="106">
        <f t="shared" si="10"/>
        <v>734.35812613500002</v>
      </c>
      <c r="W90" t="s">
        <v>92</v>
      </c>
      <c r="X90" s="305">
        <f t="shared" si="11"/>
        <v>9.3826887878236658E-3</v>
      </c>
      <c r="Y90" s="305">
        <f t="shared" si="11"/>
        <v>0</v>
      </c>
      <c r="Z90" s="305">
        <f t="shared" si="11"/>
        <v>1.0580618278773931E-3</v>
      </c>
      <c r="AA90" s="305">
        <f t="shared" si="11"/>
        <v>0.11395136962637381</v>
      </c>
      <c r="AB90" s="305">
        <f t="shared" si="11"/>
        <v>1.1169304998368431E-2</v>
      </c>
      <c r="AC90" s="305">
        <f t="shared" si="11"/>
        <v>1.3180847354097899E-3</v>
      </c>
      <c r="AD90" s="305">
        <f t="shared" si="11"/>
        <v>6.250486704657959E-5</v>
      </c>
      <c r="AE90" s="305">
        <f t="shared" si="12"/>
        <v>0.13694201484289967</v>
      </c>
    </row>
    <row r="91" spans="3:31">
      <c r="N91" s="318" t="s">
        <v>118</v>
      </c>
      <c r="O91" s="319">
        <v>53036739.08199998</v>
      </c>
      <c r="P91" s="320">
        <f t="shared" si="9"/>
        <v>53.036739081999983</v>
      </c>
      <c r="T91" t="s">
        <v>100</v>
      </c>
      <c r="U91" s="106">
        <f t="shared" si="10"/>
        <v>333.43446410600012</v>
      </c>
      <c r="W91" t="s">
        <v>100</v>
      </c>
      <c r="X91" s="305">
        <f t="shared" si="11"/>
        <v>8.4517646806162687E-3</v>
      </c>
      <c r="Y91" s="305">
        <f t="shared" si="11"/>
        <v>0</v>
      </c>
      <c r="Z91" s="305">
        <f t="shared" si="11"/>
        <v>8.6414062242691156E-4</v>
      </c>
      <c r="AA91" s="305">
        <f t="shared" si="11"/>
        <v>4.0251562505094367E-2</v>
      </c>
      <c r="AB91" s="305">
        <f t="shared" si="11"/>
        <v>1.8882309286362295E-2</v>
      </c>
      <c r="AC91" s="305">
        <f t="shared" si="11"/>
        <v>1.3103196893986542E-4</v>
      </c>
      <c r="AD91" s="305">
        <f t="shared" si="11"/>
        <v>1.7911811919322752E-3</v>
      </c>
      <c r="AE91" s="305">
        <f t="shared" si="12"/>
        <v>7.0371990255371983E-2</v>
      </c>
    </row>
    <row r="92" spans="3:31">
      <c r="N92" t="s">
        <v>98</v>
      </c>
      <c r="O92" s="59">
        <v>570929487.82300019</v>
      </c>
      <c r="P92" s="320">
        <f t="shared" si="9"/>
        <v>570.92948782300016</v>
      </c>
      <c r="T92" t="s">
        <v>125</v>
      </c>
      <c r="U92" s="106">
        <f t="shared" si="10"/>
        <v>125.16063543360004</v>
      </c>
      <c r="W92" t="s">
        <v>837</v>
      </c>
      <c r="X92" s="305">
        <f t="shared" si="11"/>
        <v>8.2083664636413249E-3</v>
      </c>
      <c r="Y92" s="305">
        <f t="shared" si="11"/>
        <v>2.2349987694204681E-3</v>
      </c>
      <c r="Z92" s="305">
        <f t="shared" si="11"/>
        <v>2.2057414061922173E-2</v>
      </c>
      <c r="AA92" s="305">
        <f t="shared" si="11"/>
        <v>0.23729464521784241</v>
      </c>
      <c r="AB92" s="305">
        <f t="shared" si="11"/>
        <v>1.0502919382452137E-2</v>
      </c>
      <c r="AC92" s="305">
        <f t="shared" si="11"/>
        <v>1.3078387016612816E-3</v>
      </c>
      <c r="AD92" s="305">
        <f t="shared" si="11"/>
        <v>2.709726694051208E-3</v>
      </c>
      <c r="AE92" s="305">
        <f t="shared" si="12"/>
        <v>0.28431590929099104</v>
      </c>
    </row>
    <row r="93" spans="3:31">
      <c r="N93" t="s">
        <v>103</v>
      </c>
      <c r="O93" s="59">
        <v>245353161.73799995</v>
      </c>
      <c r="P93" s="320">
        <f t="shared" si="9"/>
        <v>245.35316173799995</v>
      </c>
      <c r="T93" t="s">
        <v>98</v>
      </c>
      <c r="U93" s="106">
        <f t="shared" si="10"/>
        <v>570.92948782300016</v>
      </c>
      <c r="W93" t="s">
        <v>834</v>
      </c>
      <c r="X93" s="305">
        <f t="shared" si="11"/>
        <v>5.8586006261070285E-3</v>
      </c>
      <c r="Y93" s="305">
        <f t="shared" si="11"/>
        <v>6.4659412349475697E-4</v>
      </c>
      <c r="Z93" s="305">
        <f t="shared" si="11"/>
        <v>3.2090383731376492E-3</v>
      </c>
      <c r="AA93" s="305">
        <f t="shared" si="11"/>
        <v>8.5550641622242726E-2</v>
      </c>
      <c r="AB93" s="305">
        <f t="shared" si="11"/>
        <v>6.4545830570794816E-3</v>
      </c>
      <c r="AC93" s="305">
        <f t="shared" si="11"/>
        <v>4.6496976559247151E-3</v>
      </c>
      <c r="AD93" s="305">
        <f t="shared" si="11"/>
        <v>4.2509698859200926E-5</v>
      </c>
      <c r="AE93" s="305">
        <f t="shared" si="12"/>
        <v>0.10641166515684555</v>
      </c>
    </row>
    <row r="94" spans="3:31">
      <c r="N94" t="s">
        <v>817</v>
      </c>
      <c r="O94" s="59">
        <v>123989125.99999999</v>
      </c>
      <c r="P94" s="320">
        <f t="shared" si="9"/>
        <v>123.98912599999998</v>
      </c>
      <c r="T94" t="s">
        <v>103</v>
      </c>
      <c r="U94" s="106">
        <f t="shared" si="10"/>
        <v>245.35316173799995</v>
      </c>
      <c r="W94" t="s">
        <v>835</v>
      </c>
      <c r="X94" s="305">
        <f t="shared" si="11"/>
        <v>2.4185951411751219E-3</v>
      </c>
      <c r="Y94" s="305">
        <f t="shared" si="11"/>
        <v>0</v>
      </c>
      <c r="Z94" s="305">
        <f t="shared" si="11"/>
        <v>3.4604751097623222E-3</v>
      </c>
      <c r="AA94" s="305">
        <f t="shared" si="11"/>
        <v>7.1137097709940228E-2</v>
      </c>
      <c r="AB94" s="305">
        <f t="shared" si="11"/>
        <v>6.1675973159454021E-3</v>
      </c>
      <c r="AC94" s="305">
        <f t="shared" si="11"/>
        <v>3.4886927742758668E-4</v>
      </c>
      <c r="AD94" s="305">
        <f t="shared" si="11"/>
        <v>0</v>
      </c>
      <c r="AE94" s="305">
        <f t="shared" si="12"/>
        <v>8.3532634554250668E-2</v>
      </c>
    </row>
    <row r="95" spans="3:31">
      <c r="N95" t="s">
        <v>108</v>
      </c>
      <c r="O95" s="59">
        <v>442224054.61000007</v>
      </c>
      <c r="P95" s="320">
        <f t="shared" si="9"/>
        <v>442.22405461000005</v>
      </c>
      <c r="T95" t="s">
        <v>108</v>
      </c>
      <c r="U95" s="106">
        <f t="shared" si="10"/>
        <v>442.22405461000005</v>
      </c>
      <c r="W95" t="s">
        <v>108</v>
      </c>
      <c r="X95" s="305">
        <f t="shared" si="11"/>
        <v>1.1166360976955992E-2</v>
      </c>
      <c r="Y95" s="305">
        <f t="shared" si="11"/>
        <v>2.513828131917814E-5</v>
      </c>
      <c r="Z95" s="305">
        <f t="shared" si="11"/>
        <v>2.1770260057565527E-3</v>
      </c>
      <c r="AA95" s="305">
        <f t="shared" si="11"/>
        <v>0.10859586507862026</v>
      </c>
      <c r="AB95" s="305">
        <f t="shared" si="11"/>
        <v>9.0476394856952146E-3</v>
      </c>
      <c r="AC95" s="305">
        <f t="shared" si="11"/>
        <v>1.4514888282524259E-2</v>
      </c>
      <c r="AD95" s="305">
        <f t="shared" si="11"/>
        <v>0</v>
      </c>
      <c r="AE95" s="305">
        <f t="shared" si="12"/>
        <v>0.14552691811087146</v>
      </c>
    </row>
    <row r="96" spans="3:31">
      <c r="N96" t="s">
        <v>106</v>
      </c>
      <c r="O96" s="59">
        <v>3349273647.9583602</v>
      </c>
      <c r="P96" s="320">
        <f t="shared" si="9"/>
        <v>3349.27364795836</v>
      </c>
    </row>
    <row r="97" spans="24:31">
      <c r="X97" s="306"/>
      <c r="Y97" s="306"/>
      <c r="Z97" s="306"/>
      <c r="AA97" s="306"/>
      <c r="AB97" s="306"/>
      <c r="AC97" s="306"/>
      <c r="AD97" s="306"/>
      <c r="AE97" s="306"/>
    </row>
  </sheetData>
  <mergeCells count="5">
    <mergeCell ref="G56:I56"/>
    <mergeCell ref="J56:M56"/>
    <mergeCell ref="N56:O56"/>
    <mergeCell ref="Q56:R56"/>
    <mergeCell ref="U56:V56"/>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sheetPr>
    <tabColor rgb="FFFFFF00"/>
  </sheetPr>
  <dimension ref="A1:CW79"/>
  <sheetViews>
    <sheetView topLeftCell="A6" workbookViewId="0">
      <selection activeCell="CW16" sqref="CW16"/>
    </sheetView>
  </sheetViews>
  <sheetFormatPr defaultRowHeight="12.75"/>
  <cols>
    <col min="1" max="1" width="11.42578125" customWidth="1"/>
    <col min="4" max="4" width="8.5703125" customWidth="1"/>
    <col min="9" max="9" width="18.5703125" customWidth="1"/>
    <col min="10" max="10" width="13.5703125" customWidth="1"/>
    <col min="11" max="12" width="11.42578125" customWidth="1"/>
    <col min="13" max="13" width="39.140625" customWidth="1"/>
    <col min="14" max="14" width="12" customWidth="1"/>
    <col min="15" max="15" width="12.7109375" customWidth="1"/>
    <col min="16" max="17" width="13.85546875" customWidth="1"/>
    <col min="18" max="18" width="19.28515625" customWidth="1"/>
    <col min="19" max="19" width="13.42578125" customWidth="1"/>
    <col min="20" max="20" width="14.140625" customWidth="1"/>
    <col min="21" max="21" width="13.85546875" customWidth="1"/>
    <col min="22" max="22" width="17.42578125" customWidth="1"/>
    <col min="23" max="23" width="14.140625" customWidth="1"/>
    <col min="24" max="24" width="19.7109375" customWidth="1"/>
    <col min="26" max="26" width="18" customWidth="1"/>
    <col min="27" max="28" width="13.85546875" customWidth="1"/>
    <col min="29" max="29" width="46.7109375" customWidth="1"/>
    <col min="30" max="30" width="13.140625" customWidth="1"/>
    <col min="31" max="31" width="11.85546875" customWidth="1"/>
    <col min="32" max="32" width="16.85546875" customWidth="1"/>
    <col min="33" max="34" width="14.85546875" customWidth="1"/>
    <col min="35" max="35" width="27.5703125" customWidth="1"/>
    <col min="36" max="36" width="22.7109375" customWidth="1"/>
    <col min="38" max="38" width="11.7109375" customWidth="1"/>
    <col min="39" max="39" width="16.28515625" customWidth="1"/>
    <col min="40" max="40" width="29.5703125" customWidth="1"/>
    <col min="41" max="41" width="12.42578125" customWidth="1"/>
    <col min="42" max="42" width="8.42578125" customWidth="1"/>
    <col min="43" max="43" width="43.5703125" customWidth="1"/>
    <col min="44" max="44" width="15.5703125" customWidth="1"/>
    <col min="45" max="45" width="14.7109375" customWidth="1"/>
    <col min="46" max="46" width="58.5703125" customWidth="1"/>
    <col min="47" max="48" width="9.42578125" customWidth="1"/>
    <col min="49" max="49" width="9.85546875" customWidth="1"/>
    <col min="50" max="50" width="11.140625" customWidth="1"/>
    <col min="51" max="51" width="8.28515625" customWidth="1"/>
    <col min="52" max="52" width="12.140625" customWidth="1"/>
    <col min="53" max="53" width="12" customWidth="1"/>
    <col min="54" max="54" width="9.7109375" customWidth="1"/>
    <col min="55" max="55" width="12.28515625" customWidth="1"/>
    <col min="56" max="56" width="9.85546875" customWidth="1"/>
    <col min="57" max="57" width="14.140625" customWidth="1"/>
    <col min="58" max="58" width="13.140625" customWidth="1"/>
    <col min="59" max="59" width="10.7109375" customWidth="1"/>
    <col min="60" max="61" width="9.85546875" customWidth="1"/>
    <col min="62" max="62" width="7.7109375" customWidth="1"/>
    <col min="63" max="63" width="7.85546875" customWidth="1"/>
    <col min="64" max="64" width="7.5703125" customWidth="1"/>
    <col min="65" max="65" width="7.7109375" customWidth="1"/>
    <col min="66" max="66" width="10.28515625" customWidth="1"/>
    <col min="67" max="67" width="10.42578125" customWidth="1"/>
    <col min="68" max="68" width="9.28515625" customWidth="1"/>
    <col min="69" max="69" width="11.28515625" customWidth="1"/>
    <col min="70" max="70" width="8.28515625" customWidth="1"/>
    <col min="71" max="71" width="8" customWidth="1"/>
    <col min="73" max="73" width="8.28515625" customWidth="1"/>
    <col min="74" max="74" width="26" customWidth="1"/>
    <col min="75" max="75" width="12.42578125" customWidth="1"/>
    <col min="76" max="76" width="9.140625" customWidth="1"/>
    <col min="80" max="80" width="38.42578125" customWidth="1"/>
    <col min="81" max="81" width="13.85546875" customWidth="1"/>
    <col min="83" max="83" width="17.7109375" customWidth="1"/>
    <col min="84" max="84" width="14.28515625" customWidth="1"/>
    <col min="90" max="90" width="12.85546875" bestFit="1" customWidth="1"/>
    <col min="91" max="94" width="12.85546875" customWidth="1"/>
    <col min="99" max="99" width="10.140625" customWidth="1"/>
    <col min="101" max="101" width="12.42578125" customWidth="1"/>
  </cols>
  <sheetData>
    <row r="1" spans="1:101">
      <c r="P1" s="125"/>
      <c r="Q1" s="125"/>
      <c r="R1" s="125"/>
      <c r="S1" s="126" t="s">
        <v>245</v>
      </c>
      <c r="T1" s="133">
        <f>[3]Efficacy!$R$25/[3]Efficacy!$U$25</f>
        <v>0.86734693877551017</v>
      </c>
      <c r="AF1" s="47"/>
      <c r="AG1" s="47"/>
      <c r="AH1" s="47"/>
      <c r="AI1" s="48"/>
    </row>
    <row r="2" spans="1:101">
      <c r="P2" s="125"/>
      <c r="Q2" s="125"/>
      <c r="R2" s="125"/>
      <c r="S2" s="126" t="s">
        <v>253</v>
      </c>
      <c r="T2" s="133">
        <f>[3]Efficacy!$R$16/[3]Efficacy!$U$16</f>
        <v>0.82666666666666666</v>
      </c>
      <c r="AF2" s="47"/>
      <c r="AG2" s="47"/>
      <c r="AH2" s="47"/>
      <c r="AI2" s="48"/>
    </row>
    <row r="3" spans="1:101">
      <c r="P3" s="125"/>
      <c r="Q3" s="125"/>
      <c r="R3" s="125"/>
      <c r="S3" s="126" t="s">
        <v>288</v>
      </c>
      <c r="T3" s="133">
        <f>[3]Efficacy!$R$8/[3]Efficacy!$U$8</f>
        <v>0.84444444444444444</v>
      </c>
      <c r="AF3" s="47"/>
      <c r="AG3" s="47"/>
      <c r="AH3" s="47"/>
      <c r="AI3" s="48"/>
      <c r="BM3" s="160" t="s">
        <v>325</v>
      </c>
      <c r="BN3" s="47">
        <v>100</v>
      </c>
      <c r="BO3" s="47" t="s">
        <v>326</v>
      </c>
      <c r="BP3" t="s">
        <v>329</v>
      </c>
    </row>
    <row r="4" spans="1:101">
      <c r="O4" s="127"/>
      <c r="P4" s="127"/>
      <c r="Q4" s="127"/>
      <c r="R4" s="120" t="s">
        <v>251</v>
      </c>
      <c r="S4" s="132">
        <f>[3]Prices!$U$21</f>
        <v>0.81005788606478368</v>
      </c>
      <c r="T4" s="122"/>
      <c r="AF4" s="47"/>
      <c r="AG4" s="47"/>
      <c r="AH4" s="47"/>
      <c r="AI4" s="48"/>
      <c r="BM4" s="160" t="s">
        <v>327</v>
      </c>
      <c r="BN4" s="47">
        <v>30</v>
      </c>
      <c r="BO4" s="47" t="s">
        <v>326</v>
      </c>
      <c r="BP4" t="s">
        <v>330</v>
      </c>
    </row>
    <row r="5" spans="1:101">
      <c r="O5" s="127"/>
      <c r="P5" s="127"/>
      <c r="Q5" s="127"/>
      <c r="R5" s="120" t="s">
        <v>252</v>
      </c>
      <c r="S5" s="132">
        <f>[3]Prices!$U$22</f>
        <v>0.61169856272276224</v>
      </c>
      <c r="T5" s="122"/>
      <c r="AF5" s="47"/>
      <c r="AG5" s="47"/>
      <c r="AH5" s="47"/>
      <c r="AI5" s="48"/>
      <c r="BM5" s="160" t="s">
        <v>328</v>
      </c>
      <c r="BN5" s="47">
        <f>SUM(BN3:BN4)</f>
        <v>130</v>
      </c>
      <c r="BO5" s="47" t="s">
        <v>326</v>
      </c>
      <c r="BP5" t="s">
        <v>330</v>
      </c>
    </row>
    <row r="6" spans="1:101">
      <c r="O6" s="122"/>
      <c r="P6" s="122"/>
      <c r="Q6" s="122"/>
      <c r="R6" s="121"/>
      <c r="S6" s="148"/>
      <c r="T6" s="122"/>
      <c r="AF6" s="47"/>
      <c r="AG6" s="47"/>
      <c r="AH6" s="47"/>
      <c r="AI6" s="48"/>
    </row>
    <row r="7" spans="1:101">
      <c r="O7" s="122"/>
      <c r="P7" s="122"/>
      <c r="Q7" s="122"/>
      <c r="R7" s="121"/>
      <c r="S7" s="122"/>
      <c r="T7" s="122"/>
      <c r="AF7" s="47"/>
      <c r="AG7" s="47"/>
      <c r="AH7" s="47"/>
      <c r="AI7" s="48"/>
      <c r="CA7" s="141"/>
      <c r="CB7" s="141"/>
      <c r="CC7" s="141"/>
      <c r="CD7" s="141"/>
      <c r="CE7" s="141"/>
      <c r="CF7" s="141"/>
      <c r="CG7" s="141"/>
    </row>
    <row r="8" spans="1:101">
      <c r="P8" s="119" t="s">
        <v>225</v>
      </c>
      <c r="Q8">
        <f>0.974</f>
        <v>0.97399999999999998</v>
      </c>
      <c r="AF8" s="47"/>
      <c r="AG8" s="47"/>
      <c r="AH8" s="47"/>
      <c r="AI8" s="48"/>
    </row>
    <row r="9" spans="1:101">
      <c r="P9" s="119" t="s">
        <v>287</v>
      </c>
      <c r="Q9">
        <v>1.107</v>
      </c>
      <c r="AF9" s="47"/>
      <c r="AG9" s="47"/>
      <c r="AH9" s="47"/>
      <c r="AI9" s="48"/>
      <c r="AM9">
        <f>COLUMN()</f>
        <v>39</v>
      </c>
      <c r="AN9">
        <f>COLUMN()</f>
        <v>40</v>
      </c>
      <c r="AO9">
        <f>COLUMN()</f>
        <v>41</v>
      </c>
      <c r="AP9">
        <f>COLUMN()</f>
        <v>42</v>
      </c>
      <c r="AQ9">
        <f>COLUMN()</f>
        <v>43</v>
      </c>
      <c r="AR9">
        <f>COLUMN()</f>
        <v>44</v>
      </c>
      <c r="AS9">
        <f>COLUMN()</f>
        <v>45</v>
      </c>
      <c r="AT9">
        <f>COLUMN()</f>
        <v>46</v>
      </c>
      <c r="AU9">
        <f>COLUMN()</f>
        <v>47</v>
      </c>
      <c r="AV9">
        <f>COLUMN()</f>
        <v>48</v>
      </c>
      <c r="AW9">
        <f>COLUMN()</f>
        <v>49</v>
      </c>
      <c r="AX9">
        <f>COLUMN()</f>
        <v>50</v>
      </c>
      <c r="AY9">
        <f>COLUMN()</f>
        <v>51</v>
      </c>
      <c r="AZ9">
        <f>COLUMN()</f>
        <v>52</v>
      </c>
      <c r="BA9">
        <f>COLUMN()</f>
        <v>53</v>
      </c>
      <c r="BB9">
        <f>COLUMN()</f>
        <v>54</v>
      </c>
      <c r="BC9">
        <f>COLUMN()</f>
        <v>55</v>
      </c>
      <c r="BD9">
        <f>COLUMN()</f>
        <v>56</v>
      </c>
      <c r="BE9">
        <f>COLUMN()</f>
        <v>57</v>
      </c>
      <c r="BF9">
        <f>COLUMN()</f>
        <v>58</v>
      </c>
      <c r="BG9">
        <f>COLUMN()</f>
        <v>59</v>
      </c>
      <c r="BH9">
        <f>COLUMN()</f>
        <v>60</v>
      </c>
      <c r="BI9">
        <f>COLUMN()</f>
        <v>61</v>
      </c>
      <c r="BJ9">
        <f>COLUMN()</f>
        <v>62</v>
      </c>
      <c r="BK9">
        <f>COLUMN()</f>
        <v>63</v>
      </c>
      <c r="BL9">
        <f>COLUMN()</f>
        <v>64</v>
      </c>
      <c r="BM9">
        <f>COLUMN()</f>
        <v>65</v>
      </c>
      <c r="BN9">
        <f>COLUMN()</f>
        <v>66</v>
      </c>
      <c r="BO9">
        <f>COLUMN()</f>
        <v>67</v>
      </c>
      <c r="BP9">
        <f>COLUMN()</f>
        <v>68</v>
      </c>
      <c r="BQ9">
        <f>COLUMN()</f>
        <v>69</v>
      </c>
      <c r="BR9">
        <f>COLUMN()</f>
        <v>70</v>
      </c>
      <c r="BS9">
        <f>COLUMN()</f>
        <v>71</v>
      </c>
      <c r="BT9">
        <f>COLUMN()</f>
        <v>72</v>
      </c>
      <c r="BU9">
        <f>COLUMN()</f>
        <v>73</v>
      </c>
      <c r="BV9">
        <f>COLUMN()</f>
        <v>74</v>
      </c>
      <c r="BW9">
        <f>COLUMN()</f>
        <v>75</v>
      </c>
      <c r="BX9">
        <f>COLUMN()</f>
        <v>76</v>
      </c>
      <c r="BY9">
        <f>COLUMN()</f>
        <v>77</v>
      </c>
      <c r="BZ9">
        <f>COLUMN()</f>
        <v>78</v>
      </c>
      <c r="CA9">
        <f>COLUMN()</f>
        <v>79</v>
      </c>
      <c r="CB9">
        <f>COLUMN()</f>
        <v>80</v>
      </c>
      <c r="CC9">
        <f>COLUMN()</f>
        <v>81</v>
      </c>
      <c r="CD9">
        <f>COLUMN()</f>
        <v>82</v>
      </c>
      <c r="CE9">
        <f>COLUMN()</f>
        <v>83</v>
      </c>
      <c r="CF9">
        <f>COLUMN()</f>
        <v>84</v>
      </c>
      <c r="CG9">
        <f>COLUMN()</f>
        <v>85</v>
      </c>
      <c r="CH9">
        <f>COLUMN()</f>
        <v>86</v>
      </c>
      <c r="CI9">
        <f>COLUMN()</f>
        <v>87</v>
      </c>
      <c r="CJ9">
        <f>COLUMN()</f>
        <v>88</v>
      </c>
      <c r="CK9">
        <f>COLUMN()</f>
        <v>89</v>
      </c>
      <c r="CL9">
        <f>COLUMN()</f>
        <v>90</v>
      </c>
      <c r="CM9">
        <f>COLUMN()</f>
        <v>91</v>
      </c>
      <c r="CN9">
        <f>COLUMN()</f>
        <v>92</v>
      </c>
      <c r="CO9">
        <f>COLUMN()</f>
        <v>93</v>
      </c>
      <c r="CP9">
        <f>COLUMN()</f>
        <v>94</v>
      </c>
      <c r="CQ9">
        <f>COLUMN()</f>
        <v>95</v>
      </c>
      <c r="CR9">
        <f>COLUMN()</f>
        <v>96</v>
      </c>
      <c r="CS9">
        <f>COLUMN()</f>
        <v>97</v>
      </c>
      <c r="CT9">
        <f>COLUMN()</f>
        <v>98</v>
      </c>
      <c r="CU9">
        <f>COLUMN()</f>
        <v>99</v>
      </c>
      <c r="CV9">
        <f>COLUMN()</f>
        <v>100</v>
      </c>
    </row>
    <row r="10" spans="1:101">
      <c r="A10" s="146" t="s">
        <v>178</v>
      </c>
      <c r="P10" s="119" t="s">
        <v>224</v>
      </c>
      <c r="AW10" t="s">
        <v>316</v>
      </c>
      <c r="BC10" t="s">
        <v>318</v>
      </c>
      <c r="BH10" t="s">
        <v>319</v>
      </c>
      <c r="BL10" t="s">
        <v>338</v>
      </c>
      <c r="BR10" t="s">
        <v>366</v>
      </c>
      <c r="BV10" t="s">
        <v>368</v>
      </c>
      <c r="BX10" s="233" t="s">
        <v>689</v>
      </c>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row>
    <row r="11" spans="1:101" ht="76.5">
      <c r="A11" s="58" t="s">
        <v>371</v>
      </c>
      <c r="D11" s="230" t="s">
        <v>669</v>
      </c>
      <c r="E11" s="230" t="s">
        <v>670</v>
      </c>
      <c r="I11" s="146" t="s">
        <v>176</v>
      </c>
      <c r="Z11" s="146" t="s">
        <v>177</v>
      </c>
      <c r="AM11" s="146" t="s">
        <v>281</v>
      </c>
      <c r="AO11" s="146"/>
      <c r="AU11" s="152" t="s">
        <v>320</v>
      </c>
      <c r="AV11" s="156" t="s">
        <v>216</v>
      </c>
      <c r="AW11" s="154" t="s">
        <v>222</v>
      </c>
      <c r="AX11" s="154" t="s">
        <v>240</v>
      </c>
      <c r="AY11" s="154"/>
      <c r="AZ11" s="153"/>
      <c r="BA11" s="153"/>
      <c r="BB11" s="153"/>
      <c r="BC11" s="154" t="s">
        <v>238</v>
      </c>
      <c r="BD11" s="154" t="s">
        <v>239</v>
      </c>
      <c r="BE11" s="154" t="s">
        <v>238</v>
      </c>
      <c r="BF11" s="154" t="s">
        <v>239</v>
      </c>
      <c r="BH11" s="154" t="s">
        <v>208</v>
      </c>
      <c r="BI11" s="154" t="s">
        <v>208</v>
      </c>
      <c r="BR11" s="168" t="s">
        <v>367</v>
      </c>
      <c r="CB11" s="154" t="s">
        <v>300</v>
      </c>
      <c r="CH11" s="154" t="s">
        <v>690</v>
      </c>
      <c r="CJ11" s="154"/>
      <c r="CQ11" s="337">
        <f>'Watt Allocation'!$E$58*1000</f>
        <v>169.30453701583696</v>
      </c>
      <c r="CR11" s="337"/>
      <c r="CS11" s="337"/>
      <c r="CT11" s="337"/>
      <c r="CU11" s="337"/>
      <c r="CV11" s="337"/>
      <c r="CW11" s="118">
        <f>3300000</f>
        <v>3300000</v>
      </c>
    </row>
    <row r="12" spans="1:101" ht="63.75">
      <c r="A12" s="82" t="s">
        <v>152</v>
      </c>
      <c r="B12" s="82" t="s">
        <v>155</v>
      </c>
      <c r="C12" s="82" t="s">
        <v>143</v>
      </c>
      <c r="D12" s="82" t="s">
        <v>144</v>
      </c>
      <c r="E12" s="82" t="s">
        <v>147</v>
      </c>
      <c r="F12" s="82" t="s">
        <v>145</v>
      </c>
      <c r="G12" s="82" t="s">
        <v>146</v>
      </c>
      <c r="I12" s="82" t="s">
        <v>180</v>
      </c>
      <c r="J12" s="82" t="s">
        <v>179</v>
      </c>
      <c r="K12" s="82" t="s">
        <v>183</v>
      </c>
      <c r="L12" s="82" t="s">
        <v>222</v>
      </c>
      <c r="M12" s="82" t="s">
        <v>163</v>
      </c>
      <c r="N12" s="82" t="s">
        <v>216</v>
      </c>
      <c r="O12" s="82" t="s">
        <v>207</v>
      </c>
      <c r="P12" s="82" t="s">
        <v>235</v>
      </c>
      <c r="Q12" s="82" t="s">
        <v>223</v>
      </c>
      <c r="R12" s="82" t="s">
        <v>238</v>
      </c>
      <c r="S12" s="82" t="s">
        <v>239</v>
      </c>
      <c r="T12" s="82" t="s">
        <v>240</v>
      </c>
      <c r="U12" s="82" t="s">
        <v>208</v>
      </c>
      <c r="V12" s="82" t="s">
        <v>164</v>
      </c>
      <c r="W12" s="82" t="s">
        <v>165</v>
      </c>
      <c r="X12" s="82" t="s">
        <v>171</v>
      </c>
      <c r="Z12" s="116" t="s">
        <v>203</v>
      </c>
      <c r="AA12" s="116" t="s">
        <v>183</v>
      </c>
      <c r="AB12" s="82" t="s">
        <v>222</v>
      </c>
      <c r="AC12" s="116" t="s">
        <v>204</v>
      </c>
      <c r="AD12" s="116" t="s">
        <v>216</v>
      </c>
      <c r="AE12" s="82" t="s">
        <v>207</v>
      </c>
      <c r="AF12" s="82" t="s">
        <v>235</v>
      </c>
      <c r="AG12" s="82" t="s">
        <v>238</v>
      </c>
      <c r="AH12" s="82" t="s">
        <v>208</v>
      </c>
      <c r="AI12" s="116" t="s">
        <v>164</v>
      </c>
      <c r="AJ12" s="116" t="s">
        <v>165</v>
      </c>
      <c r="AK12" s="116" t="s">
        <v>171</v>
      </c>
      <c r="AM12" s="116" t="s">
        <v>869</v>
      </c>
      <c r="AN12" s="116" t="s">
        <v>300</v>
      </c>
      <c r="AO12" s="116" t="s">
        <v>302</v>
      </c>
      <c r="AP12" s="116" t="s">
        <v>42</v>
      </c>
      <c r="AQ12" s="116" t="s">
        <v>301</v>
      </c>
      <c r="AR12" s="116" t="s">
        <v>298</v>
      </c>
      <c r="AS12" s="116" t="s">
        <v>299</v>
      </c>
      <c r="AT12" s="151" t="s">
        <v>23</v>
      </c>
      <c r="AU12" s="151" t="s">
        <v>305</v>
      </c>
      <c r="AV12" s="151" t="s">
        <v>317</v>
      </c>
      <c r="AW12" s="151" t="s">
        <v>306</v>
      </c>
      <c r="AX12" s="151" t="s">
        <v>307</v>
      </c>
      <c r="AY12" s="151" t="s">
        <v>311</v>
      </c>
      <c r="AZ12" s="151" t="s">
        <v>308</v>
      </c>
      <c r="BA12" s="151" t="s">
        <v>309</v>
      </c>
      <c r="BB12" s="151" t="s">
        <v>310</v>
      </c>
      <c r="BC12" s="151" t="s">
        <v>312</v>
      </c>
      <c r="BD12" s="151" t="s">
        <v>313</v>
      </c>
      <c r="BE12" s="151" t="s">
        <v>314</v>
      </c>
      <c r="BF12" s="151" t="s">
        <v>315</v>
      </c>
      <c r="BG12" s="151" t="s">
        <v>335</v>
      </c>
      <c r="BH12" s="151" t="s">
        <v>321</v>
      </c>
      <c r="BI12" s="151" t="s">
        <v>322</v>
      </c>
      <c r="BJ12" s="151" t="s">
        <v>323</v>
      </c>
      <c r="BK12" s="151" t="s">
        <v>324</v>
      </c>
      <c r="BL12" s="151" t="s">
        <v>331</v>
      </c>
      <c r="BM12" s="151" t="s">
        <v>332</v>
      </c>
      <c r="BN12" s="151" t="s">
        <v>333</v>
      </c>
      <c r="BO12" s="151" t="s">
        <v>334</v>
      </c>
      <c r="BP12" s="151" t="s">
        <v>336</v>
      </c>
      <c r="BQ12" s="151" t="s">
        <v>337</v>
      </c>
      <c r="BR12" s="151" t="s">
        <v>340</v>
      </c>
      <c r="BS12" s="151" t="s">
        <v>339</v>
      </c>
      <c r="BT12" s="151" t="s">
        <v>342</v>
      </c>
      <c r="BU12" s="151" t="s">
        <v>341</v>
      </c>
      <c r="BV12" s="151" t="s">
        <v>28</v>
      </c>
      <c r="BW12" s="151" t="s">
        <v>370</v>
      </c>
      <c r="BX12" s="232" t="s">
        <v>671</v>
      </c>
      <c r="BY12" s="232" t="s">
        <v>688</v>
      </c>
      <c r="BZ12" s="232" t="s">
        <v>687</v>
      </c>
      <c r="CA12" s="232" t="s">
        <v>311</v>
      </c>
      <c r="CB12" s="232" t="str">
        <f t="shared" ref="CB12" si="0">AN12</f>
        <v>Application</v>
      </c>
      <c r="CC12" s="232" t="str">
        <f t="shared" ref="CC12:CC36" si="1">AO12</f>
        <v>Reference Fixture</v>
      </c>
      <c r="CD12" s="232" t="str">
        <f t="shared" ref="CD12:CD36" si="2">AP12</f>
        <v>MOPP</v>
      </c>
      <c r="CE12" s="232" t="s">
        <v>870</v>
      </c>
      <c r="CF12" s="232" t="s">
        <v>872</v>
      </c>
      <c r="CG12" s="232" t="s">
        <v>877</v>
      </c>
      <c r="CH12" s="232" t="s">
        <v>874</v>
      </c>
      <c r="CI12" s="232" t="s">
        <v>875</v>
      </c>
      <c r="CJ12" s="232" t="s">
        <v>876</v>
      </c>
      <c r="CK12" s="232" t="s">
        <v>878</v>
      </c>
      <c r="CL12" s="232" t="s">
        <v>881</v>
      </c>
      <c r="CM12" s="232" t="s">
        <v>882</v>
      </c>
      <c r="CN12" s="232" t="s">
        <v>883</v>
      </c>
      <c r="CO12" s="232" t="s">
        <v>884</v>
      </c>
      <c r="CP12" s="232" t="s">
        <v>885</v>
      </c>
      <c r="CQ12" s="232" t="s">
        <v>942</v>
      </c>
      <c r="CR12" s="232" t="s">
        <v>999</v>
      </c>
      <c r="CS12" s="232" t="s">
        <v>1000</v>
      </c>
      <c r="CT12" s="232" t="s">
        <v>953</v>
      </c>
      <c r="CU12" s="232"/>
      <c r="CV12" s="232"/>
      <c r="CW12" t="s">
        <v>880</v>
      </c>
    </row>
    <row r="13" spans="1:101">
      <c r="A13" t="s">
        <v>153</v>
      </c>
      <c r="B13" t="s">
        <v>91</v>
      </c>
      <c r="C13">
        <v>250</v>
      </c>
      <c r="D13">
        <v>1.5</v>
      </c>
      <c r="E13">
        <v>0.33</v>
      </c>
      <c r="F13" s="60">
        <v>0.7</v>
      </c>
      <c r="G13" s="60">
        <v>0.77</v>
      </c>
      <c r="I13" t="s">
        <v>241</v>
      </c>
      <c r="P13" t="s">
        <v>242</v>
      </c>
      <c r="R13" t="s">
        <v>242</v>
      </c>
      <c r="S13" t="s">
        <v>242</v>
      </c>
      <c r="T13" t="s">
        <v>249</v>
      </c>
      <c r="Z13" t="s">
        <v>241</v>
      </c>
      <c r="AF13" t="s">
        <v>242</v>
      </c>
      <c r="AG13" t="s">
        <v>242</v>
      </c>
      <c r="AH13" s="105"/>
      <c r="AJ13" s="104"/>
      <c r="AM13" t="str">
        <f>CONCATENATE(AO13,"-",AP13)</f>
        <v>HPS 250W-New</v>
      </c>
      <c r="AN13" s="173" t="str">
        <f>$A$11</f>
        <v>Exterior Lighting: Parking Lot</v>
      </c>
      <c r="AO13" s="173" t="str">
        <f>I14</f>
        <v>HPS 250W</v>
      </c>
      <c r="AP13" s="173" t="s">
        <v>41</v>
      </c>
      <c r="AQ13" s="173" t="str">
        <f>CONCATENATE(AN13," - ",AO13," - ",AP13)</f>
        <v>Exterior Lighting: Parking Lot - HPS 250W - New</v>
      </c>
      <c r="AR13" s="173" t="str">
        <f>AO13</f>
        <v>HPS 250W</v>
      </c>
      <c r="AS13" s="173" t="str">
        <f>J14</f>
        <v>LED 135W</v>
      </c>
      <c r="AT13" s="173" t="str">
        <f>CONCATENATE(AN13," - ",AR13," to ",AS13," - ",AP13)</f>
        <v>Exterior Lighting: Parking Lot - HPS 250W to LED 135W - New</v>
      </c>
      <c r="AU13" s="174">
        <v>4300</v>
      </c>
      <c r="AV13" s="174">
        <f t="shared" ref="AV13:AV21" si="3">INDEX($K$14:$X$16,MATCH($AS13,$J$14:$J$16,0),MATCH(AV$11,$K$12:$X$12,0))</f>
        <v>12000</v>
      </c>
      <c r="AW13" s="173">
        <f t="shared" ref="AW13:AW21" si="4">INDEX($AA$14:$AK$16,MATCH(AR13,$Z$14:$Z$16,0),MATCH(AW$11,$AA$12:$AK$12,0))</f>
        <v>290</v>
      </c>
      <c r="AX13" s="175">
        <f t="shared" ref="AX13:AX21" si="5">INDEX($K$14:$X$16,MATCH(AS13,$J$14:$J$16,0),MATCH(AX$11,$K$12:$X$12,0))</f>
        <v>117.09183673469387</v>
      </c>
      <c r="AY13" s="176">
        <f>(AW13-AX13)/AW13</f>
        <v>0.59623504574243502</v>
      </c>
      <c r="AZ13" s="174">
        <f t="shared" ref="AZ13:AZ36" si="6">(AW13/1000)*AU13</f>
        <v>1247</v>
      </c>
      <c r="BA13" s="174">
        <f t="shared" ref="BA13:BA36" si="7">(AX13/1000)*AU13</f>
        <v>503.49489795918362</v>
      </c>
      <c r="BB13" s="157">
        <f>AZ13-BA13</f>
        <v>743.50510204081638</v>
      </c>
      <c r="BC13" s="180">
        <f t="shared" ref="BC13:BC21" si="8">INDEX($AA$19:$AK$21,MATCH($AR13,$Z$19:$Z$21,0),MATCH(BC$11,$AA$12:$AK$12,0))</f>
        <v>15</v>
      </c>
      <c r="BD13" s="173" t="s">
        <v>274</v>
      </c>
      <c r="BE13" s="177">
        <f t="shared" ref="BE13:BE21" si="9">INDEX($AA$14:$AK$16,MATCH($AR13,$Z$14:$Z$16,0),MATCH(BE$11,$AA$12:$AK$12,0))</f>
        <v>160</v>
      </c>
      <c r="BF13" s="177">
        <f t="shared" ref="BF13:BF21" si="10">INDEX($K$14:$X$16,MATCH($AS13,$J$14:$J$16,0),MATCH(BF$11,$K$12:$X$12,0))</f>
        <v>162.01157721295672</v>
      </c>
      <c r="BG13" s="180">
        <f>IF(AP13="New",BF13-BE13,IF(AP13="NR",BF13-BC13,IF(AP13="Retro",BF13,"ERROR")))</f>
        <v>2.0115772129567233</v>
      </c>
      <c r="BH13" s="174">
        <f t="shared" ref="BH13:BH21" si="11">INDEX($AA$14:$AK$16,MATCH($AR13,$Z$14:$Z$16,0),MATCH(BH$11,$AA$12:$AK$12,0))</f>
        <v>24000</v>
      </c>
      <c r="BI13" s="174">
        <f t="shared" ref="BI13:BI21" si="12">INDEX($K$14:$X$16,MATCH($AS13,$J$14:$J$16,0),MATCH(BI$11,$K$12:$X$12,0))</f>
        <v>70000</v>
      </c>
      <c r="BJ13" s="178">
        <f>BH13/AU13</f>
        <v>5.5813953488372094</v>
      </c>
      <c r="BK13" s="163">
        <f>BI13/AU13</f>
        <v>16.279069767441861</v>
      </c>
      <c r="BL13" s="179">
        <v>8.3333333333333329E-2</v>
      </c>
      <c r="BM13" s="173">
        <v>0.33</v>
      </c>
      <c r="BN13" s="180">
        <f>BL13*$BN$5</f>
        <v>10.833333333333332</v>
      </c>
      <c r="BO13" s="180">
        <f>BM13*$BN$5</f>
        <v>42.9</v>
      </c>
      <c r="BP13" s="177">
        <f>IF($AP13="New",0,IF($AP13="NR",BO13-BN13,IF($AP13="Retro",BO13,"ERROR")))</f>
        <v>0</v>
      </c>
      <c r="BQ13" s="186">
        <f>BP13+BG13</f>
        <v>2.0115772129567233</v>
      </c>
      <c r="BR13" s="181">
        <f>BC13</f>
        <v>15</v>
      </c>
      <c r="BS13" s="181">
        <f>BN13</f>
        <v>10.833333333333332</v>
      </c>
      <c r="BT13" s="167">
        <f>BR13+BS13</f>
        <v>25.833333333333332</v>
      </c>
      <c r="BU13" s="163">
        <f>BJ13</f>
        <v>5.5813953488372094</v>
      </c>
      <c r="BV13" s="171" t="s">
        <v>369</v>
      </c>
      <c r="BW13" s="183" t="str">
        <f>IF($AP13="New","L",IF($AP13="NR","L",IF($AP13="Retro","R","ERROR")))</f>
        <v>L</v>
      </c>
      <c r="BX13" s="161">
        <f>BQ13/(AW13-AX13)</f>
        <v>1.1633789723798103E-2</v>
      </c>
      <c r="BY13" s="110">
        <f>BQ13/AW13</f>
        <v>6.9364731481266319E-3</v>
      </c>
      <c r="BZ13" s="155">
        <f>AX13/AW13</f>
        <v>0.40376495425756509</v>
      </c>
      <c r="CA13" s="155">
        <f>AY13</f>
        <v>0.59623504574243502</v>
      </c>
      <c r="CB13" t="str">
        <f>CONCATENATE(AN13," - ",AO13)</f>
        <v>Exterior Lighting: Parking Lot - HPS 250W</v>
      </c>
      <c r="CC13" t="str">
        <f t="shared" si="1"/>
        <v>HPS 250W</v>
      </c>
      <c r="CD13" t="str">
        <f t="shared" si="2"/>
        <v>New</v>
      </c>
      <c r="CE13" s="322" t="s">
        <v>986</v>
      </c>
      <c r="CF13" t="s">
        <v>91</v>
      </c>
      <c r="CG13" s="159">
        <f>VLOOKUP(CE13,Watt_Allocation,MATCH(CF13,'Watt Allocation'!$C$38:$K$38,0))</f>
        <v>71.095388052487294</v>
      </c>
      <c r="CH13" s="332">
        <f t="shared" ref="CH13:CH36" si="13">VLOOKUP(CONCATENATE(CC13,CE13),Watt_Class_Ext,9,FALSE)</f>
        <v>0.7142857142857143</v>
      </c>
      <c r="CI13" s="159">
        <f>CG13*CH13</f>
        <v>50.782420037490922</v>
      </c>
      <c r="CJ13" s="159">
        <f>CA13*CI13</f>
        <v>30.278258533964948</v>
      </c>
      <c r="CK13" s="59">
        <f>CJ13*AU13/1000</f>
        <v>130.19651169604927</v>
      </c>
      <c r="CL13" s="110">
        <f>BX13*CJ13</f>
        <v>0.35225089298694362</v>
      </c>
      <c r="CM13" s="338">
        <f>CL13/CK13</f>
        <v>2.7055324939065355E-3</v>
      </c>
      <c r="CN13" s="305">
        <f>BQ13/BB13</f>
        <v>2.705532493906536E-3</v>
      </c>
      <c r="CO13" s="362">
        <f>CK13/BB13</f>
        <v>0.17511179323272733</v>
      </c>
      <c r="CP13" s="362">
        <f>CL13/BQ13</f>
        <v>0.17511179323272733</v>
      </c>
      <c r="CQ13" s="155">
        <f>CG13/$CQ$11</f>
        <v>0.41992606521724191</v>
      </c>
      <c r="CR13" s="362">
        <f>CK13/BB13</f>
        <v>0.17511179323272733</v>
      </c>
      <c r="CS13" s="366">
        <f>CK13/BB13</f>
        <v>0.17511179323272733</v>
      </c>
      <c r="CT13" s="312"/>
      <c r="CU13" s="312"/>
      <c r="CV13" s="312"/>
      <c r="CW13" s="118"/>
    </row>
    <row r="14" spans="1:101">
      <c r="A14" t="s">
        <v>153</v>
      </c>
      <c r="B14" t="s">
        <v>91</v>
      </c>
      <c r="C14">
        <v>400</v>
      </c>
      <c r="D14">
        <v>1.5</v>
      </c>
      <c r="E14">
        <v>0.24</v>
      </c>
      <c r="F14" s="60">
        <v>0.25</v>
      </c>
      <c r="G14" s="60">
        <v>0.2</v>
      </c>
      <c r="I14" s="47" t="s">
        <v>277</v>
      </c>
      <c r="J14" t="s">
        <v>270</v>
      </c>
      <c r="K14">
        <v>135</v>
      </c>
      <c r="L14">
        <f>K14</f>
        <v>135</v>
      </c>
      <c r="M14" t="s">
        <v>273</v>
      </c>
      <c r="N14">
        <v>12000</v>
      </c>
      <c r="O14" s="106">
        <f>N14/K14</f>
        <v>88.888888888888886</v>
      </c>
      <c r="P14" t="s">
        <v>274</v>
      </c>
      <c r="Q14" s="105">
        <f>R14/(N14/1000)</f>
        <v>16.666666666666668</v>
      </c>
      <c r="R14" s="131">
        <v>200</v>
      </c>
      <c r="S14" s="135">
        <f>$S$4*R14</f>
        <v>162.01157721295672</v>
      </c>
      <c r="T14" s="136">
        <f>$T$1*L14</f>
        <v>117.09183673469387</v>
      </c>
      <c r="U14" s="149">
        <v>70000</v>
      </c>
      <c r="V14" s="122" t="s">
        <v>275</v>
      </c>
      <c r="W14" s="104" t="s">
        <v>289</v>
      </c>
      <c r="X14" t="s">
        <v>276</v>
      </c>
      <c r="Z14" s="47" t="s">
        <v>277</v>
      </c>
      <c r="AA14">
        <v>250</v>
      </c>
      <c r="AB14" s="146">
        <v>290</v>
      </c>
      <c r="AC14" t="s">
        <v>280</v>
      </c>
      <c r="AF14" t="s">
        <v>274</v>
      </c>
      <c r="AG14" s="135">
        <v>160</v>
      </c>
      <c r="AH14" s="137">
        <v>24000</v>
      </c>
      <c r="AI14" s="122" t="s">
        <v>275</v>
      </c>
      <c r="AJ14" s="150" t="s">
        <v>289</v>
      </c>
      <c r="AK14" t="s">
        <v>276</v>
      </c>
      <c r="AM14" t="str">
        <f t="shared" ref="AM14:AM36" si="14">CONCATENATE(AO14,"-",AP14)</f>
        <v>MH 400W-New</v>
      </c>
      <c r="AN14" s="173" t="str">
        <f t="shared" ref="AN14:AN21" si="15">$A$11</f>
        <v>Exterior Lighting: Parking Lot</v>
      </c>
      <c r="AO14" s="173" t="str">
        <f t="shared" ref="AO14:AO15" si="16">I15</f>
        <v>MH 400W</v>
      </c>
      <c r="AP14" s="173" t="s">
        <v>41</v>
      </c>
      <c r="AQ14" s="173" t="str">
        <f>CONCATENATE(AN14," - ",AO14," - ",AP14)</f>
        <v>Exterior Lighting: Parking Lot - MH 400W - New</v>
      </c>
      <c r="AR14" s="173" t="str">
        <f t="shared" ref="AR14:AR21" si="17">AO14</f>
        <v>MH 400W</v>
      </c>
      <c r="AS14" s="173" t="str">
        <f t="shared" ref="AS14:AS15" si="18">J15</f>
        <v>LED 180W</v>
      </c>
      <c r="AT14" s="173" t="str">
        <f t="shared" ref="AT14:AT36" si="19">CONCATENATE(AN14," - ",AR14," to ",AS14," - ",AP14)</f>
        <v>Exterior Lighting: Parking Lot - MH 400W to LED 180W - New</v>
      </c>
      <c r="AU14" s="174">
        <v>4300</v>
      </c>
      <c r="AV14" s="174">
        <f t="shared" si="3"/>
        <v>17000</v>
      </c>
      <c r="AW14" s="173">
        <f t="shared" si="4"/>
        <v>458</v>
      </c>
      <c r="AX14" s="175">
        <f t="shared" si="5"/>
        <v>156.12244897959184</v>
      </c>
      <c r="AY14" s="176">
        <f t="shared" ref="AY14:AY36" si="20">(AW14-AX14)/AW14</f>
        <v>0.6591212904375725</v>
      </c>
      <c r="AZ14" s="174">
        <f t="shared" si="6"/>
        <v>1969.4</v>
      </c>
      <c r="BA14" s="174">
        <f t="shared" si="7"/>
        <v>671.32653061224494</v>
      </c>
      <c r="BB14" s="157">
        <f t="shared" ref="BB14:BB36" si="21">AZ14-BA14</f>
        <v>1298.0734693877553</v>
      </c>
      <c r="BC14" s="180">
        <f t="shared" si="8"/>
        <v>18</v>
      </c>
      <c r="BD14" s="173" t="s">
        <v>274</v>
      </c>
      <c r="BE14" s="177">
        <f t="shared" si="9"/>
        <v>190</v>
      </c>
      <c r="BF14" s="177">
        <f t="shared" si="10"/>
        <v>324.02315442591345</v>
      </c>
      <c r="BG14" s="180">
        <f t="shared" ref="BG14:BG31" si="22">IF(AP14="New",BF14-BE14,IF(AP14="NR",BF14-BC14,IF(AP14="Retro",BF14,"ERROR")))</f>
        <v>134.02315442591345</v>
      </c>
      <c r="BH14" s="174">
        <f t="shared" si="11"/>
        <v>16000</v>
      </c>
      <c r="BI14" s="174">
        <f t="shared" si="12"/>
        <v>70000</v>
      </c>
      <c r="BJ14" s="178">
        <f t="shared" ref="BJ14:BJ36" si="23">BH14/AU14</f>
        <v>3.7209302325581395</v>
      </c>
      <c r="BK14" s="163">
        <f t="shared" ref="BK14:BK36" si="24">BI14/AU14</f>
        <v>16.279069767441861</v>
      </c>
      <c r="BL14" s="179">
        <v>8.3333333333333329E-2</v>
      </c>
      <c r="BM14" s="173">
        <v>0.33</v>
      </c>
      <c r="BN14" s="180">
        <f t="shared" ref="BN14:BN27" si="25">BL14*$BN$5</f>
        <v>10.833333333333332</v>
      </c>
      <c r="BO14" s="180">
        <f t="shared" ref="BO14:BO27" si="26">BM14*$BN$5</f>
        <v>42.9</v>
      </c>
      <c r="BP14" s="177">
        <f t="shared" ref="BP14:BP30" si="27">IF($AP14="New",0,IF($AP14="NR",BO14-BN14,IF($AP14="Retro",BO14,"ERROR")))</f>
        <v>0</v>
      </c>
      <c r="BQ14" s="186">
        <f t="shared" ref="BQ14:BQ36" si="28">BP14+BG14</f>
        <v>134.02315442591345</v>
      </c>
      <c r="BR14" s="181">
        <f t="shared" ref="BR14:BR36" si="29">BC14</f>
        <v>18</v>
      </c>
      <c r="BS14" s="181">
        <f t="shared" ref="BS14:BS36" si="30">BN14</f>
        <v>10.833333333333332</v>
      </c>
      <c r="BT14" s="167">
        <f t="shared" ref="BT14:BT36" si="31">BR14+BS14</f>
        <v>28.833333333333332</v>
      </c>
      <c r="BU14" s="163">
        <f t="shared" ref="BU14:BU36" si="32">BJ14</f>
        <v>3.7209302325581395</v>
      </c>
      <c r="BV14" s="171" t="s">
        <v>369</v>
      </c>
      <c r="BW14" s="183" t="str">
        <f t="shared" ref="BW14:BW36" si="33">IF($AP14="New","L",IF($AP14="NR","L",IF($AP14="Retro","R","ERROR")))</f>
        <v>L</v>
      </c>
      <c r="BX14" s="161">
        <f t="shared" ref="BX14:BX36" si="34">BQ14/(AW14-AX14)</f>
        <v>0.44396528981001609</v>
      </c>
      <c r="BY14" s="110">
        <f t="shared" ref="BY14:BY36" si="35">BQ14/AW14</f>
        <v>0.29262697472906868</v>
      </c>
      <c r="BZ14" s="155">
        <f t="shared" ref="BZ14:BZ36" si="36">AX14/AW14</f>
        <v>0.34087870956242761</v>
      </c>
      <c r="CA14" s="155">
        <f t="shared" ref="CA14:CA36" si="37">AY14</f>
        <v>0.6591212904375725</v>
      </c>
      <c r="CB14" t="str">
        <f t="shared" ref="CB14:CB36" si="38">CONCATENATE(AN14," - ",AO14)</f>
        <v>Exterior Lighting: Parking Lot - MH 400W</v>
      </c>
      <c r="CC14" t="str">
        <f t="shared" si="1"/>
        <v>MH 400W</v>
      </c>
      <c r="CD14" t="str">
        <f t="shared" si="2"/>
        <v>New</v>
      </c>
      <c r="CE14" s="322" t="s">
        <v>986</v>
      </c>
      <c r="CF14" t="s">
        <v>91</v>
      </c>
      <c r="CG14" s="159">
        <f>VLOOKUP(CE14,Watt_Allocation,MATCH(CF14,'Watt Allocation'!$C$38:$K$38,0))</f>
        <v>71.095388052487294</v>
      </c>
      <c r="CH14" s="333">
        <f t="shared" si="13"/>
        <v>0.25510204081632654</v>
      </c>
      <c r="CI14" s="159">
        <f t="shared" ref="CI14:CI36" si="39">CG14*CH14</f>
        <v>18.136578584818189</v>
      </c>
      <c r="CJ14" s="159">
        <f t="shared" ref="CJ14:CJ36" si="40">CA14*CI14</f>
        <v>11.954205080947807</v>
      </c>
      <c r="CK14" s="59">
        <f t="shared" ref="CK14:CK36" si="41">CJ14*AU14/1000</f>
        <v>51.403081848075573</v>
      </c>
      <c r="CL14" s="110">
        <f t="shared" ref="CL14:CL36" si="42">BX14*CJ14</f>
        <v>5.3072521232113603</v>
      </c>
      <c r="CM14" s="338">
        <f t="shared" ref="CM14:CM36" si="43">CL14/CK14</f>
        <v>0.10324774181628281</v>
      </c>
      <c r="CN14" s="305">
        <f t="shared" ref="CN14:CN36" si="44">BQ14/BB14</f>
        <v>0.10324774181628281</v>
      </c>
      <c r="CO14" s="362">
        <f t="shared" ref="CO14:CO36" si="45">CK14/BB14</f>
        <v>3.9599516560738408E-2</v>
      </c>
      <c r="CP14" s="362">
        <f t="shared" ref="CP14:CP36" si="46">CL14/BQ14</f>
        <v>3.9599516560738408E-2</v>
      </c>
      <c r="CQ14" s="155">
        <f t="shared" ref="CQ14:CQ36" si="47">CG14/$CQ$11</f>
        <v>0.41992606521724191</v>
      </c>
      <c r="CR14" s="362">
        <f t="shared" ref="CR14:CR36" si="48">CK14/BB14</f>
        <v>3.9599516560738408E-2</v>
      </c>
      <c r="CS14" s="366">
        <f t="shared" ref="CS14:CS36" si="49">CK14/BB14</f>
        <v>3.9599516560738408E-2</v>
      </c>
      <c r="CT14" s="312"/>
      <c r="CU14" s="312"/>
      <c r="CV14" s="312"/>
      <c r="CW14" s="118"/>
    </row>
    <row r="15" spans="1:101">
      <c r="A15" t="s">
        <v>153</v>
      </c>
      <c r="B15" t="s">
        <v>91</v>
      </c>
      <c r="C15">
        <v>1000</v>
      </c>
      <c r="D15">
        <v>3.5</v>
      </c>
      <c r="E15">
        <v>0.45</v>
      </c>
      <c r="F15" s="60">
        <v>0.03</v>
      </c>
      <c r="G15" s="60">
        <v>0.03</v>
      </c>
      <c r="I15" s="47" t="s">
        <v>278</v>
      </c>
      <c r="J15" t="s">
        <v>271</v>
      </c>
      <c r="K15">
        <v>180</v>
      </c>
      <c r="L15">
        <f t="shared" ref="L15:L16" si="50">K15</f>
        <v>180</v>
      </c>
      <c r="M15" t="s">
        <v>273</v>
      </c>
      <c r="N15">
        <v>17000</v>
      </c>
      <c r="O15" s="106">
        <f t="shared" ref="O15:O16" si="51">N15/K15</f>
        <v>94.444444444444443</v>
      </c>
      <c r="P15" t="s">
        <v>274</v>
      </c>
      <c r="Q15" s="105">
        <f t="shared" ref="Q15:Q16" si="52">R15/(N15/1000)</f>
        <v>23.529411764705884</v>
      </c>
      <c r="R15" s="131">
        <v>400</v>
      </c>
      <c r="S15" s="135">
        <f t="shared" ref="S15:S16" si="53">$S$4*R15</f>
        <v>324.02315442591345</v>
      </c>
      <c r="T15" s="136">
        <f t="shared" ref="T15:T16" si="54">$T$1*L15</f>
        <v>156.12244897959184</v>
      </c>
      <c r="U15" s="149">
        <v>70000</v>
      </c>
      <c r="V15" s="122" t="s">
        <v>275</v>
      </c>
      <c r="W15" s="104" t="s">
        <v>289</v>
      </c>
      <c r="X15" t="s">
        <v>276</v>
      </c>
      <c r="Z15" s="47" t="s">
        <v>278</v>
      </c>
      <c r="AA15">
        <v>400</v>
      </c>
      <c r="AB15" s="146">
        <v>458</v>
      </c>
      <c r="AC15" t="s">
        <v>280</v>
      </c>
      <c r="AF15" t="s">
        <v>274</v>
      </c>
      <c r="AG15" s="135">
        <v>190</v>
      </c>
      <c r="AH15" s="137">
        <v>16000</v>
      </c>
      <c r="AI15" s="122" t="s">
        <v>275</v>
      </c>
      <c r="AJ15" s="150" t="s">
        <v>289</v>
      </c>
      <c r="AK15" t="s">
        <v>276</v>
      </c>
      <c r="AM15" t="str">
        <f t="shared" si="14"/>
        <v>MH 1000W-New</v>
      </c>
      <c r="AN15" s="173" t="str">
        <f t="shared" si="15"/>
        <v>Exterior Lighting: Parking Lot</v>
      </c>
      <c r="AO15" s="173" t="str">
        <f t="shared" si="16"/>
        <v>MH 1000W</v>
      </c>
      <c r="AP15" s="173" t="s">
        <v>41</v>
      </c>
      <c r="AQ15" s="173" t="str">
        <f t="shared" ref="AQ15:AQ36" si="55">CONCATENATE(AN15," - ",AO15," - ",AP15)</f>
        <v>Exterior Lighting: Parking Lot - MH 1000W - New</v>
      </c>
      <c r="AR15" s="173" t="str">
        <f t="shared" si="17"/>
        <v>MH 1000W</v>
      </c>
      <c r="AS15" s="173" t="str">
        <f t="shared" si="18"/>
        <v>LED 421W</v>
      </c>
      <c r="AT15" s="173" t="str">
        <f t="shared" si="19"/>
        <v>Exterior Lighting: Parking Lot - MH 1000W to LED 421W - New</v>
      </c>
      <c r="AU15" s="174">
        <v>4300</v>
      </c>
      <c r="AV15" s="174">
        <f t="shared" si="3"/>
        <v>41000</v>
      </c>
      <c r="AW15" s="173">
        <f t="shared" si="4"/>
        <v>1100</v>
      </c>
      <c r="AX15" s="175">
        <f t="shared" si="5"/>
        <v>365.15306122448976</v>
      </c>
      <c r="AY15" s="176">
        <f t="shared" si="20"/>
        <v>0.66804267161410025</v>
      </c>
      <c r="AZ15" s="174">
        <f t="shared" si="6"/>
        <v>4730</v>
      </c>
      <c r="BA15" s="174">
        <f t="shared" si="7"/>
        <v>1570.158163265306</v>
      </c>
      <c r="BB15" s="157">
        <f t="shared" si="21"/>
        <v>3159.841836734694</v>
      </c>
      <c r="BC15" s="180">
        <f t="shared" si="8"/>
        <v>20</v>
      </c>
      <c r="BD15" s="173" t="s">
        <v>274</v>
      </c>
      <c r="BE15" s="177">
        <f t="shared" si="9"/>
        <v>440</v>
      </c>
      <c r="BF15" s="177">
        <f t="shared" si="10"/>
        <v>972.0694632777404</v>
      </c>
      <c r="BG15" s="180">
        <f t="shared" si="22"/>
        <v>532.0694632777404</v>
      </c>
      <c r="BH15" s="174">
        <f t="shared" si="11"/>
        <v>16000</v>
      </c>
      <c r="BI15" s="174">
        <f t="shared" si="12"/>
        <v>70000</v>
      </c>
      <c r="BJ15" s="178">
        <f t="shared" si="23"/>
        <v>3.7209302325581395</v>
      </c>
      <c r="BK15" s="163">
        <f t="shared" si="24"/>
        <v>16.279069767441861</v>
      </c>
      <c r="BL15" s="179">
        <v>8.3333333333333329E-2</v>
      </c>
      <c r="BM15" s="173">
        <v>0.33</v>
      </c>
      <c r="BN15" s="180">
        <f t="shared" si="25"/>
        <v>10.833333333333332</v>
      </c>
      <c r="BO15" s="180">
        <f t="shared" si="26"/>
        <v>42.9</v>
      </c>
      <c r="BP15" s="177">
        <f t="shared" si="27"/>
        <v>0</v>
      </c>
      <c r="BQ15" s="186">
        <f t="shared" si="28"/>
        <v>532.0694632777404</v>
      </c>
      <c r="BR15" s="181">
        <f t="shared" si="29"/>
        <v>20</v>
      </c>
      <c r="BS15" s="181">
        <f t="shared" si="30"/>
        <v>10.833333333333332</v>
      </c>
      <c r="BT15" s="167">
        <f t="shared" si="31"/>
        <v>30.833333333333332</v>
      </c>
      <c r="BU15" s="163">
        <f t="shared" si="32"/>
        <v>3.7209302325581395</v>
      </c>
      <c r="BV15" s="171" t="s">
        <v>369</v>
      </c>
      <c r="BW15" s="183" t="str">
        <f t="shared" si="33"/>
        <v>L</v>
      </c>
      <c r="BX15" s="161">
        <f t="shared" si="34"/>
        <v>0.72405481359742496</v>
      </c>
      <c r="BY15" s="110">
        <f t="shared" si="35"/>
        <v>0.48369951207067308</v>
      </c>
      <c r="BZ15" s="155">
        <f t="shared" si="36"/>
        <v>0.33195732838589981</v>
      </c>
      <c r="CA15" s="155">
        <f t="shared" si="37"/>
        <v>0.66804267161410025</v>
      </c>
      <c r="CB15" t="str">
        <f t="shared" si="38"/>
        <v>Exterior Lighting: Parking Lot - MH 1000W</v>
      </c>
      <c r="CC15" t="str">
        <f t="shared" si="1"/>
        <v>MH 1000W</v>
      </c>
      <c r="CD15" t="str">
        <f t="shared" si="2"/>
        <v>New</v>
      </c>
      <c r="CE15" s="322" t="s">
        <v>986</v>
      </c>
      <c r="CF15" t="s">
        <v>91</v>
      </c>
      <c r="CG15" s="159">
        <f>VLOOKUP(CE15,Watt_Allocation,MATCH(CF15,'Watt Allocation'!$C$38:$K$38,0))</f>
        <v>71.095388052487294</v>
      </c>
      <c r="CH15" s="334">
        <f t="shared" si="13"/>
        <v>3.0612244897959183E-2</v>
      </c>
      <c r="CI15" s="159">
        <f t="shared" si="39"/>
        <v>2.1763894301781823</v>
      </c>
      <c r="CJ15" s="159">
        <f t="shared" si="40"/>
        <v>1.4539210094089221</v>
      </c>
      <c r="CK15" s="59">
        <f t="shared" si="41"/>
        <v>6.2518603404583653</v>
      </c>
      <c r="CL15" s="110">
        <f t="shared" si="42"/>
        <v>1.0527185054529571</v>
      </c>
      <c r="CM15" s="338">
        <f t="shared" si="43"/>
        <v>0.16838484037149418</v>
      </c>
      <c r="CN15" s="305">
        <f t="shared" si="44"/>
        <v>0.16838484037149418</v>
      </c>
      <c r="CO15" s="362">
        <f t="shared" si="45"/>
        <v>1.9785358456165295E-3</v>
      </c>
      <c r="CP15" s="362">
        <f t="shared" si="46"/>
        <v>1.9785358456165295E-3</v>
      </c>
      <c r="CQ15" s="155">
        <f t="shared" si="47"/>
        <v>0.41992606521724191</v>
      </c>
      <c r="CR15" s="362">
        <f t="shared" si="48"/>
        <v>1.9785358456165295E-3</v>
      </c>
      <c r="CS15" s="366">
        <f t="shared" si="49"/>
        <v>1.9785358456165295E-3</v>
      </c>
      <c r="CT15" s="312"/>
      <c r="CU15" s="312"/>
      <c r="CV15" s="312"/>
      <c r="CW15" s="118"/>
    </row>
    <row r="16" spans="1:101">
      <c r="B16" t="s">
        <v>116</v>
      </c>
      <c r="F16" s="60">
        <v>0.02</v>
      </c>
      <c r="I16" s="47" t="s">
        <v>279</v>
      </c>
      <c r="J16" t="s">
        <v>272</v>
      </c>
      <c r="K16">
        <v>421</v>
      </c>
      <c r="L16">
        <f t="shared" si="50"/>
        <v>421</v>
      </c>
      <c r="M16" t="s">
        <v>273</v>
      </c>
      <c r="N16" s="106">
        <v>41000</v>
      </c>
      <c r="O16" s="106">
        <f t="shared" si="51"/>
        <v>97.387173396674584</v>
      </c>
      <c r="P16" t="s">
        <v>274</v>
      </c>
      <c r="Q16" s="105">
        <f t="shared" si="52"/>
        <v>29.26829268292683</v>
      </c>
      <c r="R16" s="145">
        <v>1200</v>
      </c>
      <c r="S16" s="135">
        <f t="shared" si="53"/>
        <v>972.0694632777404</v>
      </c>
      <c r="T16" s="136">
        <f t="shared" si="54"/>
        <v>365.15306122448976</v>
      </c>
      <c r="U16" s="149">
        <v>70000</v>
      </c>
      <c r="V16" s="122" t="s">
        <v>275</v>
      </c>
      <c r="W16" s="104" t="s">
        <v>289</v>
      </c>
      <c r="X16" t="s">
        <v>276</v>
      </c>
      <c r="Z16" s="47" t="s">
        <v>279</v>
      </c>
      <c r="AA16">
        <v>1000</v>
      </c>
      <c r="AB16" s="146">
        <v>1100</v>
      </c>
      <c r="AC16" t="s">
        <v>280</v>
      </c>
      <c r="AF16" t="s">
        <v>274</v>
      </c>
      <c r="AG16" s="135">
        <v>440</v>
      </c>
      <c r="AH16" s="137">
        <v>16000</v>
      </c>
      <c r="AI16" s="122" t="s">
        <v>275</v>
      </c>
      <c r="AJ16" s="150" t="s">
        <v>289</v>
      </c>
      <c r="AK16" t="s">
        <v>276</v>
      </c>
      <c r="AM16" t="str">
        <f t="shared" si="14"/>
        <v>HPS 250W-NR</v>
      </c>
      <c r="AN16" s="173" t="str">
        <f t="shared" si="15"/>
        <v>Exterior Lighting: Parking Lot</v>
      </c>
      <c r="AO16" s="173" t="str">
        <f>AO13</f>
        <v>HPS 250W</v>
      </c>
      <c r="AP16" s="173" t="s">
        <v>303</v>
      </c>
      <c r="AQ16" s="173" t="str">
        <f t="shared" si="55"/>
        <v>Exterior Lighting: Parking Lot - HPS 250W - NR</v>
      </c>
      <c r="AR16" s="173" t="str">
        <f t="shared" si="17"/>
        <v>HPS 250W</v>
      </c>
      <c r="AS16" s="173" t="str">
        <f>AS13</f>
        <v>LED 135W</v>
      </c>
      <c r="AT16" s="173" t="str">
        <f t="shared" si="19"/>
        <v>Exterior Lighting: Parking Lot - HPS 250W to LED 135W - NR</v>
      </c>
      <c r="AU16" s="174">
        <v>4300</v>
      </c>
      <c r="AV16" s="174">
        <f t="shared" si="3"/>
        <v>12000</v>
      </c>
      <c r="AW16" s="173">
        <f t="shared" si="4"/>
        <v>290</v>
      </c>
      <c r="AX16" s="175">
        <f t="shared" si="5"/>
        <v>117.09183673469387</v>
      </c>
      <c r="AY16" s="176">
        <f t="shared" si="20"/>
        <v>0.59623504574243502</v>
      </c>
      <c r="AZ16" s="174">
        <f t="shared" si="6"/>
        <v>1247</v>
      </c>
      <c r="BA16" s="174">
        <f t="shared" si="7"/>
        <v>503.49489795918362</v>
      </c>
      <c r="BB16" s="157">
        <f t="shared" si="21"/>
        <v>743.50510204081638</v>
      </c>
      <c r="BC16" s="180">
        <f t="shared" si="8"/>
        <v>15</v>
      </c>
      <c r="BD16" s="173" t="s">
        <v>274</v>
      </c>
      <c r="BE16" s="177">
        <f t="shared" si="9"/>
        <v>160</v>
      </c>
      <c r="BF16" s="177">
        <f t="shared" si="10"/>
        <v>162.01157721295672</v>
      </c>
      <c r="BG16" s="180">
        <f t="shared" si="22"/>
        <v>147.01157721295672</v>
      </c>
      <c r="BH16" s="174">
        <f t="shared" si="11"/>
        <v>24000</v>
      </c>
      <c r="BI16" s="174">
        <f t="shared" si="12"/>
        <v>70000</v>
      </c>
      <c r="BJ16" s="178">
        <f t="shared" si="23"/>
        <v>5.5813953488372094</v>
      </c>
      <c r="BK16" s="163">
        <f t="shared" si="24"/>
        <v>16.279069767441861</v>
      </c>
      <c r="BL16" s="179">
        <v>8.3333333333333329E-2</v>
      </c>
      <c r="BM16" s="173">
        <v>0.33</v>
      </c>
      <c r="BN16" s="180">
        <f t="shared" si="25"/>
        <v>10.833333333333332</v>
      </c>
      <c r="BO16" s="180">
        <f t="shared" si="26"/>
        <v>42.9</v>
      </c>
      <c r="BP16" s="177">
        <f t="shared" si="27"/>
        <v>32.066666666666663</v>
      </c>
      <c r="BQ16" s="186">
        <f t="shared" si="28"/>
        <v>179.07824387962339</v>
      </c>
      <c r="BR16" s="181">
        <f t="shared" si="29"/>
        <v>15</v>
      </c>
      <c r="BS16" s="181">
        <f t="shared" si="30"/>
        <v>10.833333333333332</v>
      </c>
      <c r="BT16" s="167">
        <f t="shared" si="31"/>
        <v>25.833333333333332</v>
      </c>
      <c r="BU16" s="163">
        <f t="shared" si="32"/>
        <v>5.5813953488372094</v>
      </c>
      <c r="BV16" s="171" t="s">
        <v>369</v>
      </c>
      <c r="BW16" s="183" t="str">
        <f t="shared" si="33"/>
        <v>L</v>
      </c>
      <c r="BX16" s="161">
        <f t="shared" si="34"/>
        <v>1.0356841487284207</v>
      </c>
      <c r="BY16" s="110">
        <f t="shared" si="35"/>
        <v>0.61751118579180475</v>
      </c>
      <c r="BZ16" s="155">
        <f t="shared" si="36"/>
        <v>0.40376495425756509</v>
      </c>
      <c r="CA16" s="155">
        <f t="shared" si="37"/>
        <v>0.59623504574243502</v>
      </c>
      <c r="CB16" t="str">
        <f t="shared" si="38"/>
        <v>Exterior Lighting: Parking Lot - HPS 250W</v>
      </c>
      <c r="CC16" t="str">
        <f t="shared" si="1"/>
        <v>HPS 250W</v>
      </c>
      <c r="CD16" t="str">
        <f t="shared" si="2"/>
        <v>NR</v>
      </c>
      <c r="CE16" s="322" t="s">
        <v>986</v>
      </c>
      <c r="CF16" t="s">
        <v>91</v>
      </c>
      <c r="CG16" s="159">
        <f>VLOOKUP(CE16,Watt_Allocation,MATCH(CF16,'Watt Allocation'!$C$38:$K$38,0))</f>
        <v>71.095388052487294</v>
      </c>
      <c r="CH16" s="332">
        <f t="shared" si="13"/>
        <v>0.7142857142857143</v>
      </c>
      <c r="CI16" s="159">
        <f t="shared" si="39"/>
        <v>50.782420037490922</v>
      </c>
      <c r="CJ16" s="159">
        <f t="shared" si="40"/>
        <v>30.278258533964948</v>
      </c>
      <c r="CK16" s="59">
        <f t="shared" si="41"/>
        <v>130.19651169604927</v>
      </c>
      <c r="CL16" s="110">
        <f t="shared" si="42"/>
        <v>31.358712414728526</v>
      </c>
      <c r="CM16" s="338">
        <f t="shared" si="43"/>
        <v>0.24085677877405134</v>
      </c>
      <c r="CN16" s="305">
        <f t="shared" si="44"/>
        <v>0.24085677877405134</v>
      </c>
      <c r="CO16" s="362">
        <f t="shared" si="45"/>
        <v>0.17511179323272733</v>
      </c>
      <c r="CP16" s="362">
        <f t="shared" si="46"/>
        <v>0.17511179323272733</v>
      </c>
      <c r="CQ16" s="155">
        <f t="shared" si="47"/>
        <v>0.41992606521724191</v>
      </c>
      <c r="CR16" s="362">
        <f t="shared" si="48"/>
        <v>0.17511179323272733</v>
      </c>
      <c r="CS16" s="366">
        <f t="shared" si="49"/>
        <v>0.17511179323272733</v>
      </c>
      <c r="CT16" s="314">
        <f>1/BJ16</f>
        <v>0.17916666666666667</v>
      </c>
      <c r="CU16" s="312"/>
      <c r="CV16" s="312"/>
      <c r="CW16" s="118">
        <f>$CW$11*CK16/8760/1000</f>
        <v>49.046631118374727</v>
      </c>
    </row>
    <row r="17" spans="1:101">
      <c r="F17" s="60"/>
      <c r="R17" s="62"/>
      <c r="S17" s="135"/>
      <c r="T17" s="136"/>
      <c r="U17" s="137"/>
      <c r="V17" s="123"/>
      <c r="AM17" t="str">
        <f t="shared" si="14"/>
        <v>MH 400W-NR</v>
      </c>
      <c r="AN17" s="173" t="str">
        <f t="shared" si="15"/>
        <v>Exterior Lighting: Parking Lot</v>
      </c>
      <c r="AO17" s="173" t="str">
        <f t="shared" ref="AO17:AO21" si="56">AO14</f>
        <v>MH 400W</v>
      </c>
      <c r="AP17" s="173" t="s">
        <v>303</v>
      </c>
      <c r="AQ17" s="173" t="str">
        <f t="shared" si="55"/>
        <v>Exterior Lighting: Parking Lot - MH 400W - NR</v>
      </c>
      <c r="AR17" s="173" t="str">
        <f t="shared" si="17"/>
        <v>MH 400W</v>
      </c>
      <c r="AS17" s="173" t="str">
        <f t="shared" ref="AS17:AS21" si="57">AS14</f>
        <v>LED 180W</v>
      </c>
      <c r="AT17" s="173" t="str">
        <f t="shared" si="19"/>
        <v>Exterior Lighting: Parking Lot - MH 400W to LED 180W - NR</v>
      </c>
      <c r="AU17" s="174">
        <v>4300</v>
      </c>
      <c r="AV17" s="174">
        <f t="shared" si="3"/>
        <v>17000</v>
      </c>
      <c r="AW17" s="173">
        <f t="shared" si="4"/>
        <v>458</v>
      </c>
      <c r="AX17" s="175">
        <f t="shared" si="5"/>
        <v>156.12244897959184</v>
      </c>
      <c r="AY17" s="176">
        <f t="shared" si="20"/>
        <v>0.6591212904375725</v>
      </c>
      <c r="AZ17" s="174">
        <f t="shared" si="6"/>
        <v>1969.4</v>
      </c>
      <c r="BA17" s="174">
        <f t="shared" si="7"/>
        <v>671.32653061224494</v>
      </c>
      <c r="BB17" s="157">
        <f t="shared" si="21"/>
        <v>1298.0734693877553</v>
      </c>
      <c r="BC17" s="180">
        <f t="shared" si="8"/>
        <v>18</v>
      </c>
      <c r="BD17" s="173" t="s">
        <v>274</v>
      </c>
      <c r="BE17" s="177">
        <f t="shared" si="9"/>
        <v>190</v>
      </c>
      <c r="BF17" s="177">
        <f t="shared" si="10"/>
        <v>324.02315442591345</v>
      </c>
      <c r="BG17" s="180">
        <f t="shared" si="22"/>
        <v>306.02315442591345</v>
      </c>
      <c r="BH17" s="174">
        <f t="shared" si="11"/>
        <v>16000</v>
      </c>
      <c r="BI17" s="174">
        <f t="shared" si="12"/>
        <v>70000</v>
      </c>
      <c r="BJ17" s="178">
        <f t="shared" si="23"/>
        <v>3.7209302325581395</v>
      </c>
      <c r="BK17" s="163">
        <f t="shared" si="24"/>
        <v>16.279069767441861</v>
      </c>
      <c r="BL17" s="179">
        <v>8.3333333333333329E-2</v>
      </c>
      <c r="BM17" s="173">
        <v>0.33</v>
      </c>
      <c r="BN17" s="180">
        <f t="shared" si="25"/>
        <v>10.833333333333332</v>
      </c>
      <c r="BO17" s="180">
        <f t="shared" si="26"/>
        <v>42.9</v>
      </c>
      <c r="BP17" s="177">
        <f t="shared" si="27"/>
        <v>32.066666666666663</v>
      </c>
      <c r="BQ17" s="186">
        <f t="shared" si="28"/>
        <v>338.08982109258011</v>
      </c>
      <c r="BR17" s="181">
        <f t="shared" si="29"/>
        <v>18</v>
      </c>
      <c r="BS17" s="181">
        <f t="shared" si="30"/>
        <v>10.833333333333332</v>
      </c>
      <c r="BT17" s="167">
        <f t="shared" si="31"/>
        <v>28.833333333333332</v>
      </c>
      <c r="BU17" s="163">
        <f t="shared" si="32"/>
        <v>3.7209302325581395</v>
      </c>
      <c r="BV17" s="171" t="s">
        <v>369</v>
      </c>
      <c r="BW17" s="183" t="str">
        <f t="shared" si="33"/>
        <v>L</v>
      </c>
      <c r="BX17" s="161">
        <f t="shared" si="34"/>
        <v>1.1199568167615213</v>
      </c>
      <c r="BY17" s="110">
        <f t="shared" si="35"/>
        <v>0.73818738229820979</v>
      </c>
      <c r="BZ17" s="155">
        <f t="shared" si="36"/>
        <v>0.34087870956242761</v>
      </c>
      <c r="CA17" s="155">
        <f t="shared" si="37"/>
        <v>0.6591212904375725</v>
      </c>
      <c r="CB17" t="str">
        <f t="shared" si="38"/>
        <v>Exterior Lighting: Parking Lot - MH 400W</v>
      </c>
      <c r="CC17" t="str">
        <f t="shared" si="1"/>
        <v>MH 400W</v>
      </c>
      <c r="CD17" t="str">
        <f t="shared" si="2"/>
        <v>NR</v>
      </c>
      <c r="CE17" s="322" t="s">
        <v>986</v>
      </c>
      <c r="CF17" t="s">
        <v>91</v>
      </c>
      <c r="CG17" s="159">
        <f>VLOOKUP(CE17,Watt_Allocation,MATCH(CF17,'Watt Allocation'!$C$38:$K$38,0))</f>
        <v>71.095388052487294</v>
      </c>
      <c r="CH17" s="333">
        <f t="shared" si="13"/>
        <v>0.25510204081632654</v>
      </c>
      <c r="CI17" s="159">
        <f t="shared" si="39"/>
        <v>18.136578584818189</v>
      </c>
      <c r="CJ17" s="159">
        <f t="shared" si="40"/>
        <v>11.954205080947807</v>
      </c>
      <c r="CK17" s="59">
        <f t="shared" si="41"/>
        <v>51.403081848075573</v>
      </c>
      <c r="CL17" s="110">
        <f t="shared" si="42"/>
        <v>13.388193469372709</v>
      </c>
      <c r="CM17" s="338">
        <f t="shared" si="43"/>
        <v>0.26045507366547005</v>
      </c>
      <c r="CN17" s="305">
        <f t="shared" si="44"/>
        <v>0.26045507366547005</v>
      </c>
      <c r="CO17" s="362">
        <f t="shared" si="45"/>
        <v>3.9599516560738408E-2</v>
      </c>
      <c r="CP17" s="362">
        <f t="shared" si="46"/>
        <v>3.9599516560738401E-2</v>
      </c>
      <c r="CQ17" s="155">
        <f t="shared" si="47"/>
        <v>0.41992606521724191</v>
      </c>
      <c r="CR17" s="362">
        <f t="shared" si="48"/>
        <v>3.9599516560738408E-2</v>
      </c>
      <c r="CS17" s="366">
        <f t="shared" si="49"/>
        <v>3.9599516560738408E-2</v>
      </c>
      <c r="CT17" s="314">
        <f t="shared" ref="CT17:CT18" si="58">1/BJ17</f>
        <v>0.26874999999999999</v>
      </c>
      <c r="CU17" s="312"/>
      <c r="CV17" s="312"/>
      <c r="CW17" s="118">
        <f>$CW$11*CK17/8760/1000</f>
        <v>19.364174668795592</v>
      </c>
    </row>
    <row r="18" spans="1:101">
      <c r="F18" s="60"/>
      <c r="R18" s="62"/>
      <c r="S18" s="122"/>
      <c r="T18" s="124"/>
      <c r="U18" s="123"/>
      <c r="V18" s="123"/>
      <c r="Z18" t="s">
        <v>234</v>
      </c>
      <c r="AA18" s="113"/>
      <c r="AB18" s="113"/>
      <c r="AC18" s="113"/>
      <c r="AD18" s="113"/>
      <c r="AE18" s="113"/>
      <c r="AF18" s="112" t="s">
        <v>236</v>
      </c>
      <c r="AG18" s="112" t="s">
        <v>236</v>
      </c>
      <c r="AM18" t="str">
        <f t="shared" si="14"/>
        <v>MH 1000W-NR</v>
      </c>
      <c r="AN18" s="173" t="str">
        <f t="shared" si="15"/>
        <v>Exterior Lighting: Parking Lot</v>
      </c>
      <c r="AO18" s="173" t="str">
        <f t="shared" si="56"/>
        <v>MH 1000W</v>
      </c>
      <c r="AP18" s="173" t="s">
        <v>303</v>
      </c>
      <c r="AQ18" s="173" t="str">
        <f t="shared" si="55"/>
        <v>Exterior Lighting: Parking Lot - MH 1000W - NR</v>
      </c>
      <c r="AR18" s="173" t="str">
        <f t="shared" si="17"/>
        <v>MH 1000W</v>
      </c>
      <c r="AS18" s="173" t="str">
        <f t="shared" si="57"/>
        <v>LED 421W</v>
      </c>
      <c r="AT18" s="173" t="str">
        <f t="shared" si="19"/>
        <v>Exterior Lighting: Parking Lot - MH 1000W to LED 421W - NR</v>
      </c>
      <c r="AU18" s="174">
        <v>4300</v>
      </c>
      <c r="AV18" s="174">
        <f t="shared" si="3"/>
        <v>41000</v>
      </c>
      <c r="AW18" s="173">
        <f t="shared" si="4"/>
        <v>1100</v>
      </c>
      <c r="AX18" s="175">
        <f t="shared" si="5"/>
        <v>365.15306122448976</v>
      </c>
      <c r="AY18" s="176">
        <f t="shared" si="20"/>
        <v>0.66804267161410025</v>
      </c>
      <c r="AZ18" s="174">
        <f t="shared" si="6"/>
        <v>4730</v>
      </c>
      <c r="BA18" s="174">
        <f t="shared" si="7"/>
        <v>1570.158163265306</v>
      </c>
      <c r="BB18" s="157">
        <f t="shared" si="21"/>
        <v>3159.841836734694</v>
      </c>
      <c r="BC18" s="180">
        <f t="shared" si="8"/>
        <v>20</v>
      </c>
      <c r="BD18" s="173" t="s">
        <v>274</v>
      </c>
      <c r="BE18" s="177">
        <f t="shared" si="9"/>
        <v>440</v>
      </c>
      <c r="BF18" s="177">
        <f t="shared" si="10"/>
        <v>972.0694632777404</v>
      </c>
      <c r="BG18" s="180">
        <f t="shared" si="22"/>
        <v>952.0694632777404</v>
      </c>
      <c r="BH18" s="174">
        <f t="shared" si="11"/>
        <v>16000</v>
      </c>
      <c r="BI18" s="174">
        <f t="shared" si="12"/>
        <v>70000</v>
      </c>
      <c r="BJ18" s="178">
        <f t="shared" si="23"/>
        <v>3.7209302325581395</v>
      </c>
      <c r="BK18" s="163">
        <f t="shared" si="24"/>
        <v>16.279069767441861</v>
      </c>
      <c r="BL18" s="179">
        <v>8.3333333333333329E-2</v>
      </c>
      <c r="BM18" s="173">
        <v>0.33</v>
      </c>
      <c r="BN18" s="180">
        <f t="shared" si="25"/>
        <v>10.833333333333332</v>
      </c>
      <c r="BO18" s="180">
        <f t="shared" si="26"/>
        <v>42.9</v>
      </c>
      <c r="BP18" s="177">
        <f t="shared" si="27"/>
        <v>32.066666666666663</v>
      </c>
      <c r="BQ18" s="186">
        <f t="shared" si="28"/>
        <v>984.136129944407</v>
      </c>
      <c r="BR18" s="181">
        <f t="shared" si="29"/>
        <v>20</v>
      </c>
      <c r="BS18" s="181">
        <f t="shared" si="30"/>
        <v>10.833333333333332</v>
      </c>
      <c r="BT18" s="167">
        <f t="shared" si="31"/>
        <v>30.833333333333332</v>
      </c>
      <c r="BU18" s="163">
        <f t="shared" si="32"/>
        <v>3.7209302325581395</v>
      </c>
      <c r="BV18" s="171" t="s">
        <v>369</v>
      </c>
      <c r="BW18" s="183" t="str">
        <f t="shared" si="33"/>
        <v>L</v>
      </c>
      <c r="BX18" s="161">
        <f t="shared" si="34"/>
        <v>1.3392396130604995</v>
      </c>
      <c r="BY18" s="110">
        <f t="shared" si="35"/>
        <v>0.89466920904036995</v>
      </c>
      <c r="BZ18" s="155">
        <f t="shared" si="36"/>
        <v>0.33195732838589981</v>
      </c>
      <c r="CA18" s="155">
        <f t="shared" si="37"/>
        <v>0.66804267161410025</v>
      </c>
      <c r="CB18" t="str">
        <f t="shared" si="38"/>
        <v>Exterior Lighting: Parking Lot - MH 1000W</v>
      </c>
      <c r="CC18" t="str">
        <f t="shared" si="1"/>
        <v>MH 1000W</v>
      </c>
      <c r="CD18" t="str">
        <f t="shared" si="2"/>
        <v>NR</v>
      </c>
      <c r="CE18" s="322" t="s">
        <v>986</v>
      </c>
      <c r="CF18" t="s">
        <v>91</v>
      </c>
      <c r="CG18" s="159">
        <f>VLOOKUP(CE18,Watt_Allocation,MATCH(CF18,'Watt Allocation'!$C$38:$K$38,0))</f>
        <v>71.095388052487294</v>
      </c>
      <c r="CH18" s="334">
        <f t="shared" si="13"/>
        <v>3.0612244897959183E-2</v>
      </c>
      <c r="CI18" s="159">
        <f t="shared" si="39"/>
        <v>2.1763894301781823</v>
      </c>
      <c r="CJ18" s="159">
        <f t="shared" si="40"/>
        <v>1.4539210094089221</v>
      </c>
      <c r="CK18" s="59">
        <f t="shared" si="41"/>
        <v>6.2518603404583653</v>
      </c>
      <c r="CL18" s="110">
        <f t="shared" si="42"/>
        <v>1.9471486100613358</v>
      </c>
      <c r="CM18" s="338">
        <f t="shared" si="43"/>
        <v>0.3114510728047673</v>
      </c>
      <c r="CN18" s="305">
        <f t="shared" si="44"/>
        <v>0.31145107280476736</v>
      </c>
      <c r="CO18" s="362">
        <f t="shared" si="45"/>
        <v>1.9785358456165295E-3</v>
      </c>
      <c r="CP18" s="362">
        <f t="shared" si="46"/>
        <v>1.9785358456165291E-3</v>
      </c>
      <c r="CQ18" s="155">
        <f t="shared" si="47"/>
        <v>0.41992606521724191</v>
      </c>
      <c r="CR18" s="362">
        <f t="shared" si="48"/>
        <v>1.9785358456165295E-3</v>
      </c>
      <c r="CS18" s="366">
        <f t="shared" si="49"/>
        <v>1.9785358456165295E-3</v>
      </c>
      <c r="CT18" s="314">
        <f t="shared" si="58"/>
        <v>0.26874999999999999</v>
      </c>
      <c r="CU18" s="312"/>
      <c r="CV18" s="312"/>
      <c r="CW18" s="118">
        <f>$CW$11*CK18/8760/1000</f>
        <v>2.3551528679808911</v>
      </c>
    </row>
    <row r="19" spans="1:101">
      <c r="F19" s="60"/>
      <c r="R19" s="62"/>
      <c r="S19" s="122"/>
      <c r="T19" s="124"/>
      <c r="U19" s="123"/>
      <c r="V19" s="123"/>
      <c r="Z19" s="47" t="s">
        <v>277</v>
      </c>
      <c r="AA19">
        <v>250</v>
      </c>
      <c r="AB19" s="146">
        <v>290</v>
      </c>
      <c r="AC19" t="s">
        <v>280</v>
      </c>
      <c r="AF19" t="s">
        <v>274</v>
      </c>
      <c r="AG19" s="135">
        <v>15</v>
      </c>
      <c r="AH19" s="137">
        <v>24000</v>
      </c>
      <c r="AI19" s="122" t="s">
        <v>275</v>
      </c>
      <c r="AJ19" s="150" t="s">
        <v>289</v>
      </c>
      <c r="AK19" s="141" t="s">
        <v>237</v>
      </c>
      <c r="AM19" t="str">
        <f t="shared" si="14"/>
        <v>HPS 250W-Retro</v>
      </c>
      <c r="AN19" s="173" t="str">
        <f t="shared" si="15"/>
        <v>Exterior Lighting: Parking Lot</v>
      </c>
      <c r="AO19" s="173" t="str">
        <f t="shared" si="56"/>
        <v>HPS 250W</v>
      </c>
      <c r="AP19" s="173" t="s">
        <v>304</v>
      </c>
      <c r="AQ19" s="173" t="str">
        <f t="shared" si="55"/>
        <v>Exterior Lighting: Parking Lot - HPS 250W - Retro</v>
      </c>
      <c r="AR19" s="173" t="str">
        <f t="shared" si="17"/>
        <v>HPS 250W</v>
      </c>
      <c r="AS19" s="173" t="str">
        <f t="shared" si="57"/>
        <v>LED 135W</v>
      </c>
      <c r="AT19" s="173" t="str">
        <f t="shared" si="19"/>
        <v>Exterior Lighting: Parking Lot - HPS 250W to LED 135W - Retro</v>
      </c>
      <c r="AU19" s="174">
        <v>4300</v>
      </c>
      <c r="AV19" s="174">
        <f t="shared" si="3"/>
        <v>12000</v>
      </c>
      <c r="AW19" s="173">
        <f t="shared" si="4"/>
        <v>290</v>
      </c>
      <c r="AX19" s="175">
        <f t="shared" si="5"/>
        <v>117.09183673469387</v>
      </c>
      <c r="AY19" s="176">
        <f t="shared" si="20"/>
        <v>0.59623504574243502</v>
      </c>
      <c r="AZ19" s="174">
        <f t="shared" si="6"/>
        <v>1247</v>
      </c>
      <c r="BA19" s="174">
        <f t="shared" si="7"/>
        <v>503.49489795918362</v>
      </c>
      <c r="BB19" s="157">
        <f t="shared" si="21"/>
        <v>743.50510204081638</v>
      </c>
      <c r="BC19" s="180">
        <f t="shared" si="8"/>
        <v>15</v>
      </c>
      <c r="BD19" s="173" t="s">
        <v>274</v>
      </c>
      <c r="BE19" s="177">
        <f t="shared" si="9"/>
        <v>160</v>
      </c>
      <c r="BF19" s="177">
        <f t="shared" si="10"/>
        <v>162.01157721295672</v>
      </c>
      <c r="BG19" s="180">
        <f t="shared" si="22"/>
        <v>162.01157721295672</v>
      </c>
      <c r="BH19" s="174">
        <f t="shared" si="11"/>
        <v>24000</v>
      </c>
      <c r="BI19" s="174">
        <f t="shared" si="12"/>
        <v>70000</v>
      </c>
      <c r="BJ19" s="178">
        <f t="shared" si="23"/>
        <v>5.5813953488372094</v>
      </c>
      <c r="BK19" s="163">
        <f t="shared" si="24"/>
        <v>16.279069767441861</v>
      </c>
      <c r="BL19" s="179">
        <v>8.3333333333333329E-2</v>
      </c>
      <c r="BM19" s="173">
        <v>0.33</v>
      </c>
      <c r="BN19" s="180">
        <f t="shared" si="25"/>
        <v>10.833333333333332</v>
      </c>
      <c r="BO19" s="180">
        <f t="shared" si="26"/>
        <v>42.9</v>
      </c>
      <c r="BP19" s="177">
        <f t="shared" si="27"/>
        <v>42.9</v>
      </c>
      <c r="BQ19" s="186">
        <f t="shared" si="28"/>
        <v>204.91157721295673</v>
      </c>
      <c r="BR19" s="181">
        <f t="shared" si="29"/>
        <v>15</v>
      </c>
      <c r="BS19" s="181">
        <f t="shared" si="30"/>
        <v>10.833333333333332</v>
      </c>
      <c r="BT19" s="167">
        <f t="shared" si="31"/>
        <v>25.833333333333332</v>
      </c>
      <c r="BU19" s="163">
        <f t="shared" si="32"/>
        <v>5.5813953488372094</v>
      </c>
      <c r="BV19" s="171" t="s">
        <v>369</v>
      </c>
      <c r="BW19" s="183" t="str">
        <f t="shared" si="33"/>
        <v>R</v>
      </c>
      <c r="BX19" s="161">
        <f t="shared" si="34"/>
        <v>1.1850890862714523</v>
      </c>
      <c r="BY19" s="110">
        <f t="shared" si="35"/>
        <v>0.70659164556191978</v>
      </c>
      <c r="BZ19" s="155">
        <f t="shared" si="36"/>
        <v>0.40376495425756509</v>
      </c>
      <c r="CA19" s="155">
        <f t="shared" si="37"/>
        <v>0.59623504574243502</v>
      </c>
      <c r="CB19" t="str">
        <f t="shared" si="38"/>
        <v>Exterior Lighting: Parking Lot - HPS 250W</v>
      </c>
      <c r="CC19" t="str">
        <f t="shared" si="1"/>
        <v>HPS 250W</v>
      </c>
      <c r="CD19" t="str">
        <f t="shared" si="2"/>
        <v>Retro</v>
      </c>
      <c r="CE19" s="322" t="s">
        <v>986</v>
      </c>
      <c r="CF19" t="s">
        <v>91</v>
      </c>
      <c r="CG19" s="159">
        <f>VLOOKUP(CE19,Watt_Allocation,MATCH(CF19,'Watt Allocation'!$C$38:$K$38,0))</f>
        <v>71.095388052487294</v>
      </c>
      <c r="CH19" s="332">
        <f t="shared" si="13"/>
        <v>0.7142857142857143</v>
      </c>
      <c r="CI19" s="159">
        <f t="shared" si="39"/>
        <v>50.782420037490922</v>
      </c>
      <c r="CJ19" s="159">
        <f t="shared" si="40"/>
        <v>30.278258533964948</v>
      </c>
      <c r="CK19" s="59">
        <f t="shared" si="41"/>
        <v>130.19651169604927</v>
      </c>
      <c r="CL19" s="110">
        <f t="shared" si="42"/>
        <v>35.88243373990732</v>
      </c>
      <c r="CM19" s="338">
        <f t="shared" si="43"/>
        <v>0.27560211308638427</v>
      </c>
      <c r="CN19" s="305">
        <f t="shared" si="44"/>
        <v>0.27560211308638422</v>
      </c>
      <c r="CO19" s="362">
        <f t="shared" si="45"/>
        <v>0.17511179323272733</v>
      </c>
      <c r="CP19" s="362">
        <f t="shared" si="46"/>
        <v>0.17511179323272733</v>
      </c>
      <c r="CQ19" s="155">
        <f t="shared" si="47"/>
        <v>0.41992606521724191</v>
      </c>
      <c r="CR19" s="362">
        <f t="shared" si="48"/>
        <v>0.17511179323272733</v>
      </c>
      <c r="CS19" s="366">
        <f t="shared" si="49"/>
        <v>0.17511179323272733</v>
      </c>
      <c r="CT19" s="312"/>
      <c r="CU19" s="312"/>
      <c r="CV19" s="312"/>
      <c r="CW19" s="118"/>
    </row>
    <row r="20" spans="1:101">
      <c r="F20" s="60"/>
      <c r="R20" s="62"/>
      <c r="S20" s="122"/>
      <c r="T20" s="124"/>
      <c r="U20" s="123"/>
      <c r="V20" s="123"/>
      <c r="Z20" s="47" t="s">
        <v>278</v>
      </c>
      <c r="AA20">
        <v>400</v>
      </c>
      <c r="AB20" s="146">
        <v>458</v>
      </c>
      <c r="AC20" t="s">
        <v>280</v>
      </c>
      <c r="AF20" t="s">
        <v>274</v>
      </c>
      <c r="AG20" s="135">
        <v>18</v>
      </c>
      <c r="AH20" s="137">
        <v>16000</v>
      </c>
      <c r="AI20" s="122" t="s">
        <v>275</v>
      </c>
      <c r="AJ20" s="150" t="s">
        <v>289</v>
      </c>
      <c r="AK20" s="141" t="s">
        <v>237</v>
      </c>
      <c r="AM20" t="str">
        <f t="shared" si="14"/>
        <v>MH 400W-Retro</v>
      </c>
      <c r="AN20" s="173" t="str">
        <f t="shared" si="15"/>
        <v>Exterior Lighting: Parking Lot</v>
      </c>
      <c r="AO20" s="173" t="str">
        <f t="shared" si="56"/>
        <v>MH 400W</v>
      </c>
      <c r="AP20" s="173" t="s">
        <v>304</v>
      </c>
      <c r="AQ20" s="173" t="str">
        <f t="shared" si="55"/>
        <v>Exterior Lighting: Parking Lot - MH 400W - Retro</v>
      </c>
      <c r="AR20" s="173" t="str">
        <f t="shared" si="17"/>
        <v>MH 400W</v>
      </c>
      <c r="AS20" s="173" t="str">
        <f t="shared" si="57"/>
        <v>LED 180W</v>
      </c>
      <c r="AT20" s="173" t="str">
        <f t="shared" si="19"/>
        <v>Exterior Lighting: Parking Lot - MH 400W to LED 180W - Retro</v>
      </c>
      <c r="AU20" s="174">
        <v>4300</v>
      </c>
      <c r="AV20" s="174">
        <f t="shared" si="3"/>
        <v>17000</v>
      </c>
      <c r="AW20" s="173">
        <f t="shared" si="4"/>
        <v>458</v>
      </c>
      <c r="AX20" s="175">
        <f t="shared" si="5"/>
        <v>156.12244897959184</v>
      </c>
      <c r="AY20" s="176">
        <f t="shared" si="20"/>
        <v>0.6591212904375725</v>
      </c>
      <c r="AZ20" s="174">
        <f t="shared" si="6"/>
        <v>1969.4</v>
      </c>
      <c r="BA20" s="174">
        <f t="shared" si="7"/>
        <v>671.32653061224494</v>
      </c>
      <c r="BB20" s="157">
        <f t="shared" si="21"/>
        <v>1298.0734693877553</v>
      </c>
      <c r="BC20" s="180">
        <f t="shared" si="8"/>
        <v>18</v>
      </c>
      <c r="BD20" s="173" t="s">
        <v>274</v>
      </c>
      <c r="BE20" s="177">
        <f t="shared" si="9"/>
        <v>190</v>
      </c>
      <c r="BF20" s="177">
        <f t="shared" si="10"/>
        <v>324.02315442591345</v>
      </c>
      <c r="BG20" s="180">
        <f t="shared" si="22"/>
        <v>324.02315442591345</v>
      </c>
      <c r="BH20" s="174">
        <f t="shared" si="11"/>
        <v>16000</v>
      </c>
      <c r="BI20" s="174">
        <f t="shared" si="12"/>
        <v>70000</v>
      </c>
      <c r="BJ20" s="178">
        <f t="shared" si="23"/>
        <v>3.7209302325581395</v>
      </c>
      <c r="BK20" s="163">
        <f t="shared" si="24"/>
        <v>16.279069767441861</v>
      </c>
      <c r="BL20" s="179">
        <v>8.3333333333333329E-2</v>
      </c>
      <c r="BM20" s="173">
        <v>0.33</v>
      </c>
      <c r="BN20" s="180">
        <f t="shared" si="25"/>
        <v>10.833333333333332</v>
      </c>
      <c r="BO20" s="180">
        <f t="shared" si="26"/>
        <v>42.9</v>
      </c>
      <c r="BP20" s="177">
        <f t="shared" si="27"/>
        <v>42.9</v>
      </c>
      <c r="BQ20" s="186">
        <f t="shared" si="28"/>
        <v>366.92315442591342</v>
      </c>
      <c r="BR20" s="181">
        <f t="shared" si="29"/>
        <v>18</v>
      </c>
      <c r="BS20" s="181">
        <f t="shared" si="30"/>
        <v>10.833333333333332</v>
      </c>
      <c r="BT20" s="167">
        <f t="shared" si="31"/>
        <v>28.833333333333332</v>
      </c>
      <c r="BU20" s="163">
        <f t="shared" si="32"/>
        <v>3.7209302325581395</v>
      </c>
      <c r="BV20" s="171" t="s">
        <v>369</v>
      </c>
      <c r="BW20" s="183" t="str">
        <f t="shared" si="33"/>
        <v>R</v>
      </c>
      <c r="BX20" s="161">
        <f t="shared" si="34"/>
        <v>1.2154701573059596</v>
      </c>
      <c r="BY20" s="110">
        <f t="shared" si="35"/>
        <v>0.80114225857186339</v>
      </c>
      <c r="BZ20" s="155">
        <f t="shared" si="36"/>
        <v>0.34087870956242761</v>
      </c>
      <c r="CA20" s="155">
        <f t="shared" si="37"/>
        <v>0.6591212904375725</v>
      </c>
      <c r="CB20" t="str">
        <f t="shared" si="38"/>
        <v>Exterior Lighting: Parking Lot - MH 400W</v>
      </c>
      <c r="CC20" t="str">
        <f t="shared" si="1"/>
        <v>MH 400W</v>
      </c>
      <c r="CD20" t="str">
        <f t="shared" si="2"/>
        <v>Retro</v>
      </c>
      <c r="CE20" s="322" t="s">
        <v>986</v>
      </c>
      <c r="CF20" t="s">
        <v>91</v>
      </c>
      <c r="CG20" s="159">
        <f>VLOOKUP(CE20,Watt_Allocation,MATCH(CF20,'Watt Allocation'!$C$38:$K$38,0))</f>
        <v>71.095388052487294</v>
      </c>
      <c r="CH20" s="333">
        <f t="shared" si="13"/>
        <v>0.25510204081632654</v>
      </c>
      <c r="CI20" s="159">
        <f t="shared" si="39"/>
        <v>18.136578584818189</v>
      </c>
      <c r="CJ20" s="159">
        <f t="shared" si="40"/>
        <v>11.954205080947807</v>
      </c>
      <c r="CK20" s="59">
        <f t="shared" si="41"/>
        <v>51.403081848075573</v>
      </c>
      <c r="CL20" s="110">
        <f t="shared" si="42"/>
        <v>14.529979530207333</v>
      </c>
      <c r="CM20" s="338">
        <f t="shared" si="43"/>
        <v>0.28266747844324641</v>
      </c>
      <c r="CN20" s="305">
        <f t="shared" si="44"/>
        <v>0.28266747844324641</v>
      </c>
      <c r="CO20" s="362">
        <f t="shared" si="45"/>
        <v>3.9599516560738408E-2</v>
      </c>
      <c r="CP20" s="362">
        <f t="shared" si="46"/>
        <v>3.9599516560738401E-2</v>
      </c>
      <c r="CQ20" s="155">
        <f t="shared" si="47"/>
        <v>0.41992606521724191</v>
      </c>
      <c r="CR20" s="362">
        <f t="shared" si="48"/>
        <v>3.9599516560738408E-2</v>
      </c>
      <c r="CS20" s="366">
        <f t="shared" si="49"/>
        <v>3.9599516560738408E-2</v>
      </c>
      <c r="CT20" s="312"/>
      <c r="CU20" s="312"/>
      <c r="CV20" s="312"/>
      <c r="CW20" s="118"/>
    </row>
    <row r="21" spans="1:101">
      <c r="Z21" s="47" t="s">
        <v>279</v>
      </c>
      <c r="AA21">
        <v>1000</v>
      </c>
      <c r="AB21" s="146">
        <v>1100</v>
      </c>
      <c r="AC21" t="s">
        <v>280</v>
      </c>
      <c r="AF21" t="s">
        <v>274</v>
      </c>
      <c r="AG21" s="135">
        <v>20</v>
      </c>
      <c r="AH21" s="137">
        <v>16000</v>
      </c>
      <c r="AI21" s="122" t="s">
        <v>275</v>
      </c>
      <c r="AJ21" s="150" t="s">
        <v>289</v>
      </c>
      <c r="AK21" s="141" t="s">
        <v>237</v>
      </c>
      <c r="AM21" t="str">
        <f t="shared" si="14"/>
        <v>MH 1000W-Retro</v>
      </c>
      <c r="AN21" s="173" t="str">
        <f t="shared" si="15"/>
        <v>Exterior Lighting: Parking Lot</v>
      </c>
      <c r="AO21" s="173" t="str">
        <f t="shared" si="56"/>
        <v>MH 1000W</v>
      </c>
      <c r="AP21" s="173" t="s">
        <v>304</v>
      </c>
      <c r="AQ21" s="173" t="str">
        <f t="shared" si="55"/>
        <v>Exterior Lighting: Parking Lot - MH 1000W - Retro</v>
      </c>
      <c r="AR21" s="173" t="str">
        <f t="shared" si="17"/>
        <v>MH 1000W</v>
      </c>
      <c r="AS21" s="173" t="str">
        <f t="shared" si="57"/>
        <v>LED 421W</v>
      </c>
      <c r="AT21" s="173" t="str">
        <f t="shared" si="19"/>
        <v>Exterior Lighting: Parking Lot - MH 1000W to LED 421W - Retro</v>
      </c>
      <c r="AU21" s="174">
        <v>4300</v>
      </c>
      <c r="AV21" s="174">
        <f t="shared" si="3"/>
        <v>41000</v>
      </c>
      <c r="AW21" s="173">
        <f t="shared" si="4"/>
        <v>1100</v>
      </c>
      <c r="AX21" s="175">
        <f t="shared" si="5"/>
        <v>365.15306122448976</v>
      </c>
      <c r="AY21" s="176">
        <f t="shared" si="20"/>
        <v>0.66804267161410025</v>
      </c>
      <c r="AZ21" s="174">
        <f t="shared" si="6"/>
        <v>4730</v>
      </c>
      <c r="BA21" s="174">
        <f t="shared" si="7"/>
        <v>1570.158163265306</v>
      </c>
      <c r="BB21" s="157">
        <f t="shared" si="21"/>
        <v>3159.841836734694</v>
      </c>
      <c r="BC21" s="180">
        <f t="shared" si="8"/>
        <v>20</v>
      </c>
      <c r="BD21" s="173" t="s">
        <v>274</v>
      </c>
      <c r="BE21" s="177">
        <f t="shared" si="9"/>
        <v>440</v>
      </c>
      <c r="BF21" s="177">
        <f t="shared" si="10"/>
        <v>972.0694632777404</v>
      </c>
      <c r="BG21" s="180">
        <f t="shared" si="22"/>
        <v>972.0694632777404</v>
      </c>
      <c r="BH21" s="174">
        <f t="shared" si="11"/>
        <v>16000</v>
      </c>
      <c r="BI21" s="174">
        <f t="shared" si="12"/>
        <v>70000</v>
      </c>
      <c r="BJ21" s="178">
        <f t="shared" si="23"/>
        <v>3.7209302325581395</v>
      </c>
      <c r="BK21" s="163">
        <f t="shared" si="24"/>
        <v>16.279069767441861</v>
      </c>
      <c r="BL21" s="179">
        <v>8.3333333333333329E-2</v>
      </c>
      <c r="BM21" s="173">
        <v>0.33</v>
      </c>
      <c r="BN21" s="180">
        <f t="shared" si="25"/>
        <v>10.833333333333332</v>
      </c>
      <c r="BO21" s="180">
        <f t="shared" si="26"/>
        <v>42.9</v>
      </c>
      <c r="BP21" s="177">
        <f t="shared" si="27"/>
        <v>42.9</v>
      </c>
      <c r="BQ21" s="186">
        <f t="shared" si="28"/>
        <v>1014.9694632777404</v>
      </c>
      <c r="BR21" s="181">
        <f t="shared" si="29"/>
        <v>20</v>
      </c>
      <c r="BS21" s="181">
        <f t="shared" si="30"/>
        <v>10.833333333333332</v>
      </c>
      <c r="BT21" s="167">
        <f t="shared" si="31"/>
        <v>30.833333333333332</v>
      </c>
      <c r="BU21" s="163">
        <f t="shared" si="32"/>
        <v>3.7209302325581395</v>
      </c>
      <c r="BV21" s="171" t="s">
        <v>369</v>
      </c>
      <c r="BW21" s="183" t="str">
        <f t="shared" si="33"/>
        <v>R</v>
      </c>
      <c r="BX21" s="161">
        <f t="shared" si="34"/>
        <v>1.3811984642257662</v>
      </c>
      <c r="BY21" s="110">
        <f t="shared" si="35"/>
        <v>0.92269951207067302</v>
      </c>
      <c r="BZ21" s="155">
        <f t="shared" si="36"/>
        <v>0.33195732838589981</v>
      </c>
      <c r="CA21" s="155">
        <f t="shared" si="37"/>
        <v>0.66804267161410025</v>
      </c>
      <c r="CB21" t="str">
        <f t="shared" si="38"/>
        <v>Exterior Lighting: Parking Lot - MH 1000W</v>
      </c>
      <c r="CC21" t="str">
        <f t="shared" si="1"/>
        <v>MH 1000W</v>
      </c>
      <c r="CD21" t="str">
        <f t="shared" si="2"/>
        <v>Retro</v>
      </c>
      <c r="CE21" s="322" t="s">
        <v>986</v>
      </c>
      <c r="CF21" t="s">
        <v>91</v>
      </c>
      <c r="CG21" s="159">
        <f>VLOOKUP(CE21,Watt_Allocation,MATCH(CF21,'Watt Allocation'!$C$38:$K$38,0))</f>
        <v>71.095388052487294</v>
      </c>
      <c r="CH21" s="334">
        <f t="shared" si="13"/>
        <v>3.0612244897959183E-2</v>
      </c>
      <c r="CI21" s="159">
        <f t="shared" si="39"/>
        <v>2.1763894301781823</v>
      </c>
      <c r="CJ21" s="159">
        <f t="shared" si="40"/>
        <v>1.4539210094089221</v>
      </c>
      <c r="CK21" s="59">
        <f t="shared" si="41"/>
        <v>6.2518603404583653</v>
      </c>
      <c r="CL21" s="110">
        <f t="shared" si="42"/>
        <v>2.008153465301179</v>
      </c>
      <c r="CM21" s="338">
        <f t="shared" si="43"/>
        <v>0.32120894516878284</v>
      </c>
      <c r="CN21" s="305">
        <f t="shared" si="44"/>
        <v>0.32120894516878284</v>
      </c>
      <c r="CO21" s="362">
        <f t="shared" si="45"/>
        <v>1.9785358456165295E-3</v>
      </c>
      <c r="CP21" s="362">
        <f t="shared" si="46"/>
        <v>1.9785358456165295E-3</v>
      </c>
      <c r="CQ21" s="155">
        <f t="shared" si="47"/>
        <v>0.41992606521724191</v>
      </c>
      <c r="CR21" s="362">
        <f t="shared" si="48"/>
        <v>1.9785358456165295E-3</v>
      </c>
      <c r="CS21" s="366">
        <f t="shared" si="49"/>
        <v>1.9785358456165295E-3</v>
      </c>
      <c r="CT21" s="312"/>
      <c r="CU21" s="312"/>
      <c r="CV21" s="312"/>
      <c r="CW21" s="118"/>
    </row>
    <row r="22" spans="1:101">
      <c r="A22" s="58" t="s">
        <v>372</v>
      </c>
      <c r="AM22" t="str">
        <f t="shared" si="14"/>
        <v>HID 150W-New</v>
      </c>
      <c r="AN22" t="str">
        <f>$A$22</f>
        <v>Exterior Lighting: Façade</v>
      </c>
      <c r="AO22" t="str">
        <f>I25</f>
        <v>HID 150W</v>
      </c>
      <c r="AP22" t="s">
        <v>41</v>
      </c>
      <c r="AQ22" t="str">
        <f t="shared" si="55"/>
        <v>Exterior Lighting: Façade - HID 150W - New</v>
      </c>
      <c r="AR22" s="89" t="str">
        <f>AO22</f>
        <v>HID 150W</v>
      </c>
      <c r="AS22" t="str">
        <f>CONCATENATE("LED ",TEXT(T30,"0"),"W")</f>
        <v>LED 27W</v>
      </c>
      <c r="AT22" t="str">
        <f t="shared" si="19"/>
        <v>Exterior Lighting: Façade - HID 150W to LED 27W - New</v>
      </c>
      <c r="AU22" s="118">
        <v>4300</v>
      </c>
      <c r="AV22" s="118">
        <f>INDEX($K$25:$X$30,MATCH($AS22,$J$25:$J$30,0),MATCH(AV$11,$K$23:$X$23,0))</f>
        <v>2608</v>
      </c>
      <c r="AW22" s="118">
        <f>INDEX($AA$25:$AK$30,MATCH(CONCATENATE("Avg ",$AR22),$Z$25:$Z$30,0),MATCH(AW$11,$AA$23:$AK$23,0))</f>
        <v>178.25</v>
      </c>
      <c r="AX22" s="118">
        <f>INDEX($K$25:$X$30,MATCH($AS22,$J$25:$J$30,0),MATCH(AX$11,$K$23:$X$23,0))</f>
        <v>27.234693877551017</v>
      </c>
      <c r="AY22" s="155">
        <f t="shared" si="20"/>
        <v>0.84721069353407563</v>
      </c>
      <c r="AZ22" s="118">
        <f t="shared" si="6"/>
        <v>766.47499999999991</v>
      </c>
      <c r="BA22" s="118">
        <f t="shared" si="7"/>
        <v>117.10918367346936</v>
      </c>
      <c r="BB22" s="157">
        <f t="shared" si="21"/>
        <v>649.36581632653053</v>
      </c>
      <c r="BC22" s="161">
        <f>INDEX($AA$32:$AK$35,MATCH(CONCATENATE("Avg ",$AR22),$Z$32:$Z$35,0),MATCH(BC$11,$AA$23:$AK$23,0))</f>
        <v>30.999173333333335</v>
      </c>
      <c r="BD22" t="s">
        <v>274</v>
      </c>
      <c r="BE22" s="131">
        <f>INDEX($AA$25:$AK$30,MATCH(CONCATENATE("Avg ",$AR22),$Z$25:$Z$30,0),MATCH(BE$11,$AA$23:$AK$23,0))</f>
        <v>178.58874399999999</v>
      </c>
      <c r="BF22" s="131">
        <f>INDEX($K$25:$X$30,MATCH($AS22,$J$25:$J$30,0),MATCH(BF$11,$K$23:$X$23,0))</f>
        <v>185.89070335550872</v>
      </c>
      <c r="BG22" s="185">
        <f t="shared" si="22"/>
        <v>7.3019593555087283</v>
      </c>
      <c r="BH22" s="118">
        <f>INDEX($AA$25:$AK$30,MATCH(CONCATENATE("Avg ",$AR22),$Z$25:$Z$30,0),MATCH(BH$11,$AA$23:$AK$23,0))</f>
        <v>24000</v>
      </c>
      <c r="BI22" s="118">
        <f>INDEX($K$25:$X$30,MATCH($AS22,$J$25:$J$30,0),MATCH(BI$11,$K$23:$X$23,0))</f>
        <v>72000</v>
      </c>
      <c r="BJ22" s="159">
        <f t="shared" si="23"/>
        <v>5.5813953488372094</v>
      </c>
      <c r="BK22" s="163">
        <f t="shared" si="24"/>
        <v>16.744186046511629</v>
      </c>
      <c r="BL22" s="158">
        <v>8.3333333333333329E-2</v>
      </c>
      <c r="BM22">
        <v>0.33</v>
      </c>
      <c r="BN22" s="161">
        <f t="shared" si="25"/>
        <v>10.833333333333332</v>
      </c>
      <c r="BO22" s="161">
        <f t="shared" si="26"/>
        <v>42.9</v>
      </c>
      <c r="BP22" s="164">
        <f t="shared" si="27"/>
        <v>0</v>
      </c>
      <c r="BQ22" s="186">
        <f t="shared" si="28"/>
        <v>7.3019593555087283</v>
      </c>
      <c r="BR22" s="110">
        <f t="shared" si="29"/>
        <v>30.999173333333335</v>
      </c>
      <c r="BS22" s="110">
        <f t="shared" si="30"/>
        <v>10.833333333333332</v>
      </c>
      <c r="BT22" s="167">
        <f t="shared" si="31"/>
        <v>41.832506666666667</v>
      </c>
      <c r="BU22" s="163">
        <f t="shared" si="32"/>
        <v>5.5813953488372094</v>
      </c>
      <c r="BV22" s="171" t="s">
        <v>369</v>
      </c>
      <c r="BW22" s="183" t="str">
        <f t="shared" si="33"/>
        <v>L</v>
      </c>
      <c r="BX22" s="161">
        <f t="shared" si="34"/>
        <v>4.8352445477202299E-2</v>
      </c>
      <c r="BY22" s="110">
        <f t="shared" si="35"/>
        <v>4.0964708866809134E-2</v>
      </c>
      <c r="BZ22" s="155">
        <f t="shared" si="36"/>
        <v>0.15278930646592437</v>
      </c>
      <c r="CA22" s="155">
        <f t="shared" si="37"/>
        <v>0.84721069353407563</v>
      </c>
      <c r="CB22" t="str">
        <f t="shared" si="38"/>
        <v>Exterior Lighting: Façade - HID 150W</v>
      </c>
      <c r="CC22" t="str">
        <f t="shared" si="1"/>
        <v>HID 150W</v>
      </c>
      <c r="CD22" t="str">
        <f t="shared" si="2"/>
        <v>New</v>
      </c>
      <c r="CE22" s="322" t="s">
        <v>987</v>
      </c>
      <c r="CF22" t="s">
        <v>91</v>
      </c>
      <c r="CG22" s="159">
        <f>VLOOKUP(CE22,Watt_Allocation,MATCH(CF22,'Watt Allocation'!$C$38:$K$38,0))</f>
        <v>26.479843587764876</v>
      </c>
      <c r="CH22" s="332">
        <f t="shared" si="13"/>
        <v>0.69387755102040827</v>
      </c>
      <c r="CI22" s="159">
        <f t="shared" si="39"/>
        <v>18.373769020081753</v>
      </c>
      <c r="CJ22" s="159">
        <f t="shared" si="40"/>
        <v>15.566453594338375</v>
      </c>
      <c r="CK22" s="59">
        <f t="shared" si="41"/>
        <v>66.935750455655011</v>
      </c>
      <c r="CL22" s="110">
        <f t="shared" si="42"/>
        <v>0.75267609869364605</v>
      </c>
      <c r="CM22" s="338">
        <f t="shared" si="43"/>
        <v>1.1244754762140071E-2</v>
      </c>
      <c r="CN22" s="305">
        <f t="shared" si="44"/>
        <v>1.1244754762140071E-2</v>
      </c>
      <c r="CO22" s="362">
        <f t="shared" si="45"/>
        <v>0.10307864807900002</v>
      </c>
      <c r="CP22" s="362">
        <f t="shared" si="46"/>
        <v>0.10307864807900002</v>
      </c>
      <c r="CQ22" s="155">
        <f t="shared" si="47"/>
        <v>0.15640362659205004</v>
      </c>
      <c r="CR22" s="362">
        <f t="shared" si="48"/>
        <v>0.10307864807900002</v>
      </c>
      <c r="CS22" s="366">
        <f t="shared" si="49"/>
        <v>0.10307864807900002</v>
      </c>
      <c r="CT22" s="312"/>
      <c r="CU22" s="312"/>
      <c r="CV22" s="312"/>
      <c r="CW22" s="118"/>
    </row>
    <row r="23" spans="1:101" ht="51">
      <c r="A23" s="82" t="s">
        <v>152</v>
      </c>
      <c r="B23" s="82" t="s">
        <v>155</v>
      </c>
      <c r="C23" s="82" t="s">
        <v>143</v>
      </c>
      <c r="D23" s="82" t="s">
        <v>144</v>
      </c>
      <c r="E23" s="82" t="s">
        <v>147</v>
      </c>
      <c r="F23" s="82" t="s">
        <v>145</v>
      </c>
      <c r="G23" s="82" t="s">
        <v>146</v>
      </c>
      <c r="I23" s="82" t="s">
        <v>180</v>
      </c>
      <c r="J23" s="82" t="s">
        <v>179</v>
      </c>
      <c r="K23" s="82" t="s">
        <v>183</v>
      </c>
      <c r="L23" s="82" t="s">
        <v>222</v>
      </c>
      <c r="M23" s="82" t="s">
        <v>163</v>
      </c>
      <c r="N23" s="82" t="s">
        <v>216</v>
      </c>
      <c r="O23" s="82" t="s">
        <v>207</v>
      </c>
      <c r="P23" s="82" t="s">
        <v>235</v>
      </c>
      <c r="Q23" s="82" t="s">
        <v>223</v>
      </c>
      <c r="R23" s="82" t="s">
        <v>238</v>
      </c>
      <c r="S23" s="82" t="s">
        <v>239</v>
      </c>
      <c r="T23" s="82" t="s">
        <v>240</v>
      </c>
      <c r="U23" s="82" t="s">
        <v>208</v>
      </c>
      <c r="V23" s="82" t="s">
        <v>164</v>
      </c>
      <c r="W23" s="82" t="s">
        <v>165</v>
      </c>
      <c r="X23" s="82" t="s">
        <v>171</v>
      </c>
      <c r="Y23" s="89"/>
      <c r="Z23" s="116" t="s">
        <v>203</v>
      </c>
      <c r="AA23" s="116" t="s">
        <v>183</v>
      </c>
      <c r="AB23" s="82" t="s">
        <v>222</v>
      </c>
      <c r="AC23" s="116" t="s">
        <v>204</v>
      </c>
      <c r="AD23" s="116" t="s">
        <v>216</v>
      </c>
      <c r="AE23" s="82" t="s">
        <v>207</v>
      </c>
      <c r="AF23" s="82" t="s">
        <v>235</v>
      </c>
      <c r="AG23" s="82" t="s">
        <v>238</v>
      </c>
      <c r="AH23" s="82" t="s">
        <v>208</v>
      </c>
      <c r="AI23" s="116" t="s">
        <v>164</v>
      </c>
      <c r="AJ23" s="116" t="s">
        <v>165</v>
      </c>
      <c r="AK23" s="116" t="s">
        <v>171</v>
      </c>
      <c r="AL23" s="130"/>
      <c r="AM23" t="str">
        <f t="shared" si="14"/>
        <v>HID 400W-New</v>
      </c>
      <c r="AN23" t="str">
        <f t="shared" ref="AN23:AN27" si="59">$A$22</f>
        <v>Exterior Lighting: Façade</v>
      </c>
      <c r="AO23" t="str">
        <f>Z38</f>
        <v>HID 400W</v>
      </c>
      <c r="AP23" t="s">
        <v>41</v>
      </c>
      <c r="AQ23" t="str">
        <f t="shared" si="55"/>
        <v>Exterior Lighting: Façade - HID 400W - New</v>
      </c>
      <c r="AR23" s="89" t="str">
        <f>AO23</f>
        <v>HID 400W</v>
      </c>
      <c r="AS23" t="str">
        <f>CONCATENATE("LED ",TEXT(T42,"0"),"W")</f>
        <v>LED 82W</v>
      </c>
      <c r="AT23" t="str">
        <f t="shared" si="19"/>
        <v>Exterior Lighting: Façade - HID 400W to LED 82W - New</v>
      </c>
      <c r="AU23" s="118">
        <v>4300</v>
      </c>
      <c r="AV23" s="118">
        <f>INDEX($K$38:$X$43,MATCH($AS23,$J$38:$J$43,0),MATCH(AV$11,$K$23:$X$23,0))</f>
        <v>7563</v>
      </c>
      <c r="AW23" s="118">
        <f>INDEX($AA$38:$AK$43,MATCH(CONCATENATE("Avg ",$AR23),$Z$38:$Z$43,0),MATCH(AW$11,$AA$23:$AK$23,0))</f>
        <v>455.66666666666669</v>
      </c>
      <c r="AX23" s="118">
        <f>INDEX($K$38:$X$43,MATCH($AS23,$J$38:$J$43,0),MATCH(AX$11,$K$23:$X$23,0))</f>
        <v>81.964285714285708</v>
      </c>
      <c r="AY23" s="155">
        <f t="shared" si="20"/>
        <v>0.8201222698296583</v>
      </c>
      <c r="AZ23" s="118">
        <f t="shared" si="6"/>
        <v>1959.3666666666666</v>
      </c>
      <c r="BA23" s="118">
        <f t="shared" si="7"/>
        <v>352.44642857142856</v>
      </c>
      <c r="BB23" s="157">
        <f t="shared" si="21"/>
        <v>1606.9202380952379</v>
      </c>
      <c r="BC23" s="161">
        <f>INDEX($AA$45:$AK$48,MATCH(CONCATENATE("Avg ",$AR23),$Z$45:$Z$48,0),MATCH(BC$11,$AA$23:$AK$23,0))</f>
        <v>28.431060000000002</v>
      </c>
      <c r="BD23" t="s">
        <v>274</v>
      </c>
      <c r="BE23" s="131">
        <f>INDEX($AA$38:$AK$43,MATCH(CONCATENATE("Avg ",$AR23),$Z$38:$Z$43,0),MATCH(BE$11,$AA$23:$AK$23,0))</f>
        <v>276.78352800000005</v>
      </c>
      <c r="BF23" s="131">
        <f>INDEX($K$38:$X$43,MATCH($AS23,$J$38:$J$43,0),MATCH(BF$11,$K$23:$X$23,0))</f>
        <v>328.64658006207537</v>
      </c>
      <c r="BG23" s="185">
        <f t="shared" si="22"/>
        <v>51.863052062075326</v>
      </c>
      <c r="BH23" s="118">
        <f>INDEX($AA$38:$AK$43,MATCH(CONCATENATE("Avg ",$AR23),$Z$38:$Z$43,0),MATCH(BH$11,$AA$23:$AK$23,0))</f>
        <v>16000</v>
      </c>
      <c r="BI23" s="118">
        <f>INDEX($K$38:$X$43,MATCH($AS23,$J$38:$J$43,0),MATCH(BI$11,$K$23:$X$23,0))</f>
        <v>72000</v>
      </c>
      <c r="BJ23" s="159">
        <f t="shared" si="23"/>
        <v>3.7209302325581395</v>
      </c>
      <c r="BK23" s="163">
        <f t="shared" si="24"/>
        <v>16.744186046511629</v>
      </c>
      <c r="BL23" s="158">
        <v>8.3333333333333329E-2</v>
      </c>
      <c r="BM23">
        <v>0.33</v>
      </c>
      <c r="BN23" s="161">
        <f t="shared" si="25"/>
        <v>10.833333333333332</v>
      </c>
      <c r="BO23" s="161">
        <f t="shared" si="26"/>
        <v>42.9</v>
      </c>
      <c r="BP23" s="164">
        <f t="shared" si="27"/>
        <v>0</v>
      </c>
      <c r="BQ23" s="186">
        <f t="shared" si="28"/>
        <v>51.863052062075326</v>
      </c>
      <c r="BR23" s="110">
        <f t="shared" si="29"/>
        <v>28.431060000000002</v>
      </c>
      <c r="BS23" s="110">
        <f t="shared" si="30"/>
        <v>10.833333333333332</v>
      </c>
      <c r="BT23" s="167">
        <f t="shared" si="31"/>
        <v>39.264393333333331</v>
      </c>
      <c r="BU23" s="163">
        <f t="shared" si="32"/>
        <v>3.7209302325581395</v>
      </c>
      <c r="BV23" s="171" t="s">
        <v>369</v>
      </c>
      <c r="BW23" s="183" t="str">
        <f t="shared" si="33"/>
        <v>L</v>
      </c>
      <c r="BX23" s="161">
        <f t="shared" si="34"/>
        <v>0.13878170090835995</v>
      </c>
      <c r="BY23" s="110">
        <f t="shared" si="35"/>
        <v>0.11381796355978491</v>
      </c>
      <c r="BZ23" s="155">
        <f t="shared" si="36"/>
        <v>0.1798777301703417</v>
      </c>
      <c r="CA23" s="155">
        <f t="shared" si="37"/>
        <v>0.8201222698296583</v>
      </c>
      <c r="CB23" t="str">
        <f t="shared" si="38"/>
        <v>Exterior Lighting: Façade - HID 400W</v>
      </c>
      <c r="CC23" t="str">
        <f t="shared" si="1"/>
        <v>HID 400W</v>
      </c>
      <c r="CD23" t="str">
        <f t="shared" si="2"/>
        <v>New</v>
      </c>
      <c r="CE23" s="322" t="s">
        <v>987</v>
      </c>
      <c r="CF23" t="s">
        <v>91</v>
      </c>
      <c r="CG23" s="159">
        <f>VLOOKUP(CE23,Watt_Allocation,MATCH(CF23,'Watt Allocation'!$C$38:$K$38,0))</f>
        <v>26.479843587764876</v>
      </c>
      <c r="CH23" s="334">
        <f t="shared" si="13"/>
        <v>0.30927835051546387</v>
      </c>
      <c r="CI23" s="159">
        <f t="shared" si="39"/>
        <v>8.1896423467314037</v>
      </c>
      <c r="CJ23" s="159">
        <f t="shared" si="40"/>
        <v>6.7165080704944486</v>
      </c>
      <c r="CK23" s="59">
        <f t="shared" si="41"/>
        <v>28.880984703126131</v>
      </c>
      <c r="CL23" s="110">
        <f t="shared" si="42"/>
        <v>0.93212841418794634</v>
      </c>
      <c r="CM23" s="338">
        <f t="shared" si="43"/>
        <v>3.227481416473487E-2</v>
      </c>
      <c r="CN23" s="305">
        <f t="shared" si="44"/>
        <v>3.2274814164734877E-2</v>
      </c>
      <c r="CO23" s="362">
        <f t="shared" si="45"/>
        <v>1.7972880058664389E-2</v>
      </c>
      <c r="CP23" s="362">
        <f t="shared" si="46"/>
        <v>1.7972880058664382E-2</v>
      </c>
      <c r="CQ23" s="155">
        <f t="shared" si="47"/>
        <v>0.15640362659205004</v>
      </c>
      <c r="CR23" s="362">
        <f t="shared" si="48"/>
        <v>1.7972880058664389E-2</v>
      </c>
      <c r="CS23" s="366">
        <f t="shared" si="49"/>
        <v>1.7972880058664389E-2</v>
      </c>
      <c r="CT23" s="312"/>
      <c r="CU23" s="312"/>
      <c r="CV23" s="312"/>
      <c r="CW23" s="118"/>
    </row>
    <row r="24" spans="1:101">
      <c r="A24" t="s">
        <v>154</v>
      </c>
      <c r="B24" t="s">
        <v>91</v>
      </c>
      <c r="C24">
        <v>150</v>
      </c>
      <c r="D24">
        <v>1</v>
      </c>
      <c r="E24">
        <v>0.4</v>
      </c>
      <c r="F24" s="60">
        <v>0.68</v>
      </c>
      <c r="I24" t="s">
        <v>241</v>
      </c>
      <c r="P24" t="s">
        <v>242</v>
      </c>
      <c r="R24" t="s">
        <v>242</v>
      </c>
      <c r="S24" t="s">
        <v>242</v>
      </c>
      <c r="T24" t="s">
        <v>249</v>
      </c>
      <c r="Y24" s="110"/>
      <c r="Z24" t="s">
        <v>241</v>
      </c>
      <c r="AF24" t="s">
        <v>242</v>
      </c>
      <c r="AG24" t="s">
        <v>242</v>
      </c>
      <c r="AH24" s="105"/>
      <c r="AJ24" s="104"/>
      <c r="AL24" s="113"/>
      <c r="AM24" t="str">
        <f t="shared" si="14"/>
        <v>HID 150W-NR</v>
      </c>
      <c r="AN24" t="str">
        <f t="shared" si="59"/>
        <v>Exterior Lighting: Façade</v>
      </c>
      <c r="AO24" t="str">
        <f>AO22</f>
        <v>HID 150W</v>
      </c>
      <c r="AP24" t="s">
        <v>303</v>
      </c>
      <c r="AQ24" t="str">
        <f t="shared" si="55"/>
        <v>Exterior Lighting: Façade - HID 150W - NR</v>
      </c>
      <c r="AR24" s="89" t="str">
        <f t="shared" ref="AR24:AR36" si="60">AO24</f>
        <v>HID 150W</v>
      </c>
      <c r="AS24" t="str">
        <f>AS22</f>
        <v>LED 27W</v>
      </c>
      <c r="AT24" t="str">
        <f t="shared" si="19"/>
        <v>Exterior Lighting: Façade - HID 150W to LED 27W - NR</v>
      </c>
      <c r="AU24" s="118">
        <v>4300</v>
      </c>
      <c r="AV24" s="118">
        <f>INDEX($K$25:$X$30,MATCH($AS24,$J$25:$J$30,0),MATCH(AV$11,$K$23:$X$23,0))</f>
        <v>2608</v>
      </c>
      <c r="AW24" s="118">
        <f>INDEX($AA$25:$AK$30,MATCH(CONCATENATE("Avg ",$AR24),$Z$25:$Z$30,0),MATCH(AW$11,$AA$23:$AK$23,0))</f>
        <v>178.25</v>
      </c>
      <c r="AX24" s="118">
        <f>INDEX($K$25:$X$30,MATCH($AS24,$J$25:$J$30,0),MATCH(AX$11,$K$23:$X$23,0))</f>
        <v>27.234693877551017</v>
      </c>
      <c r="AY24" s="155">
        <f t="shared" si="20"/>
        <v>0.84721069353407563</v>
      </c>
      <c r="AZ24" s="118">
        <f t="shared" si="6"/>
        <v>766.47499999999991</v>
      </c>
      <c r="BA24" s="118">
        <f t="shared" si="7"/>
        <v>117.10918367346936</v>
      </c>
      <c r="BB24" s="157">
        <f t="shared" si="21"/>
        <v>649.36581632653053</v>
      </c>
      <c r="BC24" s="161">
        <f>INDEX($AA$32:$AK$35,MATCH(CONCATENATE("Avg ",$AR24),$Z$32:$Z$35,0),MATCH(BC$11,$AA$23:$AK$23,0))</f>
        <v>30.999173333333335</v>
      </c>
      <c r="BD24" t="s">
        <v>274</v>
      </c>
      <c r="BE24" s="131">
        <f>INDEX($AA$25:$AK$30,MATCH(CONCATENATE("Avg ",$AR24),$Z$25:$Z$30,0),MATCH(BE$11,$AA$23:$AK$23,0))</f>
        <v>178.58874399999999</v>
      </c>
      <c r="BF24" s="131">
        <f>INDEX($K$25:$X$30,MATCH($AS24,$J$25:$J$30,0),MATCH(BF$11,$K$23:$X$23,0))</f>
        <v>185.89070335550872</v>
      </c>
      <c r="BG24" s="185">
        <f t="shared" si="22"/>
        <v>154.89153002217537</v>
      </c>
      <c r="BH24" s="118">
        <f>INDEX($AA$25:$AK$30,MATCH(CONCATENATE("Avg ",$AR24),$Z$25:$Z$30,0),MATCH(BH$11,$AA$23:$AK$23,0))</f>
        <v>24000</v>
      </c>
      <c r="BI24" s="118">
        <f>INDEX($K$25:$X$30,MATCH($AS24,$J$25:$J$30,0),MATCH(BI$11,$K$23:$X$23,0))</f>
        <v>72000</v>
      </c>
      <c r="BJ24" s="159">
        <f t="shared" si="23"/>
        <v>5.5813953488372094</v>
      </c>
      <c r="BK24" s="163">
        <f t="shared" si="24"/>
        <v>16.744186046511629</v>
      </c>
      <c r="BL24" s="158">
        <v>8.3333333333333329E-2</v>
      </c>
      <c r="BM24">
        <v>0.33</v>
      </c>
      <c r="BN24" s="161">
        <f t="shared" si="25"/>
        <v>10.833333333333332</v>
      </c>
      <c r="BO24" s="161">
        <f t="shared" si="26"/>
        <v>42.9</v>
      </c>
      <c r="BP24" s="164">
        <f t="shared" si="27"/>
        <v>32.066666666666663</v>
      </c>
      <c r="BQ24" s="186">
        <f t="shared" si="28"/>
        <v>186.95819668884204</v>
      </c>
      <c r="BR24" s="110">
        <f t="shared" si="29"/>
        <v>30.999173333333335</v>
      </c>
      <c r="BS24" s="110">
        <f t="shared" si="30"/>
        <v>10.833333333333332</v>
      </c>
      <c r="BT24" s="167">
        <f t="shared" si="31"/>
        <v>41.832506666666667</v>
      </c>
      <c r="BU24" s="163">
        <f t="shared" si="32"/>
        <v>5.5813953488372094</v>
      </c>
      <c r="BV24" s="171" t="s">
        <v>369</v>
      </c>
      <c r="BW24" s="183" t="str">
        <f t="shared" si="33"/>
        <v>L</v>
      </c>
      <c r="BX24" s="161">
        <f t="shared" si="34"/>
        <v>1.2380082621376749</v>
      </c>
      <c r="BY24" s="110">
        <f t="shared" si="35"/>
        <v>1.0488538383665753</v>
      </c>
      <c r="BZ24" s="155">
        <f t="shared" si="36"/>
        <v>0.15278930646592437</v>
      </c>
      <c r="CA24" s="155">
        <f t="shared" si="37"/>
        <v>0.84721069353407563</v>
      </c>
      <c r="CB24" t="str">
        <f t="shared" si="38"/>
        <v>Exterior Lighting: Façade - HID 150W</v>
      </c>
      <c r="CC24" t="str">
        <f t="shared" si="1"/>
        <v>HID 150W</v>
      </c>
      <c r="CD24" t="str">
        <f t="shared" si="2"/>
        <v>NR</v>
      </c>
      <c r="CE24" s="322" t="s">
        <v>987</v>
      </c>
      <c r="CF24" t="s">
        <v>91</v>
      </c>
      <c r="CG24" s="159">
        <f>VLOOKUP(CE24,Watt_Allocation,MATCH(CF24,'Watt Allocation'!$C$38:$K$38,0))</f>
        <v>26.479843587764876</v>
      </c>
      <c r="CH24" s="332">
        <f t="shared" si="13"/>
        <v>0.69387755102040827</v>
      </c>
      <c r="CI24" s="159">
        <f t="shared" si="39"/>
        <v>18.373769020081753</v>
      </c>
      <c r="CJ24" s="159">
        <f t="shared" si="40"/>
        <v>15.566453594338375</v>
      </c>
      <c r="CK24" s="59">
        <f t="shared" si="41"/>
        <v>66.935750455655011</v>
      </c>
      <c r="CL24" s="110">
        <f t="shared" si="42"/>
        <v>19.271398161973615</v>
      </c>
      <c r="CM24" s="338">
        <f t="shared" si="43"/>
        <v>0.2879088981715523</v>
      </c>
      <c r="CN24" s="305">
        <f t="shared" si="44"/>
        <v>0.28790889817155235</v>
      </c>
      <c r="CO24" s="362">
        <f t="shared" si="45"/>
        <v>0.10307864807900002</v>
      </c>
      <c r="CP24" s="362">
        <f t="shared" si="46"/>
        <v>0.10307864807900002</v>
      </c>
      <c r="CQ24" s="155">
        <f t="shared" si="47"/>
        <v>0.15640362659205004</v>
      </c>
      <c r="CR24" s="362">
        <f t="shared" si="48"/>
        <v>0.10307864807900002</v>
      </c>
      <c r="CS24" s="366">
        <f t="shared" si="49"/>
        <v>0.10307864807900002</v>
      </c>
      <c r="CT24" s="314">
        <f t="shared" ref="CT24:CT25" si="61">1/BJ24</f>
        <v>0.17916666666666667</v>
      </c>
      <c r="CU24" s="312"/>
      <c r="CV24" s="312"/>
      <c r="CW24" s="118">
        <f>$CW$11*CK24/8760/1000</f>
        <v>25.215522431924832</v>
      </c>
    </row>
    <row r="25" spans="1:101">
      <c r="A25" t="s">
        <v>154</v>
      </c>
      <c r="B25" t="s">
        <v>91</v>
      </c>
      <c r="C25">
        <v>400</v>
      </c>
      <c r="D25">
        <v>1</v>
      </c>
      <c r="E25">
        <v>0.3</v>
      </c>
      <c r="F25" s="60">
        <v>0.3</v>
      </c>
      <c r="I25" t="s">
        <v>162</v>
      </c>
      <c r="J25" t="s">
        <v>166</v>
      </c>
      <c r="K25">
        <v>30</v>
      </c>
      <c r="L25">
        <f>K25</f>
        <v>30</v>
      </c>
      <c r="M25" t="s">
        <v>205</v>
      </c>
      <c r="N25">
        <v>2649</v>
      </c>
      <c r="O25" s="106">
        <f>N25/K25</f>
        <v>88.3</v>
      </c>
      <c r="P25" s="105">
        <v>294</v>
      </c>
      <c r="Q25" s="105">
        <f>$Q$8*P25/(N25/1000)</f>
        <v>108.09966024915062</v>
      </c>
      <c r="R25" s="105">
        <f>P25*$Q$8</f>
        <v>286.35599999999999</v>
      </c>
      <c r="S25" s="105">
        <f>$S$4*R25</f>
        <v>231.96493602196719</v>
      </c>
      <c r="T25" s="117">
        <f>$T$1*L25</f>
        <v>26.020408163265305</v>
      </c>
      <c r="U25" s="118">
        <v>72000</v>
      </c>
      <c r="V25" t="s">
        <v>181</v>
      </c>
      <c r="W25" s="104" t="s">
        <v>184</v>
      </c>
      <c r="X25" t="s">
        <v>206</v>
      </c>
      <c r="Z25" t="s">
        <v>162</v>
      </c>
      <c r="AA25">
        <v>150</v>
      </c>
      <c r="AB25">
        <v>180</v>
      </c>
      <c r="AC25" t="s">
        <v>187</v>
      </c>
      <c r="AF25" s="105">
        <v>246.93</v>
      </c>
      <c r="AG25" s="105">
        <f>AF25*$Q$8</f>
        <v>240.50981999999999</v>
      </c>
      <c r="AH25" s="118"/>
      <c r="AI25" t="s">
        <v>181</v>
      </c>
      <c r="AJ25" s="104" t="s">
        <v>188</v>
      </c>
      <c r="AK25" t="s">
        <v>182</v>
      </c>
      <c r="AL25" s="113"/>
      <c r="AM25" t="str">
        <f t="shared" si="14"/>
        <v>HID 400W-NR</v>
      </c>
      <c r="AN25" t="str">
        <f t="shared" si="59"/>
        <v>Exterior Lighting: Façade</v>
      </c>
      <c r="AO25" t="str">
        <f t="shared" ref="AO25:AO27" si="62">AO23</f>
        <v>HID 400W</v>
      </c>
      <c r="AP25" t="s">
        <v>303</v>
      </c>
      <c r="AQ25" t="str">
        <f t="shared" si="55"/>
        <v>Exterior Lighting: Façade - HID 400W - NR</v>
      </c>
      <c r="AR25" s="89" t="str">
        <f t="shared" si="60"/>
        <v>HID 400W</v>
      </c>
      <c r="AS25" t="str">
        <f t="shared" ref="AS25:AS27" si="63">AS23</f>
        <v>LED 82W</v>
      </c>
      <c r="AT25" t="str">
        <f t="shared" si="19"/>
        <v>Exterior Lighting: Façade - HID 400W to LED 82W - NR</v>
      </c>
      <c r="AU25" s="118">
        <v>4300</v>
      </c>
      <c r="AV25" s="118">
        <f>INDEX($K$38:$X$43,MATCH($AS25,$J$38:$J$43,0),MATCH(AV$11,$K$23:$X$23,0))</f>
        <v>7563</v>
      </c>
      <c r="AW25" s="118">
        <f>INDEX($AA$38:$AK$43,MATCH(CONCATENATE("Avg ",$AR25),$Z$38:$Z$43,0),MATCH(AW$11,$AA$23:$AK$23,0))</f>
        <v>455.66666666666669</v>
      </c>
      <c r="AX25" s="118">
        <f>INDEX($K$38:$X$43,MATCH($AS25,$J$38:$J$43,0),MATCH(AX$11,$K$23:$X$23,0))</f>
        <v>81.964285714285708</v>
      </c>
      <c r="AY25" s="155">
        <f t="shared" si="20"/>
        <v>0.8201222698296583</v>
      </c>
      <c r="AZ25" s="118">
        <f t="shared" si="6"/>
        <v>1959.3666666666666</v>
      </c>
      <c r="BA25" s="118">
        <f t="shared" si="7"/>
        <v>352.44642857142856</v>
      </c>
      <c r="BB25" s="157">
        <f t="shared" si="21"/>
        <v>1606.9202380952379</v>
      </c>
      <c r="BC25" s="161">
        <f>INDEX($AA$45:$AK$48,MATCH(CONCATENATE("Avg ",$AR25),$Z$45:$Z$48,0),MATCH(BC$11,$AA$23:$AK$23,0))</f>
        <v>28.431060000000002</v>
      </c>
      <c r="BD25" t="s">
        <v>274</v>
      </c>
      <c r="BE25" s="131">
        <f>INDEX($AA$38:$AK$43,MATCH(CONCATENATE("Avg ",$AR25),$Z$38:$Z$43,0),MATCH(BE$11,$AA$23:$AK$23,0))</f>
        <v>276.78352800000005</v>
      </c>
      <c r="BF25" s="131">
        <f>INDEX($K$38:$X$43,MATCH($AS25,$J$38:$J$43,0),MATCH(BF$11,$K$23:$X$23,0))</f>
        <v>328.64658006207537</v>
      </c>
      <c r="BG25" s="185">
        <f t="shared" si="22"/>
        <v>300.21552006207537</v>
      </c>
      <c r="BH25" s="118">
        <f>INDEX($AA$38:$AK$43,MATCH(CONCATENATE("Avg ",$AR25),$Z$38:$Z$43,0),MATCH(BH$11,$AA$23:$AK$23,0))</f>
        <v>16000</v>
      </c>
      <c r="BI25" s="118">
        <f>INDEX($K$38:$X$43,MATCH($AS25,$J$38:$J$43,0),MATCH(BI$11,$K$23:$X$23,0))</f>
        <v>72000</v>
      </c>
      <c r="BJ25" s="159">
        <f t="shared" si="23"/>
        <v>3.7209302325581395</v>
      </c>
      <c r="BK25" s="163">
        <f t="shared" si="24"/>
        <v>16.744186046511629</v>
      </c>
      <c r="BL25" s="158">
        <v>8.3333333333333329E-2</v>
      </c>
      <c r="BM25">
        <v>0.33</v>
      </c>
      <c r="BN25" s="161">
        <f t="shared" si="25"/>
        <v>10.833333333333332</v>
      </c>
      <c r="BO25" s="161">
        <f t="shared" si="26"/>
        <v>42.9</v>
      </c>
      <c r="BP25" s="164">
        <f t="shared" si="27"/>
        <v>32.066666666666663</v>
      </c>
      <c r="BQ25" s="186">
        <f t="shared" si="28"/>
        <v>332.28218672874203</v>
      </c>
      <c r="BR25" s="110">
        <f t="shared" si="29"/>
        <v>28.431060000000002</v>
      </c>
      <c r="BS25" s="110">
        <f t="shared" si="30"/>
        <v>10.833333333333332</v>
      </c>
      <c r="BT25" s="167">
        <f t="shared" si="31"/>
        <v>39.264393333333331</v>
      </c>
      <c r="BU25" s="163">
        <f t="shared" si="32"/>
        <v>3.7209302325581395</v>
      </c>
      <c r="BV25" s="171" t="s">
        <v>369</v>
      </c>
      <c r="BW25" s="183" t="str">
        <f t="shared" si="33"/>
        <v>L</v>
      </c>
      <c r="BX25" s="161">
        <f t="shared" si="34"/>
        <v>0.88916261620255266</v>
      </c>
      <c r="BY25" s="110">
        <f t="shared" si="35"/>
        <v>0.72922206304771475</v>
      </c>
      <c r="BZ25" s="155">
        <f t="shared" si="36"/>
        <v>0.1798777301703417</v>
      </c>
      <c r="CA25" s="155">
        <f t="shared" si="37"/>
        <v>0.8201222698296583</v>
      </c>
      <c r="CB25" t="str">
        <f t="shared" si="38"/>
        <v>Exterior Lighting: Façade - HID 400W</v>
      </c>
      <c r="CC25" t="str">
        <f t="shared" si="1"/>
        <v>HID 400W</v>
      </c>
      <c r="CD25" t="str">
        <f t="shared" si="2"/>
        <v>NR</v>
      </c>
      <c r="CE25" s="322" t="s">
        <v>987</v>
      </c>
      <c r="CF25" t="s">
        <v>91</v>
      </c>
      <c r="CG25" s="159">
        <f>VLOOKUP(CE25,Watt_Allocation,MATCH(CF25,'Watt Allocation'!$C$38:$K$38,0))</f>
        <v>26.479843587764876</v>
      </c>
      <c r="CH25" s="334">
        <f t="shared" si="13"/>
        <v>0.30927835051546387</v>
      </c>
      <c r="CI25" s="159">
        <f t="shared" si="39"/>
        <v>8.1896423467314037</v>
      </c>
      <c r="CJ25" s="159">
        <f t="shared" si="40"/>
        <v>6.7165080704944486</v>
      </c>
      <c r="CK25" s="59">
        <f t="shared" si="41"/>
        <v>28.880984703126131</v>
      </c>
      <c r="CL25" s="110">
        <f t="shared" si="42"/>
        <v>5.9720678877064026</v>
      </c>
      <c r="CM25" s="338">
        <f t="shared" si="43"/>
        <v>0.20678200376803549</v>
      </c>
      <c r="CN25" s="305">
        <f t="shared" si="44"/>
        <v>0.20678200376803554</v>
      </c>
      <c r="CO25" s="362">
        <f t="shared" si="45"/>
        <v>1.7972880058664389E-2</v>
      </c>
      <c r="CP25" s="362">
        <f t="shared" si="46"/>
        <v>1.7972880058664382E-2</v>
      </c>
      <c r="CQ25" s="155">
        <f t="shared" si="47"/>
        <v>0.15640362659205004</v>
      </c>
      <c r="CR25" s="362">
        <f t="shared" si="48"/>
        <v>1.7972880058664389E-2</v>
      </c>
      <c r="CS25" s="366">
        <f t="shared" si="49"/>
        <v>1.7972880058664389E-2</v>
      </c>
      <c r="CT25" s="314">
        <f t="shared" si="61"/>
        <v>0.26874999999999999</v>
      </c>
      <c r="CU25" s="312"/>
      <c r="CV25" s="312"/>
      <c r="CW25" s="118">
        <f>$CW$11*CK25/8760/1000</f>
        <v>10.87982300460231</v>
      </c>
    </row>
    <row r="26" spans="1:101">
      <c r="B26" t="s">
        <v>116</v>
      </c>
      <c r="F26" s="60">
        <v>0.02</v>
      </c>
      <c r="I26" t="s">
        <v>162</v>
      </c>
      <c r="J26" t="s">
        <v>210</v>
      </c>
      <c r="K26">
        <v>25</v>
      </c>
      <c r="L26">
        <f t="shared" ref="L26:L29" si="64">K26</f>
        <v>25</v>
      </c>
      <c r="M26" t="s">
        <v>209</v>
      </c>
      <c r="N26">
        <v>2722</v>
      </c>
      <c r="O26" s="106">
        <f>N26/K26</f>
        <v>108.88</v>
      </c>
      <c r="P26" s="105">
        <v>221.76</v>
      </c>
      <c r="Q26" s="105">
        <f>$Q$8*P26/(N26/1000)</f>
        <v>79.351300514327704</v>
      </c>
      <c r="R26" s="105">
        <f>P26*$Q$8</f>
        <v>215.99423999999999</v>
      </c>
      <c r="S26" s="105">
        <f t="shared" ref="S26:S29" si="65">$S$4*R26</f>
        <v>174.96783745656953</v>
      </c>
      <c r="T26" s="117">
        <f t="shared" ref="T26:T29" si="66">$T$1*L26</f>
        <v>21.683673469387756</v>
      </c>
      <c r="U26" s="118">
        <v>72000</v>
      </c>
      <c r="V26" t="s">
        <v>181</v>
      </c>
      <c r="W26" s="104" t="s">
        <v>211</v>
      </c>
      <c r="X26" t="s">
        <v>206</v>
      </c>
      <c r="Z26" t="s">
        <v>162</v>
      </c>
      <c r="AA26">
        <v>150</v>
      </c>
      <c r="AC26" t="s">
        <v>189</v>
      </c>
      <c r="AF26" s="105">
        <v>172.36</v>
      </c>
      <c r="AG26" s="105">
        <f t="shared" ref="AG26:AG29" si="67">AF26*$Q$8</f>
        <v>167.87864000000002</v>
      </c>
      <c r="AH26" s="118"/>
      <c r="AI26" t="s">
        <v>181</v>
      </c>
      <c r="AJ26" s="104" t="s">
        <v>190</v>
      </c>
      <c r="AK26" t="s">
        <v>182</v>
      </c>
      <c r="AL26" s="113"/>
      <c r="AM26" t="str">
        <f t="shared" si="14"/>
        <v>HID 150W-Retro</v>
      </c>
      <c r="AN26" t="str">
        <f t="shared" si="59"/>
        <v>Exterior Lighting: Façade</v>
      </c>
      <c r="AO26" t="str">
        <f t="shared" si="62"/>
        <v>HID 150W</v>
      </c>
      <c r="AP26" t="s">
        <v>304</v>
      </c>
      <c r="AQ26" t="str">
        <f t="shared" si="55"/>
        <v>Exterior Lighting: Façade - HID 150W - Retro</v>
      </c>
      <c r="AR26" s="89" t="str">
        <f t="shared" si="60"/>
        <v>HID 150W</v>
      </c>
      <c r="AS26" t="str">
        <f t="shared" si="63"/>
        <v>LED 27W</v>
      </c>
      <c r="AT26" t="str">
        <f t="shared" si="19"/>
        <v>Exterior Lighting: Façade - HID 150W to LED 27W - Retro</v>
      </c>
      <c r="AU26" s="118">
        <v>4300</v>
      </c>
      <c r="AV26" s="118">
        <f>INDEX($K$25:$X$30,MATCH($AS26,$J$25:$J$30,0),MATCH(AV$11,$K$23:$X$23,0))</f>
        <v>2608</v>
      </c>
      <c r="AW26" s="118">
        <f>INDEX($AA$25:$AK$30,MATCH(CONCATENATE("Avg ",$AR26),$Z$25:$Z$30,0),MATCH(AW$11,$AA$23:$AK$23,0))</f>
        <v>178.25</v>
      </c>
      <c r="AX26" s="118">
        <f>INDEX($K$25:$X$30,MATCH($AS26,$J$25:$J$30,0),MATCH(AX$11,$K$23:$X$23,0))</f>
        <v>27.234693877551017</v>
      </c>
      <c r="AY26" s="155">
        <f t="shared" si="20"/>
        <v>0.84721069353407563</v>
      </c>
      <c r="AZ26" s="118">
        <f t="shared" si="6"/>
        <v>766.47499999999991</v>
      </c>
      <c r="BA26" s="118">
        <f t="shared" si="7"/>
        <v>117.10918367346936</v>
      </c>
      <c r="BB26" s="157">
        <f t="shared" si="21"/>
        <v>649.36581632653053</v>
      </c>
      <c r="BC26" s="161">
        <f>INDEX($AA$32:$AK$35,MATCH(CONCATENATE("Avg ",$AR26),$Z$32:$Z$35,0),MATCH(BC$11,$AA$23:$AK$23,0))</f>
        <v>30.999173333333335</v>
      </c>
      <c r="BD26" t="s">
        <v>274</v>
      </c>
      <c r="BE26" s="131">
        <f>INDEX($AA$25:$AK$30,MATCH(CONCATENATE("Avg ",$AR26),$Z$25:$Z$30,0),MATCH(BE$11,$AA$23:$AK$23,0))</f>
        <v>178.58874399999999</v>
      </c>
      <c r="BF26" s="131">
        <f>INDEX($K$25:$X$30,MATCH($AS26,$J$25:$J$30,0),MATCH(BF$11,$K$23:$X$23,0))</f>
        <v>185.89070335550872</v>
      </c>
      <c r="BG26" s="185">
        <f t="shared" si="22"/>
        <v>185.89070335550872</v>
      </c>
      <c r="BH26" s="118">
        <f>INDEX($AA$25:$AK$30,MATCH(CONCATENATE("Avg ",$AR26),$Z$25:$Z$30,0),MATCH(BH$11,$AA$23:$AK$23,0))</f>
        <v>24000</v>
      </c>
      <c r="BI26" s="118">
        <f>INDEX($K$25:$X$30,MATCH($AS26,$J$25:$J$30,0),MATCH(BI$11,$K$23:$X$23,0))</f>
        <v>72000</v>
      </c>
      <c r="BJ26" s="159">
        <f t="shared" si="23"/>
        <v>5.5813953488372094</v>
      </c>
      <c r="BK26" s="163">
        <f t="shared" si="24"/>
        <v>16.744186046511629</v>
      </c>
      <c r="BL26" s="158">
        <v>8.3333333333333329E-2</v>
      </c>
      <c r="BM26">
        <v>0.33</v>
      </c>
      <c r="BN26" s="161">
        <f t="shared" si="25"/>
        <v>10.833333333333332</v>
      </c>
      <c r="BO26" s="161">
        <f t="shared" si="26"/>
        <v>42.9</v>
      </c>
      <c r="BP26" s="164">
        <f t="shared" si="27"/>
        <v>42.9</v>
      </c>
      <c r="BQ26" s="186">
        <f t="shared" si="28"/>
        <v>228.79070335550873</v>
      </c>
      <c r="BR26" s="110">
        <f t="shared" si="29"/>
        <v>30.999173333333335</v>
      </c>
      <c r="BS26" s="110">
        <f t="shared" si="30"/>
        <v>10.833333333333332</v>
      </c>
      <c r="BT26" s="167">
        <f t="shared" si="31"/>
        <v>41.832506666666667</v>
      </c>
      <c r="BU26" s="163">
        <f t="shared" si="32"/>
        <v>5.5813953488372094</v>
      </c>
      <c r="BV26" s="171" t="s">
        <v>369</v>
      </c>
      <c r="BW26" s="183" t="str">
        <f t="shared" si="33"/>
        <v>R</v>
      </c>
      <c r="BX26" s="161">
        <f t="shared" si="34"/>
        <v>1.5150166511598266</v>
      </c>
      <c r="BY26" s="110">
        <f t="shared" si="35"/>
        <v>1.2835383077447895</v>
      </c>
      <c r="BZ26" s="155">
        <f t="shared" si="36"/>
        <v>0.15278930646592437</v>
      </c>
      <c r="CA26" s="155">
        <f t="shared" si="37"/>
        <v>0.84721069353407563</v>
      </c>
      <c r="CB26" t="str">
        <f t="shared" si="38"/>
        <v>Exterior Lighting: Façade - HID 150W</v>
      </c>
      <c r="CC26" t="str">
        <f t="shared" si="1"/>
        <v>HID 150W</v>
      </c>
      <c r="CD26" t="str">
        <f t="shared" si="2"/>
        <v>Retro</v>
      </c>
      <c r="CE26" s="322" t="s">
        <v>987</v>
      </c>
      <c r="CF26" t="s">
        <v>91</v>
      </c>
      <c r="CG26" s="159">
        <f>VLOOKUP(CE26,Watt_Allocation,MATCH(CF26,'Watt Allocation'!$C$38:$K$38,0))</f>
        <v>26.479843587764876</v>
      </c>
      <c r="CH26" s="332">
        <f t="shared" si="13"/>
        <v>0.69387755102040827</v>
      </c>
      <c r="CI26" s="159">
        <f t="shared" si="39"/>
        <v>18.373769020081753</v>
      </c>
      <c r="CJ26" s="159">
        <f t="shared" si="40"/>
        <v>15.566453594338375</v>
      </c>
      <c r="CK26" s="59">
        <f t="shared" si="41"/>
        <v>66.935750455655011</v>
      </c>
      <c r="CL26" s="110">
        <f t="shared" si="42"/>
        <v>23.583436394929372</v>
      </c>
      <c r="CM26" s="338">
        <f t="shared" si="43"/>
        <v>0.35232945375809921</v>
      </c>
      <c r="CN26" s="305">
        <f t="shared" si="44"/>
        <v>0.35232945375809926</v>
      </c>
      <c r="CO26" s="362">
        <f t="shared" si="45"/>
        <v>0.10307864807900002</v>
      </c>
      <c r="CP26" s="362">
        <f t="shared" si="46"/>
        <v>0.10307864807900001</v>
      </c>
      <c r="CQ26" s="155">
        <f t="shared" si="47"/>
        <v>0.15640362659205004</v>
      </c>
      <c r="CR26" s="362">
        <f t="shared" si="48"/>
        <v>0.10307864807900002</v>
      </c>
      <c r="CS26" s="366">
        <f t="shared" si="49"/>
        <v>0.10307864807900002</v>
      </c>
      <c r="CT26" s="312"/>
      <c r="CU26" s="312"/>
      <c r="CV26" s="312"/>
      <c r="CW26" s="118"/>
    </row>
    <row r="27" spans="1:101">
      <c r="I27" t="s">
        <v>162</v>
      </c>
      <c r="J27" t="s">
        <v>166</v>
      </c>
      <c r="K27">
        <v>30</v>
      </c>
      <c r="L27">
        <f t="shared" si="64"/>
        <v>30</v>
      </c>
      <c r="M27" t="s">
        <v>212</v>
      </c>
      <c r="N27">
        <v>2649</v>
      </c>
      <c r="O27" s="106">
        <f>N27/K27</f>
        <v>88.3</v>
      </c>
      <c r="P27" s="105">
        <v>234.99</v>
      </c>
      <c r="Q27" s="105">
        <f>$Q$8*P27/(N27/1000)</f>
        <v>86.402514156285392</v>
      </c>
      <c r="R27" s="105">
        <f>P27*$Q$8</f>
        <v>228.88025999999999</v>
      </c>
      <c r="S27" s="105">
        <f t="shared" si="65"/>
        <v>185.40625957755805</v>
      </c>
      <c r="T27" s="117">
        <f t="shared" si="66"/>
        <v>26.020408163265305</v>
      </c>
      <c r="U27" s="118">
        <v>72000</v>
      </c>
      <c r="V27" t="s">
        <v>213</v>
      </c>
      <c r="W27" s="104" t="s">
        <v>214</v>
      </c>
      <c r="X27" t="s">
        <v>206</v>
      </c>
      <c r="Z27" t="s">
        <v>162</v>
      </c>
      <c r="AA27">
        <v>150</v>
      </c>
      <c r="AB27">
        <v>188</v>
      </c>
      <c r="AC27" t="s">
        <v>196</v>
      </c>
      <c r="AF27" s="105">
        <v>163.5</v>
      </c>
      <c r="AG27" s="105">
        <f t="shared" si="67"/>
        <v>159.249</v>
      </c>
      <c r="AH27" s="118">
        <v>24000</v>
      </c>
      <c r="AI27" t="s">
        <v>167</v>
      </c>
      <c r="AJ27" s="104" t="s">
        <v>195</v>
      </c>
      <c r="AK27" t="s">
        <v>182</v>
      </c>
      <c r="AL27" s="113"/>
      <c r="AM27" t="str">
        <f t="shared" si="14"/>
        <v>HID 400W-Retro</v>
      </c>
      <c r="AN27" t="str">
        <f t="shared" si="59"/>
        <v>Exterior Lighting: Façade</v>
      </c>
      <c r="AO27" t="str">
        <f t="shared" si="62"/>
        <v>HID 400W</v>
      </c>
      <c r="AP27" t="s">
        <v>304</v>
      </c>
      <c r="AQ27" t="str">
        <f t="shared" si="55"/>
        <v>Exterior Lighting: Façade - HID 400W - Retro</v>
      </c>
      <c r="AR27" s="89" t="str">
        <f t="shared" si="60"/>
        <v>HID 400W</v>
      </c>
      <c r="AS27" t="str">
        <f t="shared" si="63"/>
        <v>LED 82W</v>
      </c>
      <c r="AT27" t="str">
        <f t="shared" si="19"/>
        <v>Exterior Lighting: Façade - HID 400W to LED 82W - Retro</v>
      </c>
      <c r="AU27" s="118">
        <v>4300</v>
      </c>
      <c r="AV27" s="118">
        <f>INDEX($K$38:$X$43,MATCH($AS27,$J$38:$J$43,0),MATCH(AV$11,$K$23:$X$23,0))</f>
        <v>7563</v>
      </c>
      <c r="AW27" s="118">
        <f>INDEX($AA$38:$AK$43,MATCH(CONCATENATE("Avg ",$AR27),$Z$38:$Z$43,0),MATCH(AW$11,$AA$23:$AK$23,0))</f>
        <v>455.66666666666669</v>
      </c>
      <c r="AX27" s="118">
        <f>INDEX($K$38:$X$43,MATCH($AS27,$J$38:$J$43,0),MATCH(AX$11,$K$23:$X$23,0))</f>
        <v>81.964285714285708</v>
      </c>
      <c r="AY27" s="155">
        <f t="shared" si="20"/>
        <v>0.8201222698296583</v>
      </c>
      <c r="AZ27" s="118">
        <f t="shared" si="6"/>
        <v>1959.3666666666666</v>
      </c>
      <c r="BA27" s="118">
        <f t="shared" si="7"/>
        <v>352.44642857142856</v>
      </c>
      <c r="BB27" s="157">
        <f t="shared" si="21"/>
        <v>1606.9202380952379</v>
      </c>
      <c r="BC27" s="161">
        <f>INDEX($AA$45:$AK$48,MATCH(CONCATENATE("Avg ",$AR27),$Z$45:$Z$48,0),MATCH(BC$11,$AA$23:$AK$23,0))</f>
        <v>28.431060000000002</v>
      </c>
      <c r="BD27" t="s">
        <v>274</v>
      </c>
      <c r="BE27" s="131">
        <f>INDEX($AA$38:$AK$43,MATCH(CONCATENATE("Avg ",$AR27),$Z$38:$Z$43,0),MATCH(BE$11,$AA$23:$AK$23,0))</f>
        <v>276.78352800000005</v>
      </c>
      <c r="BF27" s="131">
        <f>INDEX($K$38:$X$43,MATCH($AS27,$J$38:$J$43,0),MATCH(BF$11,$K$23:$X$23,0))</f>
        <v>328.64658006207537</v>
      </c>
      <c r="BG27" s="185">
        <f t="shared" si="22"/>
        <v>328.64658006207537</v>
      </c>
      <c r="BH27" s="118">
        <f>INDEX($AA$38:$AK$43,MATCH(CONCATENATE("Avg ",$AR27),$Z$38:$Z$43,0),MATCH(BH$11,$AA$23:$AK$23,0))</f>
        <v>16000</v>
      </c>
      <c r="BI27" s="118">
        <f>INDEX($K$38:$X$43,MATCH($AS27,$J$38:$J$43,0),MATCH(BI$11,$K$23:$X$23,0))</f>
        <v>72000</v>
      </c>
      <c r="BJ27" s="159">
        <f t="shared" si="23"/>
        <v>3.7209302325581395</v>
      </c>
      <c r="BK27" s="163">
        <f t="shared" si="24"/>
        <v>16.744186046511629</v>
      </c>
      <c r="BL27" s="158">
        <v>8.3333333333333329E-2</v>
      </c>
      <c r="BM27">
        <v>0.33</v>
      </c>
      <c r="BN27" s="161">
        <f t="shared" si="25"/>
        <v>10.833333333333332</v>
      </c>
      <c r="BO27" s="161">
        <f t="shared" si="26"/>
        <v>42.9</v>
      </c>
      <c r="BP27" s="164">
        <f t="shared" si="27"/>
        <v>42.9</v>
      </c>
      <c r="BQ27" s="186">
        <f t="shared" si="28"/>
        <v>371.54658006207535</v>
      </c>
      <c r="BR27" s="110">
        <f t="shared" si="29"/>
        <v>28.431060000000002</v>
      </c>
      <c r="BS27" s="110">
        <f t="shared" si="30"/>
        <v>10.833333333333332</v>
      </c>
      <c r="BT27" s="167">
        <f t="shared" si="31"/>
        <v>39.264393333333331</v>
      </c>
      <c r="BU27" s="163">
        <f t="shared" si="32"/>
        <v>3.7209302325581395</v>
      </c>
      <c r="BV27" s="171" t="s">
        <v>369</v>
      </c>
      <c r="BW27" s="183" t="str">
        <f t="shared" si="33"/>
        <v>R</v>
      </c>
      <c r="BX27" s="161">
        <f t="shared" si="34"/>
        <v>0.99423123587061035</v>
      </c>
      <c r="BY27" s="110">
        <f t="shared" si="35"/>
        <v>0.81539117789775128</v>
      </c>
      <c r="BZ27" s="155">
        <f t="shared" si="36"/>
        <v>0.1798777301703417</v>
      </c>
      <c r="CA27" s="155">
        <f t="shared" si="37"/>
        <v>0.8201222698296583</v>
      </c>
      <c r="CB27" t="str">
        <f t="shared" si="38"/>
        <v>Exterior Lighting: Façade - HID 400W</v>
      </c>
      <c r="CC27" t="str">
        <f t="shared" si="1"/>
        <v>HID 400W</v>
      </c>
      <c r="CD27" t="str">
        <f t="shared" si="2"/>
        <v>Retro</v>
      </c>
      <c r="CE27" s="322" t="s">
        <v>987</v>
      </c>
      <c r="CF27" t="s">
        <v>91</v>
      </c>
      <c r="CG27" s="159">
        <f>VLOOKUP(CE27,Watt_Allocation,MATCH(CF27,'Watt Allocation'!$C$38:$K$38,0))</f>
        <v>26.479843587764876</v>
      </c>
      <c r="CH27" s="334">
        <f t="shared" si="13"/>
        <v>0.30927835051546387</v>
      </c>
      <c r="CI27" s="159">
        <f t="shared" si="39"/>
        <v>8.1896423467314037</v>
      </c>
      <c r="CJ27" s="159">
        <f t="shared" si="40"/>
        <v>6.7165080704944486</v>
      </c>
      <c r="CK27" s="59">
        <f t="shared" si="41"/>
        <v>28.880984703126131</v>
      </c>
      <c r="CL27" s="110">
        <f t="shared" si="42"/>
        <v>6.6777621196626242</v>
      </c>
      <c r="CM27" s="338">
        <f t="shared" si="43"/>
        <v>0.23121656648153727</v>
      </c>
      <c r="CN27" s="305">
        <f t="shared" si="44"/>
        <v>0.23121656648153732</v>
      </c>
      <c r="CO27" s="362">
        <f t="shared" si="45"/>
        <v>1.7972880058664389E-2</v>
      </c>
      <c r="CP27" s="362">
        <f t="shared" si="46"/>
        <v>1.7972880058664386E-2</v>
      </c>
      <c r="CQ27" s="155">
        <f t="shared" si="47"/>
        <v>0.15640362659205004</v>
      </c>
      <c r="CR27" s="362">
        <f t="shared" si="48"/>
        <v>1.7972880058664389E-2</v>
      </c>
      <c r="CS27" s="366">
        <f t="shared" si="49"/>
        <v>1.7972880058664389E-2</v>
      </c>
      <c r="CT27" s="312"/>
      <c r="CU27" s="312"/>
      <c r="CV27" s="312"/>
      <c r="CW27" s="118"/>
    </row>
    <row r="28" spans="1:101">
      <c r="I28" t="s">
        <v>162</v>
      </c>
      <c r="J28" t="s">
        <v>217</v>
      </c>
      <c r="K28">
        <v>42</v>
      </c>
      <c r="L28">
        <f t="shared" si="64"/>
        <v>42</v>
      </c>
      <c r="M28" t="s">
        <v>215</v>
      </c>
      <c r="N28">
        <v>2620</v>
      </c>
      <c r="O28" s="106">
        <f>N28/K28</f>
        <v>62.38095238095238</v>
      </c>
      <c r="P28" s="105">
        <v>200</v>
      </c>
      <c r="Q28" s="105">
        <f>$Q$8*P28/(N28/1000)</f>
        <v>74.351145038167928</v>
      </c>
      <c r="R28" s="105">
        <f>P28*$Q$8</f>
        <v>194.79999999999998</v>
      </c>
      <c r="S28" s="105">
        <f t="shared" si="65"/>
        <v>157.79927620541986</v>
      </c>
      <c r="T28" s="117">
        <f t="shared" si="66"/>
        <v>36.428571428571431</v>
      </c>
      <c r="U28" s="118">
        <v>50000</v>
      </c>
      <c r="V28" t="s">
        <v>213</v>
      </c>
      <c r="W28" s="104" t="s">
        <v>218</v>
      </c>
      <c r="X28" t="s">
        <v>221</v>
      </c>
      <c r="Z28" t="s">
        <v>162</v>
      </c>
      <c r="AA28">
        <v>150</v>
      </c>
      <c r="AB28">
        <v>165</v>
      </c>
      <c r="AC28" t="s">
        <v>197</v>
      </c>
      <c r="AF28" s="105">
        <v>122.25</v>
      </c>
      <c r="AG28" s="105">
        <f t="shared" si="67"/>
        <v>119.0715</v>
      </c>
      <c r="AH28" s="118">
        <v>24000</v>
      </c>
      <c r="AI28" t="s">
        <v>167</v>
      </c>
      <c r="AJ28" s="104" t="s">
        <v>198</v>
      </c>
      <c r="AK28" t="s">
        <v>182</v>
      </c>
      <c r="AL28" s="113"/>
      <c r="AM28" t="str">
        <f t="shared" si="14"/>
        <v>HID 150W-New</v>
      </c>
      <c r="AN28" s="173" t="str">
        <f>$A$49</f>
        <v>Exterior Lighting: Walkway</v>
      </c>
      <c r="AO28" s="173" t="str">
        <f>Z52</f>
        <v>HID 150W</v>
      </c>
      <c r="AP28" s="173" t="s">
        <v>41</v>
      </c>
      <c r="AQ28" s="173" t="str">
        <f t="shared" si="55"/>
        <v>Exterior Lighting: Walkway - HID 150W - New</v>
      </c>
      <c r="AR28" s="173" t="str">
        <f t="shared" si="60"/>
        <v>HID 150W</v>
      </c>
      <c r="AS28" s="173" t="str">
        <f>J58</f>
        <v>LED 28W</v>
      </c>
      <c r="AT28" s="173" t="str">
        <f t="shared" si="19"/>
        <v>Exterior Lighting: Walkway - HID 150W to LED 28W - New</v>
      </c>
      <c r="AU28" s="174">
        <v>4300</v>
      </c>
      <c r="AV28" s="174">
        <f t="shared" ref="AV28:AV36" si="68">INDEX($K$52:$X$67,MATCH($AS28,$J$52:$J$67,0),MATCH(AV$11,$K$50:$X$50,0))</f>
        <v>2911.8333333333335</v>
      </c>
      <c r="AW28" s="175">
        <f>INDEX($AA$52:$AK$57,MATCH(CONCATENATE("Avg ",$AR28),$Z$52:$Z$57,0),MATCH(AW$11,$AA$50:$AK$50,0))</f>
        <v>178.25</v>
      </c>
      <c r="AX28" s="175">
        <f t="shared" ref="AX28:AX36" si="69">INDEX($K$52:$X$67,MATCH($AS28,$J$52:$J$67,0),MATCH(AX$11,$K$50:$X$50,0))</f>
        <v>27.581632653061224</v>
      </c>
      <c r="AY28" s="176">
        <f t="shared" si="20"/>
        <v>0.84526433294215297</v>
      </c>
      <c r="AZ28" s="174">
        <f t="shared" si="6"/>
        <v>766.47499999999991</v>
      </c>
      <c r="BA28" s="174">
        <f t="shared" si="7"/>
        <v>118.60102040816327</v>
      </c>
      <c r="BB28" s="157">
        <f t="shared" si="21"/>
        <v>647.87397959183659</v>
      </c>
      <c r="BC28" s="180">
        <f>INDEX($AA$59:$AK$62,MATCH(CONCATENATE("Avg ",$AR28),$Z$59:$Z$62,0),MATCH(BC$11,$AA$50:$AK$50,0))</f>
        <v>30.999173333333335</v>
      </c>
      <c r="BD28" s="175" t="s">
        <v>274</v>
      </c>
      <c r="BE28" s="177">
        <f>INDEX($AA$52:$AK$57,MATCH(CONCATENATE("Avg ",$AR28),$Z$52:$Z$57,0),MATCH(BE$11,$AA$50:$AK$50,0))</f>
        <v>178.58874399999999</v>
      </c>
      <c r="BF28" s="177">
        <f>INDEX($K$52:$X$58,MATCH($AS28,$J$52:$J$58,0),MATCH(BF$11,$K$50:$X$50,0))</f>
        <v>185.259506250687</v>
      </c>
      <c r="BG28" s="182">
        <f t="shared" si="22"/>
        <v>6.6707622506870052</v>
      </c>
      <c r="BH28" s="174">
        <f>INDEX($AA$52:$AK$57,MATCH(CONCATENATE("Avg ",$AR28),$Z$52:$Z$57,0),MATCH(BH$11,$AA$50:$AK$50,0))</f>
        <v>24000</v>
      </c>
      <c r="BI28" s="174">
        <f t="shared" ref="BI28:BI36" si="70">INDEX($K$52:$X$67,MATCH($AS28,$J$52:$J$67,0),MATCH(BI$11,$K$50:$X$50,0))</f>
        <v>72000</v>
      </c>
      <c r="BJ28" s="178">
        <f t="shared" si="23"/>
        <v>5.5813953488372094</v>
      </c>
      <c r="BK28" s="163">
        <f t="shared" si="24"/>
        <v>16.744186046511629</v>
      </c>
      <c r="BL28" s="179">
        <v>8.3333333333333329E-2</v>
      </c>
      <c r="BM28" s="173">
        <v>0.25</v>
      </c>
      <c r="BN28" s="182">
        <f>BL28*$BN$3</f>
        <v>8.3333333333333321</v>
      </c>
      <c r="BO28" s="182">
        <f>BM28*$BN$3</f>
        <v>25</v>
      </c>
      <c r="BP28" s="177">
        <f t="shared" si="27"/>
        <v>0</v>
      </c>
      <c r="BQ28" s="186">
        <f t="shared" si="28"/>
        <v>6.6707622506870052</v>
      </c>
      <c r="BR28" s="182">
        <f t="shared" si="29"/>
        <v>30.999173333333335</v>
      </c>
      <c r="BS28" s="182">
        <f t="shared" si="30"/>
        <v>8.3333333333333321</v>
      </c>
      <c r="BT28" s="167">
        <f t="shared" si="31"/>
        <v>39.332506666666667</v>
      </c>
      <c r="BU28" s="163">
        <f t="shared" si="32"/>
        <v>5.5813953488372094</v>
      </c>
      <c r="BV28" s="171" t="s">
        <v>369</v>
      </c>
      <c r="BW28" s="183" t="str">
        <f t="shared" si="33"/>
        <v>L</v>
      </c>
      <c r="BX28" s="161">
        <f t="shared" si="34"/>
        <v>4.4274470933414148E-2</v>
      </c>
      <c r="BY28" s="110">
        <f t="shared" si="35"/>
        <v>3.742363113989905E-2</v>
      </c>
      <c r="BZ28" s="155">
        <f t="shared" si="36"/>
        <v>0.15473566705784697</v>
      </c>
      <c r="CA28" s="155">
        <f t="shared" si="37"/>
        <v>0.84526433294215297</v>
      </c>
      <c r="CB28" t="str">
        <f t="shared" si="38"/>
        <v>Exterior Lighting: Walkway - HID 150W</v>
      </c>
      <c r="CC28" t="str">
        <f t="shared" si="1"/>
        <v>HID 150W</v>
      </c>
      <c r="CD28" t="str">
        <f t="shared" si="2"/>
        <v>New</v>
      </c>
      <c r="CE28" s="322" t="s">
        <v>988</v>
      </c>
      <c r="CF28" t="s">
        <v>91</v>
      </c>
      <c r="CG28" s="159">
        <f>VLOOKUP(CE28,Watt_Allocation,MATCH(CF28,'Watt Allocation'!$C$38:$K$38,0))</f>
        <v>20.017342078658384</v>
      </c>
      <c r="CH28" s="332">
        <f t="shared" si="13"/>
        <v>0.67010309278350511</v>
      </c>
      <c r="CI28" s="159">
        <f t="shared" si="39"/>
        <v>13.413682836214379</v>
      </c>
      <c r="CJ28" s="159">
        <f t="shared" si="40"/>
        <v>11.338107674850354</v>
      </c>
      <c r="CK28" s="59">
        <f t="shared" si="41"/>
        <v>48.753863001856523</v>
      </c>
      <c r="CL28" s="110">
        <f t="shared" si="42"/>
        <v>0.50198871869008188</v>
      </c>
      <c r="CM28" s="338">
        <f t="shared" si="43"/>
        <v>1.0296388589166081E-2</v>
      </c>
      <c r="CN28" s="305">
        <f t="shared" si="44"/>
        <v>1.0296388589166082E-2</v>
      </c>
      <c r="CO28" s="362">
        <f t="shared" si="45"/>
        <v>7.5252077622521077E-2</v>
      </c>
      <c r="CP28" s="362">
        <f t="shared" si="46"/>
        <v>7.5252077622521077E-2</v>
      </c>
      <c r="CQ28" s="155">
        <f t="shared" si="47"/>
        <v>0.11823275637785145</v>
      </c>
      <c r="CR28" s="362">
        <f t="shared" si="48"/>
        <v>7.5252077622521077E-2</v>
      </c>
      <c r="CS28" s="366">
        <f t="shared" si="49"/>
        <v>7.5252077622521077E-2</v>
      </c>
      <c r="CT28" s="312"/>
      <c r="CU28" s="312"/>
      <c r="CV28" s="312"/>
      <c r="CW28" s="118"/>
    </row>
    <row r="29" spans="1:101">
      <c r="I29" t="s">
        <v>162</v>
      </c>
      <c r="J29" t="s">
        <v>166</v>
      </c>
      <c r="K29">
        <v>30</v>
      </c>
      <c r="L29">
        <f t="shared" si="64"/>
        <v>30</v>
      </c>
      <c r="M29" t="s">
        <v>219</v>
      </c>
      <c r="N29">
        <v>2400</v>
      </c>
      <c r="O29" s="106">
        <f>N29/K29</f>
        <v>80</v>
      </c>
      <c r="P29" s="105">
        <v>227.27</v>
      </c>
      <c r="Q29" s="105">
        <f>$Q$8*P29/(N29/1000)</f>
        <v>92.233741666666674</v>
      </c>
      <c r="R29" s="105">
        <f>P29*$Q$8</f>
        <v>221.36098000000001</v>
      </c>
      <c r="S29" s="105">
        <f t="shared" si="65"/>
        <v>179.31520751602886</v>
      </c>
      <c r="T29" s="117">
        <f t="shared" si="66"/>
        <v>26.020408163265305</v>
      </c>
      <c r="U29" s="118">
        <v>50000</v>
      </c>
      <c r="V29" t="s">
        <v>167</v>
      </c>
      <c r="W29" s="104" t="s">
        <v>220</v>
      </c>
      <c r="X29" t="s">
        <v>206</v>
      </c>
      <c r="Z29" t="s">
        <v>162</v>
      </c>
      <c r="AA29">
        <v>150</v>
      </c>
      <c r="AB29">
        <v>180</v>
      </c>
      <c r="AC29" t="s">
        <v>254</v>
      </c>
      <c r="AF29" s="105">
        <v>211.74</v>
      </c>
      <c r="AG29" s="105">
        <f t="shared" si="67"/>
        <v>206.23475999999999</v>
      </c>
      <c r="AI29" t="s">
        <v>213</v>
      </c>
      <c r="AJ29" t="s">
        <v>255</v>
      </c>
      <c r="AK29" t="s">
        <v>182</v>
      </c>
      <c r="AL29" s="113"/>
      <c r="AM29" t="str">
        <f t="shared" si="14"/>
        <v>CFL 26W-New</v>
      </c>
      <c r="AN29" s="173" t="str">
        <f t="shared" ref="AN29:AN36" si="71">$A$49</f>
        <v>Exterior Lighting: Walkway</v>
      </c>
      <c r="AO29" s="173" t="str">
        <f>Z65</f>
        <v>CFL 26W</v>
      </c>
      <c r="AP29" s="173" t="s">
        <v>41</v>
      </c>
      <c r="AQ29" s="173" t="str">
        <f t="shared" si="55"/>
        <v>Exterior Lighting: Walkway - CFL 26W - New</v>
      </c>
      <c r="AR29" s="173" t="str">
        <f t="shared" si="60"/>
        <v>CFL 26W</v>
      </c>
      <c r="AS29" s="173" t="str">
        <f>$J$67</f>
        <v>LED 12W</v>
      </c>
      <c r="AT29" s="173" t="str">
        <f t="shared" si="19"/>
        <v>Exterior Lighting: Walkway - CFL 26W to LED 12W - New</v>
      </c>
      <c r="AU29" s="174">
        <v>4300</v>
      </c>
      <c r="AV29" s="174">
        <f t="shared" si="68"/>
        <v>1000</v>
      </c>
      <c r="AW29" s="175">
        <f>INDEX($AA$65:$AK$66,MATCH($AR29,$Z$65:$Z$66,0),MATCH(AW$11,$AA$50:$AK$50,0))</f>
        <v>26</v>
      </c>
      <c r="AX29" s="175">
        <f t="shared" si="69"/>
        <v>10.133333333333333</v>
      </c>
      <c r="AY29" s="176">
        <f t="shared" si="20"/>
        <v>0.61025641025641031</v>
      </c>
      <c r="AZ29" s="174">
        <f t="shared" si="6"/>
        <v>111.8</v>
      </c>
      <c r="BA29" s="174">
        <f t="shared" si="7"/>
        <v>43.573333333333331</v>
      </c>
      <c r="BB29" s="157">
        <f t="shared" si="21"/>
        <v>68.226666666666659</v>
      </c>
      <c r="BC29" s="180">
        <f>INDEX($AA$65:$AK$66,MATCH($AR29,$Z$65:$Z$66,0),MATCH(BC$11,$AA$50:$AK$50,0))</f>
        <v>1.45017</v>
      </c>
      <c r="BD29" s="182">
        <f>INDEX($K$52:$X$67,MATCH($AS29,$J$52:$J$67,0),MATCH(BD$11,$K$50:$X$50,0))</f>
        <v>5.4510599869194873</v>
      </c>
      <c r="BE29" s="390" t="s">
        <v>384</v>
      </c>
      <c r="BF29" s="390"/>
      <c r="BG29" s="182">
        <f>BD29-BC29</f>
        <v>4.0008899869194874</v>
      </c>
      <c r="BH29" s="174">
        <f>INDEX($AA$65:$AK$66,MATCH($AR29,$Z$65:$Z$66,0),MATCH(BH$11,$AA$50:$AK$50,0))</f>
        <v>10000</v>
      </c>
      <c r="BI29" s="174">
        <f t="shared" si="70"/>
        <v>28708</v>
      </c>
      <c r="BJ29" s="178">
        <f t="shared" si="23"/>
        <v>2.3255813953488373</v>
      </c>
      <c r="BK29" s="163">
        <f t="shared" si="24"/>
        <v>6.6762790697674417</v>
      </c>
      <c r="BL29" s="179">
        <v>8.3333333333333329E-2</v>
      </c>
      <c r="BM29" s="173">
        <v>0.25</v>
      </c>
      <c r="BN29" s="182">
        <f t="shared" ref="BN29:BN36" si="72">BL29*$BN$3</f>
        <v>8.3333333333333321</v>
      </c>
      <c r="BO29" s="182">
        <f t="shared" ref="BO29:BO36" si="73">BM29*$BN$3</f>
        <v>25</v>
      </c>
      <c r="BP29" s="177">
        <f t="shared" si="27"/>
        <v>0</v>
      </c>
      <c r="BQ29" s="186">
        <f t="shared" si="28"/>
        <v>4.0008899869194874</v>
      </c>
      <c r="BR29" s="182">
        <f t="shared" si="29"/>
        <v>1.45017</v>
      </c>
      <c r="BS29" s="182">
        <f t="shared" si="30"/>
        <v>8.3333333333333321</v>
      </c>
      <c r="BT29" s="167">
        <f t="shared" si="31"/>
        <v>9.7835033333333321</v>
      </c>
      <c r="BU29" s="163">
        <f t="shared" si="32"/>
        <v>2.3255813953488373</v>
      </c>
      <c r="BV29" s="171" t="s">
        <v>369</v>
      </c>
      <c r="BW29" s="183" t="str">
        <f t="shared" si="33"/>
        <v>L</v>
      </c>
      <c r="BX29" s="161">
        <f t="shared" si="34"/>
        <v>0.2521569319487072</v>
      </c>
      <c r="BY29" s="110">
        <f t="shared" si="35"/>
        <v>0.15388038411228797</v>
      </c>
      <c r="BZ29" s="155">
        <f t="shared" si="36"/>
        <v>0.38974358974358975</v>
      </c>
      <c r="CA29" s="155">
        <f t="shared" si="37"/>
        <v>0.61025641025641031</v>
      </c>
      <c r="CB29" t="str">
        <f t="shared" si="38"/>
        <v>Exterior Lighting: Walkway - CFL 26W</v>
      </c>
      <c r="CC29" t="str">
        <f t="shared" si="1"/>
        <v>CFL 26W</v>
      </c>
      <c r="CD29" t="str">
        <f t="shared" si="2"/>
        <v>New</v>
      </c>
      <c r="CE29" s="322" t="s">
        <v>988</v>
      </c>
      <c r="CF29" t="s">
        <v>88</v>
      </c>
      <c r="CG29" s="159">
        <f>VLOOKUP(CE29,Watt_Allocation,MATCH(CF29,'Watt Allocation'!$C$38:$K$38,0))</f>
        <v>4.2717310139836036</v>
      </c>
      <c r="CH29" s="333">
        <f t="shared" si="13"/>
        <v>0.20618556701030927</v>
      </c>
      <c r="CI29" s="159">
        <f t="shared" si="39"/>
        <v>0.88076928123373266</v>
      </c>
      <c r="CJ29" s="159">
        <f t="shared" si="40"/>
        <v>0.53749509982981636</v>
      </c>
      <c r="CK29" s="59">
        <f t="shared" si="41"/>
        <v>2.3112289292682102</v>
      </c>
      <c r="CL29" s="110">
        <f t="shared" si="42"/>
        <v>0.13553311531055059</v>
      </c>
      <c r="CM29" s="338">
        <f t="shared" si="43"/>
        <v>5.8641146964815635E-2</v>
      </c>
      <c r="CN29" s="305">
        <f t="shared" si="44"/>
        <v>5.8641146964815628E-2</v>
      </c>
      <c r="CO29" s="362">
        <f t="shared" si="45"/>
        <v>3.3875741585912798E-2</v>
      </c>
      <c r="CP29" s="362">
        <f t="shared" si="46"/>
        <v>3.3875741585912798E-2</v>
      </c>
      <c r="CQ29" s="155">
        <f t="shared" si="47"/>
        <v>2.523104867286587E-2</v>
      </c>
      <c r="CR29" s="362">
        <f t="shared" si="48"/>
        <v>3.3875741585912798E-2</v>
      </c>
      <c r="CS29" s="366">
        <f t="shared" si="49"/>
        <v>3.3875741585912798E-2</v>
      </c>
      <c r="CT29" s="312"/>
      <c r="CU29" s="312"/>
      <c r="CV29" s="312"/>
      <c r="CW29" s="118"/>
    </row>
    <row r="30" spans="1:101">
      <c r="J30" s="146" t="str">
        <f>CONCATENATE("LED ",TEXT(T30,"0"),"W")</f>
        <v>LED 27W</v>
      </c>
      <c r="N30" s="146">
        <f>AVERAGE(N25:N29)</f>
        <v>2608</v>
      </c>
      <c r="P30" s="105"/>
      <c r="Q30" s="105"/>
      <c r="R30" s="231">
        <f>AVERAGE(R25:R29)</f>
        <v>229.478296</v>
      </c>
      <c r="S30" s="135">
        <f>AVERAGE(S25:S29)</f>
        <v>185.89070335550872</v>
      </c>
      <c r="T30" s="136">
        <f>AVERAGE(T25:T29)</f>
        <v>27.234693877551017</v>
      </c>
      <c r="U30" s="137">
        <v>72000</v>
      </c>
      <c r="W30" s="104"/>
      <c r="Z30" s="138" t="str">
        <f>CONCATENATE("Avg ",Z29)</f>
        <v>Avg HID 150W</v>
      </c>
      <c r="AA30" s="113"/>
      <c r="AB30" s="136">
        <f>AVERAGE(AB24:AB29)</f>
        <v>178.25</v>
      </c>
      <c r="AC30" s="138"/>
      <c r="AD30" s="138"/>
      <c r="AE30" s="138"/>
      <c r="AF30" s="139"/>
      <c r="AG30" s="135">
        <f>AVERAGE(AG24:AG29)</f>
        <v>178.58874399999999</v>
      </c>
      <c r="AH30" s="140">
        <v>24000</v>
      </c>
      <c r="AI30" s="113"/>
      <c r="AJ30" s="114"/>
      <c r="AK30" s="113"/>
      <c r="AL30" s="113"/>
      <c r="AM30" t="str">
        <f t="shared" si="14"/>
        <v>INC 75W-New</v>
      </c>
      <c r="AN30" s="173" t="str">
        <f t="shared" si="71"/>
        <v>Exterior Lighting: Walkway</v>
      </c>
      <c r="AO30" s="173" t="str">
        <f>Z66</f>
        <v>INC 75W</v>
      </c>
      <c r="AP30" s="173" t="s">
        <v>41</v>
      </c>
      <c r="AQ30" s="173" t="str">
        <f t="shared" si="55"/>
        <v>Exterior Lighting: Walkway - INC 75W - New</v>
      </c>
      <c r="AR30" s="173" t="str">
        <f t="shared" si="60"/>
        <v>INC 75W</v>
      </c>
      <c r="AS30" s="173" t="str">
        <f>$J$67</f>
        <v>LED 12W</v>
      </c>
      <c r="AT30" s="173" t="str">
        <f t="shared" si="19"/>
        <v>Exterior Lighting: Walkway - INC 75W to LED 12W - New</v>
      </c>
      <c r="AU30" s="174">
        <v>4300</v>
      </c>
      <c r="AV30" s="174">
        <f t="shared" si="68"/>
        <v>1000</v>
      </c>
      <c r="AW30" s="175">
        <f>INDEX($AA$65:$AK$66,MATCH($AR30,$Z$65:$Z$66,0),MATCH(AW$11,$AA$50:$AK$50,0))</f>
        <v>75</v>
      </c>
      <c r="AX30" s="175">
        <f t="shared" si="69"/>
        <v>10.133333333333333</v>
      </c>
      <c r="AY30" s="176">
        <f t="shared" si="20"/>
        <v>0.86488888888888904</v>
      </c>
      <c r="AZ30" s="174">
        <f t="shared" si="6"/>
        <v>322.5</v>
      </c>
      <c r="BA30" s="174">
        <f t="shared" si="7"/>
        <v>43.573333333333331</v>
      </c>
      <c r="BB30" s="157">
        <f t="shared" si="21"/>
        <v>278.92666666666668</v>
      </c>
      <c r="BC30" s="180">
        <f>INDEX($AA$65:$AK$66,MATCH($AR30,$Z$65:$Z$66,0),MATCH(BC$11,$AA$50:$AK$50,0))</f>
        <v>0.67205999999999988</v>
      </c>
      <c r="BD30" s="182">
        <f>INDEX($K$52:$X$67,MATCH($AS30,$J$52:$J$67,0),MATCH(BD$11,$K$50:$X$50,0))</f>
        <v>5.4510599869194873</v>
      </c>
      <c r="BE30" s="390"/>
      <c r="BF30" s="390"/>
      <c r="BG30" s="182">
        <f>BD30-BC30</f>
        <v>4.7789999869194872</v>
      </c>
      <c r="BH30" s="174">
        <f>INDEX($AA$65:$AK$66,MATCH($AR30,$Z$65:$Z$66,0),MATCH(BH$11,$AA$50:$AK$50,0))</f>
        <v>1000</v>
      </c>
      <c r="BI30" s="174">
        <f t="shared" si="70"/>
        <v>28708</v>
      </c>
      <c r="BJ30" s="178">
        <f t="shared" si="23"/>
        <v>0.23255813953488372</v>
      </c>
      <c r="BK30" s="163">
        <f t="shared" si="24"/>
        <v>6.6762790697674417</v>
      </c>
      <c r="BL30" s="179">
        <v>8.3333333333333329E-2</v>
      </c>
      <c r="BM30" s="173">
        <v>0.25</v>
      </c>
      <c r="BN30" s="182">
        <f t="shared" si="72"/>
        <v>8.3333333333333321</v>
      </c>
      <c r="BO30" s="182">
        <f t="shared" si="73"/>
        <v>25</v>
      </c>
      <c r="BP30" s="177">
        <f t="shared" si="27"/>
        <v>0</v>
      </c>
      <c r="BQ30" s="186">
        <f t="shared" si="28"/>
        <v>4.7789999869194872</v>
      </c>
      <c r="BR30" s="182">
        <f t="shared" si="29"/>
        <v>0.67205999999999988</v>
      </c>
      <c r="BS30" s="182">
        <f t="shared" si="30"/>
        <v>8.3333333333333321</v>
      </c>
      <c r="BT30" s="167">
        <f t="shared" si="31"/>
        <v>9.0053933333333323</v>
      </c>
      <c r="BU30" s="163">
        <f t="shared" si="32"/>
        <v>0.23255813953488372</v>
      </c>
      <c r="BV30" s="171" t="s">
        <v>369</v>
      </c>
      <c r="BW30" s="183" t="str">
        <f t="shared" si="33"/>
        <v>L</v>
      </c>
      <c r="BX30" s="161">
        <f t="shared" si="34"/>
        <v>7.367420329269507E-2</v>
      </c>
      <c r="BY30" s="110">
        <f t="shared" si="35"/>
        <v>6.3719999825593163E-2</v>
      </c>
      <c r="BZ30" s="155">
        <f t="shared" si="36"/>
        <v>0.1351111111111111</v>
      </c>
      <c r="CA30" s="155">
        <f t="shared" si="37"/>
        <v>0.86488888888888904</v>
      </c>
      <c r="CB30" t="str">
        <f t="shared" si="38"/>
        <v>Exterior Lighting: Walkway - INC 75W</v>
      </c>
      <c r="CC30" t="str">
        <f t="shared" si="1"/>
        <v>INC 75W</v>
      </c>
      <c r="CD30" t="str">
        <f t="shared" si="2"/>
        <v>New</v>
      </c>
      <c r="CE30" s="322" t="s">
        <v>988</v>
      </c>
      <c r="CF30" t="s">
        <v>111</v>
      </c>
      <c r="CG30" s="159">
        <f>VLOOKUP(CE30,Watt_Allocation,MATCH(CF30,'Watt Allocation'!$C$38:$K$38,0))</f>
        <v>3.7289401276903824</v>
      </c>
      <c r="CH30" s="334">
        <f t="shared" si="13"/>
        <v>0.12371134020618556</v>
      </c>
      <c r="CI30" s="159">
        <f t="shared" si="39"/>
        <v>0.46131218074520192</v>
      </c>
      <c r="CJ30" s="159">
        <f t="shared" si="40"/>
        <v>0.39898377943562802</v>
      </c>
      <c r="CK30" s="59">
        <f t="shared" si="41"/>
        <v>1.7156302515732005</v>
      </c>
      <c r="CL30" s="110">
        <f t="shared" si="42"/>
        <v>2.9394812076628269E-2</v>
      </c>
      <c r="CM30" s="338">
        <f t="shared" si="43"/>
        <v>1.7133535649463971E-2</v>
      </c>
      <c r="CN30" s="305">
        <f t="shared" si="44"/>
        <v>1.7133535649463971E-2</v>
      </c>
      <c r="CO30" s="362">
        <f t="shared" si="45"/>
        <v>6.150829076602693E-3</v>
      </c>
      <c r="CP30" s="362">
        <f t="shared" si="46"/>
        <v>6.1508290766026921E-3</v>
      </c>
      <c r="CQ30" s="155">
        <f t="shared" si="47"/>
        <v>2.2025045479682405E-2</v>
      </c>
      <c r="CR30" s="362">
        <f t="shared" si="48"/>
        <v>6.150829076602693E-3</v>
      </c>
      <c r="CS30" s="366">
        <f t="shared" si="49"/>
        <v>6.150829076602693E-3</v>
      </c>
      <c r="CT30" s="312"/>
      <c r="CU30" s="312"/>
      <c r="CV30" s="312"/>
      <c r="CW30" s="118"/>
    </row>
    <row r="31" spans="1:101">
      <c r="U31" s="128"/>
      <c r="Z31" t="s">
        <v>234</v>
      </c>
      <c r="AA31" s="113"/>
      <c r="AB31" s="113"/>
      <c r="AC31" s="113"/>
      <c r="AD31" s="113"/>
      <c r="AE31" s="113"/>
      <c r="AF31" s="112" t="s">
        <v>236</v>
      </c>
      <c r="AG31" s="112" t="s">
        <v>236</v>
      </c>
      <c r="AH31" s="112"/>
      <c r="AI31" s="113"/>
      <c r="AJ31" s="114"/>
      <c r="AK31" s="113"/>
      <c r="AL31" s="113"/>
      <c r="AM31" t="str">
        <f t="shared" si="14"/>
        <v>HID 150W-NR</v>
      </c>
      <c r="AN31" s="173" t="str">
        <f t="shared" si="71"/>
        <v>Exterior Lighting: Walkway</v>
      </c>
      <c r="AO31" s="173" t="str">
        <f>AO28</f>
        <v>HID 150W</v>
      </c>
      <c r="AP31" s="173" t="s">
        <v>303</v>
      </c>
      <c r="AQ31" s="173" t="str">
        <f t="shared" si="55"/>
        <v>Exterior Lighting: Walkway - HID 150W - NR</v>
      </c>
      <c r="AR31" s="173" t="str">
        <f t="shared" si="60"/>
        <v>HID 150W</v>
      </c>
      <c r="AS31" s="173" t="str">
        <f>$J$65</f>
        <v>LED 29W</v>
      </c>
      <c r="AT31" s="173" t="str">
        <f t="shared" si="19"/>
        <v>Exterior Lighting: Walkway - HID 150W to LED 29W - NR</v>
      </c>
      <c r="AU31" s="174">
        <v>4300</v>
      </c>
      <c r="AV31" s="174">
        <f t="shared" si="68"/>
        <v>3355.916666666667</v>
      </c>
      <c r="AW31" s="175">
        <f>INDEX($AA$52:$AK$57,MATCH(CONCATENATE("Avg ",$AR31),$Z$52:$Z$57,0),MATCH(AW$11,$AA$50:$AK$50,0))</f>
        <v>178.25</v>
      </c>
      <c r="AX31" s="175">
        <f t="shared" si="69"/>
        <v>29.374149659863942</v>
      </c>
      <c r="AY31" s="176">
        <f t="shared" si="20"/>
        <v>0.83520813655055293</v>
      </c>
      <c r="AZ31" s="174">
        <f t="shared" si="6"/>
        <v>766.47499999999991</v>
      </c>
      <c r="BA31" s="174">
        <f t="shared" si="7"/>
        <v>126.30884353741496</v>
      </c>
      <c r="BB31" s="157">
        <f t="shared" si="21"/>
        <v>640.16615646258492</v>
      </c>
      <c r="BC31" s="180">
        <f>INDEX($AA$59:$AK$62,MATCH(CONCATENATE("Avg ",$AR31),$Z$59:$Z$62,0),MATCH(BC$11,$AA$50:$AK$50,0))</f>
        <v>30.999173333333335</v>
      </c>
      <c r="BD31" s="182">
        <f>INDEX($K$61:$X$63,MATCH($J$63,$J$61:$J$63,0),MATCH(BD$11,$K$50:$X$50,0))</f>
        <v>125.15165086401556</v>
      </c>
      <c r="BE31" s="177">
        <f>INDEX($AA$52:$AK$57,MATCH(CONCATENATE("Avg ",$AR31),$Z$52:$Z$57,0),MATCH(BE$11,$AA$50:$AK$50,0))</f>
        <v>178.58874399999999</v>
      </c>
      <c r="BF31" s="177">
        <f>INDEX($K$52:$X$58,MATCH($AS$28,$J$52:$J$58,0),MATCH(BF$11,$K$50:$X$50,0))</f>
        <v>185.259506250687</v>
      </c>
      <c r="BG31" s="182">
        <f t="shared" si="22"/>
        <v>154.26033291735365</v>
      </c>
      <c r="BH31" s="174">
        <f>INDEX($AA$52:$AK$57,MATCH(CONCATENATE("Avg ",$AR31),$Z$52:$Z$57,0),MATCH(BH$11,$AA$50:$AK$50,0))</f>
        <v>24000</v>
      </c>
      <c r="BI31" s="174">
        <f t="shared" si="70"/>
        <v>61000</v>
      </c>
      <c r="BJ31" s="178">
        <f t="shared" si="23"/>
        <v>5.5813953488372094</v>
      </c>
      <c r="BK31" s="163">
        <f t="shared" si="24"/>
        <v>14.186046511627907</v>
      </c>
      <c r="BL31" s="179">
        <v>8.3333333333333329E-2</v>
      </c>
      <c r="BM31" s="173">
        <v>0.25</v>
      </c>
      <c r="BN31" s="182">
        <f t="shared" si="72"/>
        <v>8.3333333333333321</v>
      </c>
      <c r="BO31" s="182">
        <f t="shared" si="73"/>
        <v>25</v>
      </c>
      <c r="BP31" s="177">
        <v>0</v>
      </c>
      <c r="BQ31" s="186">
        <f t="shared" si="28"/>
        <v>154.26033291735365</v>
      </c>
      <c r="BR31" s="182">
        <f t="shared" si="29"/>
        <v>30.999173333333335</v>
      </c>
      <c r="BS31" s="182">
        <f t="shared" si="30"/>
        <v>8.3333333333333321</v>
      </c>
      <c r="BT31" s="167">
        <f t="shared" si="31"/>
        <v>39.332506666666667</v>
      </c>
      <c r="BU31" s="163">
        <f t="shared" si="32"/>
        <v>5.5813953488372094</v>
      </c>
      <c r="BV31" s="171" t="s">
        <v>369</v>
      </c>
      <c r="BW31" s="183" t="str">
        <f t="shared" si="33"/>
        <v>L</v>
      </c>
      <c r="BX31" s="161">
        <f t="shared" si="34"/>
        <v>1.0361676025017872</v>
      </c>
      <c r="BY31" s="110">
        <f t="shared" si="35"/>
        <v>0.86541561243957166</v>
      </c>
      <c r="BZ31" s="155">
        <f t="shared" si="36"/>
        <v>0.16479186344944707</v>
      </c>
      <c r="CA31" s="155">
        <f t="shared" si="37"/>
        <v>0.83520813655055293</v>
      </c>
      <c r="CB31" t="str">
        <f t="shared" si="38"/>
        <v>Exterior Lighting: Walkway - HID 150W</v>
      </c>
      <c r="CC31" t="str">
        <f t="shared" si="1"/>
        <v>HID 150W</v>
      </c>
      <c r="CD31" t="str">
        <f t="shared" si="2"/>
        <v>NR</v>
      </c>
      <c r="CE31" s="322" t="s">
        <v>988</v>
      </c>
      <c r="CF31" t="s">
        <v>91</v>
      </c>
      <c r="CG31" s="159">
        <f>VLOOKUP(CE31,Watt_Allocation,MATCH(CF31,'Watt Allocation'!$C$38:$K$38,0))</f>
        <v>20.017342078658384</v>
      </c>
      <c r="CH31" s="363">
        <f t="shared" si="13"/>
        <v>0.67010309278350511</v>
      </c>
      <c r="CI31" s="159">
        <f t="shared" si="39"/>
        <v>13.413682836214379</v>
      </c>
      <c r="CJ31" s="159">
        <f t="shared" si="40"/>
        <v>11.203217045914748</v>
      </c>
      <c r="CK31" s="59">
        <f t="shared" si="41"/>
        <v>48.173833297433418</v>
      </c>
      <c r="CL31" s="110">
        <f t="shared" si="42"/>
        <v>11.608410546772639</v>
      </c>
      <c r="CM31" s="338">
        <f t="shared" si="43"/>
        <v>0.24096920988413653</v>
      </c>
      <c r="CN31" s="305">
        <f t="shared" si="44"/>
        <v>0.24096920988413659</v>
      </c>
      <c r="CO31" s="362">
        <f t="shared" si="45"/>
        <v>7.5252077622521091E-2</v>
      </c>
      <c r="CP31" s="362">
        <f t="shared" si="46"/>
        <v>7.5252077622521063E-2</v>
      </c>
      <c r="CQ31" s="155">
        <f t="shared" si="47"/>
        <v>0.11823275637785145</v>
      </c>
      <c r="CR31" s="362">
        <f t="shared" si="48"/>
        <v>7.5252077622521091E-2</v>
      </c>
      <c r="CS31" s="366">
        <f t="shared" si="49"/>
        <v>7.5252077622521091E-2</v>
      </c>
      <c r="CT31" s="314">
        <f t="shared" ref="CT31" si="74">1/BJ31</f>
        <v>0.17916666666666667</v>
      </c>
      <c r="CU31" s="312"/>
      <c r="CV31" s="312"/>
      <c r="CW31" s="118">
        <f>$CW$11*CK31/8760/1000</f>
        <v>18.147676927115327</v>
      </c>
    </row>
    <row r="32" spans="1:101">
      <c r="U32" s="128"/>
      <c r="Z32" t="s">
        <v>162</v>
      </c>
      <c r="AA32">
        <v>150</v>
      </c>
      <c r="AB32" s="129"/>
      <c r="AC32" s="141" t="s">
        <v>259</v>
      </c>
      <c r="AD32" s="141"/>
      <c r="AE32" s="141"/>
      <c r="AF32" s="112">
        <v>23.17</v>
      </c>
      <c r="AG32" s="105">
        <f t="shared" ref="AG32:AG34" si="75">AF32*$Q$8</f>
        <v>22.56758</v>
      </c>
      <c r="AH32" s="112"/>
      <c r="AI32" t="s">
        <v>181</v>
      </c>
      <c r="AJ32" s="114" t="s">
        <v>258</v>
      </c>
      <c r="AK32" s="141" t="s">
        <v>237</v>
      </c>
      <c r="AL32" s="113"/>
      <c r="AM32" t="str">
        <f t="shared" si="14"/>
        <v>CFL 26W-NR</v>
      </c>
      <c r="AN32" s="173" t="str">
        <f t="shared" si="71"/>
        <v>Exterior Lighting: Walkway</v>
      </c>
      <c r="AO32" s="173" t="str">
        <f t="shared" ref="AO32:AO36" si="76">AO29</f>
        <v>CFL 26W</v>
      </c>
      <c r="AP32" s="173" t="s">
        <v>303</v>
      </c>
      <c r="AQ32" s="173" t="str">
        <f t="shared" si="55"/>
        <v>Exterior Lighting: Walkway - CFL 26W - NR</v>
      </c>
      <c r="AR32" s="173" t="str">
        <f t="shared" si="60"/>
        <v>CFL 26W</v>
      </c>
      <c r="AS32" s="173" t="str">
        <f>$J$67</f>
        <v>LED 12W</v>
      </c>
      <c r="AT32" s="173" t="str">
        <f t="shared" si="19"/>
        <v>Exterior Lighting: Walkway - CFL 26W to LED 12W - NR</v>
      </c>
      <c r="AU32" s="174">
        <v>4300</v>
      </c>
      <c r="AV32" s="174">
        <f t="shared" si="68"/>
        <v>1000</v>
      </c>
      <c r="AW32" s="175">
        <f>INDEX($AA$65:$AK$66,MATCH($AR32,$Z$65:$Z$66,0),MATCH(AW$11,$AA$50:$AK$50,0))</f>
        <v>26</v>
      </c>
      <c r="AX32" s="175">
        <f t="shared" si="69"/>
        <v>10.133333333333333</v>
      </c>
      <c r="AY32" s="176">
        <f t="shared" si="20"/>
        <v>0.61025641025641031</v>
      </c>
      <c r="AZ32" s="174">
        <f t="shared" si="6"/>
        <v>111.8</v>
      </c>
      <c r="BA32" s="174">
        <f t="shared" si="7"/>
        <v>43.573333333333331</v>
      </c>
      <c r="BB32" s="157">
        <f t="shared" si="21"/>
        <v>68.226666666666659</v>
      </c>
      <c r="BC32" s="180">
        <f>INDEX($AA$65:$AK$66,MATCH($AR32,$Z$65:$Z$66,0),MATCH(BC$11,$AA$50:$AK$50,0))</f>
        <v>1.45017</v>
      </c>
      <c r="BD32" s="182">
        <f>INDEX($K$52:$X$67,MATCH($AS32,$J$52:$J$67,0),MATCH(BD$11,$K$50:$X$50,0))</f>
        <v>5.4510599869194873</v>
      </c>
      <c r="BE32" s="390" t="s">
        <v>384</v>
      </c>
      <c r="BF32" s="390"/>
      <c r="BG32" s="182">
        <f>BD32-BC32</f>
        <v>4.0008899869194874</v>
      </c>
      <c r="BH32" s="174">
        <f>INDEX($AA$65:$AK$66,MATCH($AR32,$Z$65:$Z$66,0),MATCH(BH$11,$AA$50:$AK$50,0))</f>
        <v>10000</v>
      </c>
      <c r="BI32" s="174">
        <f t="shared" si="70"/>
        <v>28708</v>
      </c>
      <c r="BJ32" s="178">
        <f t="shared" si="23"/>
        <v>2.3255813953488373</v>
      </c>
      <c r="BK32" s="163">
        <f t="shared" si="24"/>
        <v>6.6762790697674417</v>
      </c>
      <c r="BL32" s="179">
        <v>8.3333333333333329E-2</v>
      </c>
      <c r="BM32" s="173">
        <v>0.25</v>
      </c>
      <c r="BN32" s="182">
        <f t="shared" si="72"/>
        <v>8.3333333333333321</v>
      </c>
      <c r="BO32" s="182">
        <f t="shared" si="73"/>
        <v>25</v>
      </c>
      <c r="BP32" s="177">
        <v>0</v>
      </c>
      <c r="BQ32" s="186">
        <f t="shared" si="28"/>
        <v>4.0008899869194874</v>
      </c>
      <c r="BR32" s="182">
        <f t="shared" si="29"/>
        <v>1.45017</v>
      </c>
      <c r="BS32" s="182">
        <f t="shared" si="30"/>
        <v>8.3333333333333321</v>
      </c>
      <c r="BT32" s="167">
        <f t="shared" si="31"/>
        <v>9.7835033333333321</v>
      </c>
      <c r="BU32" s="163">
        <f t="shared" si="32"/>
        <v>2.3255813953488373</v>
      </c>
      <c r="BV32" s="171" t="s">
        <v>369</v>
      </c>
      <c r="BW32" s="183" t="str">
        <f t="shared" si="33"/>
        <v>L</v>
      </c>
      <c r="BX32" s="161">
        <f t="shared" si="34"/>
        <v>0.2521569319487072</v>
      </c>
      <c r="BY32" s="110">
        <f t="shared" si="35"/>
        <v>0.15388038411228797</v>
      </c>
      <c r="BZ32" s="155">
        <f t="shared" si="36"/>
        <v>0.38974358974358975</v>
      </c>
      <c r="CA32" s="155">
        <f t="shared" si="37"/>
        <v>0.61025641025641031</v>
      </c>
      <c r="CB32" t="str">
        <f t="shared" si="38"/>
        <v>Exterior Lighting: Walkway - CFL 26W</v>
      </c>
      <c r="CC32" t="str">
        <f t="shared" si="1"/>
        <v>CFL 26W</v>
      </c>
      <c r="CD32" t="str">
        <f t="shared" si="2"/>
        <v>NR</v>
      </c>
      <c r="CE32" s="322" t="s">
        <v>988</v>
      </c>
      <c r="CF32" t="s">
        <v>88</v>
      </c>
      <c r="CG32" s="159">
        <f>VLOOKUP(CE32,Watt_Allocation,MATCH(CF32,'Watt Allocation'!$C$38:$K$38,0))</f>
        <v>4.2717310139836036</v>
      </c>
      <c r="CH32" s="364">
        <f t="shared" si="13"/>
        <v>0.20618556701030927</v>
      </c>
      <c r="CI32" s="159">
        <f t="shared" si="39"/>
        <v>0.88076928123373266</v>
      </c>
      <c r="CJ32" s="159">
        <f t="shared" si="40"/>
        <v>0.53749509982981636</v>
      </c>
      <c r="CK32" s="59">
        <f t="shared" si="41"/>
        <v>2.3112289292682102</v>
      </c>
      <c r="CL32" s="110">
        <f t="shared" si="42"/>
        <v>0.13553311531055059</v>
      </c>
      <c r="CM32" s="338">
        <f t="shared" si="43"/>
        <v>5.8641146964815635E-2</v>
      </c>
      <c r="CN32" s="305">
        <f t="shared" si="44"/>
        <v>5.8641146964815628E-2</v>
      </c>
      <c r="CO32" s="362">
        <f t="shared" si="45"/>
        <v>3.3875741585912798E-2</v>
      </c>
      <c r="CP32" s="362">
        <f t="shared" si="46"/>
        <v>3.3875741585912798E-2</v>
      </c>
      <c r="CQ32" s="155">
        <f t="shared" si="47"/>
        <v>2.523104867286587E-2</v>
      </c>
      <c r="CR32" s="362">
        <f t="shared" si="48"/>
        <v>3.3875741585912798E-2</v>
      </c>
      <c r="CS32" s="366">
        <f t="shared" si="49"/>
        <v>3.3875741585912798E-2</v>
      </c>
      <c r="CT32" s="314">
        <f>CT31</f>
        <v>0.17916666666666667</v>
      </c>
      <c r="CU32" s="312"/>
      <c r="CV32" s="312"/>
      <c r="CW32" s="118">
        <f>$CW$11*CK32/8760/1000</f>
        <v>0.87066843225857238</v>
      </c>
    </row>
    <row r="33" spans="9:101" ht="12.75" customHeight="1">
      <c r="K33" s="107"/>
      <c r="L33" s="107"/>
      <c r="P33" s="108"/>
      <c r="Q33" s="108"/>
      <c r="R33" s="108"/>
      <c r="S33" s="108"/>
      <c r="T33" s="108"/>
      <c r="U33" s="118"/>
      <c r="Z33" t="s">
        <v>162</v>
      </c>
      <c r="AA33">
        <v>150</v>
      </c>
      <c r="AB33" s="129"/>
      <c r="AC33" s="141" t="s">
        <v>261</v>
      </c>
      <c r="AD33" s="141"/>
      <c r="AE33" s="141"/>
      <c r="AF33" s="115">
        <v>37.03</v>
      </c>
      <c r="AG33" s="105">
        <f t="shared" si="75"/>
        <v>36.067219999999999</v>
      </c>
      <c r="AH33" s="115"/>
      <c r="AI33" t="s">
        <v>181</v>
      </c>
      <c r="AJ33" s="114" t="s">
        <v>260</v>
      </c>
      <c r="AK33" s="141" t="s">
        <v>237</v>
      </c>
      <c r="AL33" s="113"/>
      <c r="AM33" t="str">
        <f t="shared" si="14"/>
        <v>INC 75W-NR</v>
      </c>
      <c r="AN33" s="173" t="str">
        <f t="shared" si="71"/>
        <v>Exterior Lighting: Walkway</v>
      </c>
      <c r="AO33" s="173" t="str">
        <f t="shared" si="76"/>
        <v>INC 75W</v>
      </c>
      <c r="AP33" s="173" t="s">
        <v>303</v>
      </c>
      <c r="AQ33" s="173" t="str">
        <f t="shared" si="55"/>
        <v>Exterior Lighting: Walkway - INC 75W - NR</v>
      </c>
      <c r="AR33" s="173" t="str">
        <f t="shared" si="60"/>
        <v>INC 75W</v>
      </c>
      <c r="AS33" s="173" t="str">
        <f>$J$67</f>
        <v>LED 12W</v>
      </c>
      <c r="AT33" s="173" t="str">
        <f t="shared" si="19"/>
        <v>Exterior Lighting: Walkway - INC 75W to LED 12W - NR</v>
      </c>
      <c r="AU33" s="174">
        <v>4300</v>
      </c>
      <c r="AV33" s="174">
        <f t="shared" si="68"/>
        <v>1000</v>
      </c>
      <c r="AW33" s="175">
        <f>INDEX($AA$65:$AK$66,MATCH($AR33,$Z$65:$Z$66,0),MATCH(AW$11,$AA$50:$AK$50,0))</f>
        <v>75</v>
      </c>
      <c r="AX33" s="175">
        <f t="shared" si="69"/>
        <v>10.133333333333333</v>
      </c>
      <c r="AY33" s="176">
        <f t="shared" si="20"/>
        <v>0.86488888888888904</v>
      </c>
      <c r="AZ33" s="174">
        <f t="shared" si="6"/>
        <v>322.5</v>
      </c>
      <c r="BA33" s="174">
        <f t="shared" si="7"/>
        <v>43.573333333333331</v>
      </c>
      <c r="BB33" s="157">
        <f t="shared" si="21"/>
        <v>278.92666666666668</v>
      </c>
      <c r="BC33" s="180">
        <f>INDEX($AA$65:$AK$66,MATCH($AR33,$Z$65:$Z$66,0),MATCH(BC$11,$AA$50:$AK$50,0))</f>
        <v>0.67205999999999988</v>
      </c>
      <c r="BD33" s="182">
        <f>INDEX($K$52:$X$67,MATCH($AS33,$J$52:$J$67,0),MATCH(BD$11,$K$50:$X$50,0))</f>
        <v>5.4510599869194873</v>
      </c>
      <c r="BE33" s="390"/>
      <c r="BF33" s="390"/>
      <c r="BG33" s="182">
        <f>BD33-BC33</f>
        <v>4.7789999869194872</v>
      </c>
      <c r="BH33" s="174">
        <f>INDEX($AA$65:$AK$66,MATCH($AR33,$Z$65:$Z$66,0),MATCH(BH$11,$AA$50:$AK$50,0))</f>
        <v>1000</v>
      </c>
      <c r="BI33" s="174">
        <f t="shared" si="70"/>
        <v>28708</v>
      </c>
      <c r="BJ33" s="178">
        <f t="shared" si="23"/>
        <v>0.23255813953488372</v>
      </c>
      <c r="BK33" s="163">
        <f t="shared" si="24"/>
        <v>6.6762790697674417</v>
      </c>
      <c r="BL33" s="179">
        <v>8.3333333333333329E-2</v>
      </c>
      <c r="BM33" s="173">
        <v>0.25</v>
      </c>
      <c r="BN33" s="182">
        <f t="shared" si="72"/>
        <v>8.3333333333333321</v>
      </c>
      <c r="BO33" s="182">
        <f t="shared" si="73"/>
        <v>25</v>
      </c>
      <c r="BP33" s="177">
        <v>0</v>
      </c>
      <c r="BQ33" s="186">
        <f t="shared" si="28"/>
        <v>4.7789999869194872</v>
      </c>
      <c r="BR33" s="182">
        <f t="shared" si="29"/>
        <v>0.67205999999999988</v>
      </c>
      <c r="BS33" s="182">
        <f t="shared" si="30"/>
        <v>8.3333333333333321</v>
      </c>
      <c r="BT33" s="167">
        <f t="shared" si="31"/>
        <v>9.0053933333333323</v>
      </c>
      <c r="BU33" s="163">
        <f t="shared" si="32"/>
        <v>0.23255813953488372</v>
      </c>
      <c r="BV33" s="171" t="s">
        <v>369</v>
      </c>
      <c r="BW33" s="183" t="str">
        <f t="shared" si="33"/>
        <v>L</v>
      </c>
      <c r="BX33" s="161">
        <f t="shared" si="34"/>
        <v>7.367420329269507E-2</v>
      </c>
      <c r="BY33" s="110">
        <f t="shared" si="35"/>
        <v>6.3719999825593163E-2</v>
      </c>
      <c r="BZ33" s="155">
        <f t="shared" si="36"/>
        <v>0.1351111111111111</v>
      </c>
      <c r="CA33" s="155">
        <f t="shared" si="37"/>
        <v>0.86488888888888904</v>
      </c>
      <c r="CB33" t="str">
        <f t="shared" si="38"/>
        <v>Exterior Lighting: Walkway - INC 75W</v>
      </c>
      <c r="CC33" t="str">
        <f t="shared" si="1"/>
        <v>INC 75W</v>
      </c>
      <c r="CD33" t="str">
        <f t="shared" si="2"/>
        <v>NR</v>
      </c>
      <c r="CE33" s="322" t="s">
        <v>988</v>
      </c>
      <c r="CF33" t="s">
        <v>111</v>
      </c>
      <c r="CG33" s="159">
        <f>VLOOKUP(CE33,Watt_Allocation,MATCH(CF33,'Watt Allocation'!$C$38:$K$38,0))</f>
        <v>3.7289401276903824</v>
      </c>
      <c r="CH33" s="365">
        <f t="shared" si="13"/>
        <v>0.12371134020618556</v>
      </c>
      <c r="CI33" s="159">
        <f t="shared" si="39"/>
        <v>0.46131218074520192</v>
      </c>
      <c r="CJ33" s="159">
        <f t="shared" si="40"/>
        <v>0.39898377943562802</v>
      </c>
      <c r="CK33" s="59">
        <f t="shared" si="41"/>
        <v>1.7156302515732005</v>
      </c>
      <c r="CL33" s="110">
        <f t="shared" si="42"/>
        <v>2.9394812076628269E-2</v>
      </c>
      <c r="CM33" s="338">
        <f t="shared" si="43"/>
        <v>1.7133535649463971E-2</v>
      </c>
      <c r="CN33" s="305">
        <f t="shared" si="44"/>
        <v>1.7133535649463971E-2</v>
      </c>
      <c r="CO33" s="362">
        <f t="shared" si="45"/>
        <v>6.150829076602693E-3</v>
      </c>
      <c r="CP33" s="362">
        <f t="shared" si="46"/>
        <v>6.1508290766026921E-3</v>
      </c>
      <c r="CQ33" s="155">
        <f t="shared" si="47"/>
        <v>2.2025045479682405E-2</v>
      </c>
      <c r="CR33" s="362">
        <f t="shared" si="48"/>
        <v>6.150829076602693E-3</v>
      </c>
      <c r="CS33" s="366">
        <f t="shared" si="49"/>
        <v>6.150829076602693E-3</v>
      </c>
      <c r="CT33" s="314">
        <v>1</v>
      </c>
      <c r="CU33" s="312"/>
      <c r="CV33" s="312"/>
      <c r="CW33" s="118">
        <f>$CW$11*CK33/8760/1000</f>
        <v>0.64629906737346599</v>
      </c>
    </row>
    <row r="34" spans="9:101">
      <c r="U34" s="118"/>
      <c r="Z34" t="s">
        <v>162</v>
      </c>
      <c r="AA34">
        <v>150</v>
      </c>
      <c r="AB34" s="129"/>
      <c r="AC34" s="141" t="s">
        <v>262</v>
      </c>
      <c r="AD34" s="141"/>
      <c r="AE34" s="141"/>
      <c r="AF34" s="112">
        <v>35.28</v>
      </c>
      <c r="AG34" s="105">
        <f t="shared" si="75"/>
        <v>34.362720000000003</v>
      </c>
      <c r="AH34" s="112"/>
      <c r="AI34" t="s">
        <v>181</v>
      </c>
      <c r="AJ34" s="114" t="s">
        <v>263</v>
      </c>
      <c r="AK34" s="141" t="s">
        <v>237</v>
      </c>
      <c r="AL34" s="113"/>
      <c r="AM34" t="str">
        <f t="shared" si="14"/>
        <v>HID 150W-Retro</v>
      </c>
      <c r="AN34" s="173" t="str">
        <f t="shared" si="71"/>
        <v>Exterior Lighting: Walkway</v>
      </c>
      <c r="AO34" s="173" t="str">
        <f t="shared" si="76"/>
        <v>HID 150W</v>
      </c>
      <c r="AP34" s="173" t="s">
        <v>304</v>
      </c>
      <c r="AQ34" s="173" t="str">
        <f t="shared" si="55"/>
        <v>Exterior Lighting: Walkway - HID 150W - Retro</v>
      </c>
      <c r="AR34" s="173" t="str">
        <f t="shared" si="60"/>
        <v>HID 150W</v>
      </c>
      <c r="AS34" s="173" t="str">
        <f>$J$65</f>
        <v>LED 29W</v>
      </c>
      <c r="AT34" s="173" t="str">
        <f t="shared" si="19"/>
        <v>Exterior Lighting: Walkway - HID 150W to LED 29W - Retro</v>
      </c>
      <c r="AU34" s="174">
        <v>4300</v>
      </c>
      <c r="AV34" s="174">
        <f t="shared" si="68"/>
        <v>3355.916666666667</v>
      </c>
      <c r="AW34" s="175">
        <f>INDEX($AA$52:$AK$57,MATCH(CONCATENATE("Avg ",$AR34),$Z$52:$Z$57,0),MATCH(AW$11,$AA$50:$AK$50,0))</f>
        <v>178.25</v>
      </c>
      <c r="AX34" s="175">
        <f t="shared" si="69"/>
        <v>29.374149659863942</v>
      </c>
      <c r="AY34" s="176">
        <f t="shared" si="20"/>
        <v>0.83520813655055293</v>
      </c>
      <c r="AZ34" s="174">
        <f t="shared" si="6"/>
        <v>766.47499999999991</v>
      </c>
      <c r="BA34" s="174">
        <f t="shared" si="7"/>
        <v>126.30884353741496</v>
      </c>
      <c r="BB34" s="157">
        <f t="shared" si="21"/>
        <v>640.16615646258492</v>
      </c>
      <c r="BC34" s="180">
        <f>INDEX($AA$59:$AK$62,MATCH(CONCATENATE("Avg ",$AR34),$Z$59:$Z$62,0),MATCH(BC$11,$AA$50:$AK$50,0))</f>
        <v>30.999173333333335</v>
      </c>
      <c r="BD34" s="182">
        <f>INDEX($K$61:$X$63,MATCH($J$63,$J$61:$J$63,0),MATCH(BD$11,$K$50:$X$50,0))</f>
        <v>125.15165086401556</v>
      </c>
      <c r="BE34" s="177">
        <f>INDEX($AA$52:$AK$57,MATCH(CONCATENATE("Avg ",$AR34),$Z$52:$Z$57,0),MATCH(BE$11,$AA$50:$AK$50,0))</f>
        <v>178.58874399999999</v>
      </c>
      <c r="BF34" s="177">
        <f>INDEX($K$52:$X$58,MATCH($AS$28,$J$52:$J$58,0),MATCH(BF$11,$K$50:$X$50,0))</f>
        <v>185.259506250687</v>
      </c>
      <c r="BG34" s="182">
        <f t="shared" ref="BG34" si="77">IF(AP34="New",BF34-BE34,IF(AP34="NR",BF34-BC34,IF(AP34="Retro",BF34,"ERROR")))</f>
        <v>185.259506250687</v>
      </c>
      <c r="BH34" s="174">
        <f>INDEX($AA$52:$AK$57,MATCH(CONCATENATE("Avg ",$AR34),$Z$52:$Z$57,0),MATCH(BH$11,$AA$50:$AK$50,0))</f>
        <v>24000</v>
      </c>
      <c r="BI34" s="174">
        <f t="shared" si="70"/>
        <v>61000</v>
      </c>
      <c r="BJ34" s="178">
        <f t="shared" si="23"/>
        <v>5.5813953488372094</v>
      </c>
      <c r="BK34" s="163">
        <f t="shared" si="24"/>
        <v>14.186046511627907</v>
      </c>
      <c r="BL34" s="179">
        <v>8.3333333333333329E-2</v>
      </c>
      <c r="BM34" s="173">
        <v>0.25</v>
      </c>
      <c r="BN34" s="182">
        <f t="shared" si="72"/>
        <v>8.3333333333333321</v>
      </c>
      <c r="BO34" s="182">
        <f t="shared" si="73"/>
        <v>25</v>
      </c>
      <c r="BP34" s="177">
        <f>BO34</f>
        <v>25</v>
      </c>
      <c r="BQ34" s="186">
        <f t="shared" si="28"/>
        <v>210.259506250687</v>
      </c>
      <c r="BR34" s="182">
        <f t="shared" si="29"/>
        <v>30.999173333333335</v>
      </c>
      <c r="BS34" s="182">
        <f t="shared" si="30"/>
        <v>8.3333333333333321</v>
      </c>
      <c r="BT34" s="167">
        <f t="shared" si="31"/>
        <v>39.332506666666667</v>
      </c>
      <c r="BU34" s="163">
        <f t="shared" si="32"/>
        <v>5.5813953488372094</v>
      </c>
      <c r="BV34" s="171" t="s">
        <v>369</v>
      </c>
      <c r="BW34" s="183" t="str">
        <f t="shared" si="33"/>
        <v>R</v>
      </c>
      <c r="BX34" s="161">
        <f t="shared" si="34"/>
        <v>1.4123143933036013</v>
      </c>
      <c r="BY34" s="110">
        <f t="shared" si="35"/>
        <v>1.1795764726546254</v>
      </c>
      <c r="BZ34" s="155">
        <f t="shared" si="36"/>
        <v>0.16479186344944707</v>
      </c>
      <c r="CA34" s="155">
        <f t="shared" si="37"/>
        <v>0.83520813655055293</v>
      </c>
      <c r="CB34" t="str">
        <f t="shared" si="38"/>
        <v>Exterior Lighting: Walkway - HID 150W</v>
      </c>
      <c r="CC34" t="str">
        <f t="shared" si="1"/>
        <v>HID 150W</v>
      </c>
      <c r="CD34" t="str">
        <f t="shared" si="2"/>
        <v>Retro</v>
      </c>
      <c r="CE34" s="322" t="s">
        <v>988</v>
      </c>
      <c r="CF34" t="s">
        <v>91</v>
      </c>
      <c r="CG34" s="159">
        <f>VLOOKUP(CE34,Watt_Allocation,MATCH(CF34,'Watt Allocation'!$C$38:$K$38,0))</f>
        <v>20.017342078658384</v>
      </c>
      <c r="CH34" s="363">
        <f t="shared" si="13"/>
        <v>0.67010309278350511</v>
      </c>
      <c r="CI34" s="159">
        <f t="shared" si="39"/>
        <v>13.413682836214379</v>
      </c>
      <c r="CJ34" s="159">
        <f t="shared" si="40"/>
        <v>11.203217045914748</v>
      </c>
      <c r="CK34" s="59">
        <f t="shared" si="41"/>
        <v>48.173833297433418</v>
      </c>
      <c r="CL34" s="110">
        <f t="shared" si="42"/>
        <v>15.822464685249653</v>
      </c>
      <c r="CM34" s="338">
        <f t="shared" si="43"/>
        <v>0.32844520774502356</v>
      </c>
      <c r="CN34" s="305">
        <f t="shared" si="44"/>
        <v>0.32844520774502362</v>
      </c>
      <c r="CO34" s="362">
        <f t="shared" si="45"/>
        <v>7.5252077622521091E-2</v>
      </c>
      <c r="CP34" s="362">
        <f t="shared" si="46"/>
        <v>7.5252077622521077E-2</v>
      </c>
      <c r="CQ34" s="155">
        <f t="shared" si="47"/>
        <v>0.11823275637785145</v>
      </c>
      <c r="CR34" s="362">
        <f t="shared" si="48"/>
        <v>7.5252077622521091E-2</v>
      </c>
      <c r="CS34" s="366">
        <f t="shared" si="49"/>
        <v>7.5252077622521091E-2</v>
      </c>
      <c r="CT34" s="312"/>
      <c r="CU34" s="312"/>
      <c r="CV34" s="312"/>
      <c r="CW34" s="118"/>
    </row>
    <row r="35" spans="9:101">
      <c r="Z35" s="138" t="str">
        <f>CONCATENATE("Avg ",Z34)</f>
        <v>Avg HID 150W</v>
      </c>
      <c r="AB35" s="136">
        <f>AB30</f>
        <v>178.25</v>
      </c>
      <c r="AC35" s="138"/>
      <c r="AD35" s="138"/>
      <c r="AE35" s="138"/>
      <c r="AF35" s="139"/>
      <c r="AG35" s="135">
        <f>AVERAGE(AG32:AG34)</f>
        <v>30.999173333333335</v>
      </c>
      <c r="AH35" s="140">
        <v>24000</v>
      </c>
      <c r="AL35" s="113"/>
      <c r="AM35" t="str">
        <f t="shared" si="14"/>
        <v>CFL 26W-Retro</v>
      </c>
      <c r="AN35" s="173" t="str">
        <f t="shared" si="71"/>
        <v>Exterior Lighting: Walkway</v>
      </c>
      <c r="AO35" s="173" t="str">
        <f t="shared" si="76"/>
        <v>CFL 26W</v>
      </c>
      <c r="AP35" s="173" t="s">
        <v>304</v>
      </c>
      <c r="AQ35" s="173" t="str">
        <f t="shared" si="55"/>
        <v>Exterior Lighting: Walkway - CFL 26W - Retro</v>
      </c>
      <c r="AR35" s="173" t="str">
        <f t="shared" si="60"/>
        <v>CFL 26W</v>
      </c>
      <c r="AS35" s="173" t="str">
        <f>$J$67</f>
        <v>LED 12W</v>
      </c>
      <c r="AT35" s="173" t="str">
        <f t="shared" si="19"/>
        <v>Exterior Lighting: Walkway - CFL 26W to LED 12W - Retro</v>
      </c>
      <c r="AU35" s="174">
        <v>4300</v>
      </c>
      <c r="AV35" s="174">
        <f t="shared" si="68"/>
        <v>1000</v>
      </c>
      <c r="AW35" s="175">
        <f>INDEX($AA$65:$AK$66,MATCH($AR35,$Z$65:$Z$66,0),MATCH(AW$11,$AA$50:$AK$50,0))</f>
        <v>26</v>
      </c>
      <c r="AX35" s="175">
        <f t="shared" si="69"/>
        <v>10.133333333333333</v>
      </c>
      <c r="AY35" s="176">
        <f t="shared" si="20"/>
        <v>0.61025641025641031</v>
      </c>
      <c r="AZ35" s="174">
        <f t="shared" si="6"/>
        <v>111.8</v>
      </c>
      <c r="BA35" s="174">
        <f t="shared" si="7"/>
        <v>43.573333333333331</v>
      </c>
      <c r="BB35" s="157">
        <f t="shared" si="21"/>
        <v>68.226666666666659</v>
      </c>
      <c r="BC35" s="180">
        <f>INDEX($AA$65:$AK$66,MATCH($AR35,$Z$65:$Z$66,0),MATCH(BC$11,$AA$50:$AK$50,0))</f>
        <v>1.45017</v>
      </c>
      <c r="BD35" s="182">
        <f>INDEX($K$52:$X$67,MATCH($AS35,$J$52:$J$67,0),MATCH(BD$11,$K$50:$X$50,0))</f>
        <v>5.4510599869194873</v>
      </c>
      <c r="BE35" s="390" t="s">
        <v>384</v>
      </c>
      <c r="BF35" s="390"/>
      <c r="BG35" s="182">
        <f>BD35</f>
        <v>5.4510599869194873</v>
      </c>
      <c r="BH35" s="174">
        <f>INDEX($AA$65:$AK$66,MATCH($AR35,$Z$65:$Z$66,0),MATCH(BH$11,$AA$50:$AK$50,0))</f>
        <v>10000</v>
      </c>
      <c r="BI35" s="174">
        <f t="shared" si="70"/>
        <v>28708</v>
      </c>
      <c r="BJ35" s="178">
        <f t="shared" si="23"/>
        <v>2.3255813953488373</v>
      </c>
      <c r="BK35" s="163">
        <f t="shared" si="24"/>
        <v>6.6762790697674417</v>
      </c>
      <c r="BL35" s="179">
        <v>8.3333333333333329E-2</v>
      </c>
      <c r="BM35" s="173">
        <v>0.25</v>
      </c>
      <c r="BN35" s="182">
        <f t="shared" si="72"/>
        <v>8.3333333333333321</v>
      </c>
      <c r="BO35" s="182">
        <f t="shared" si="73"/>
        <v>25</v>
      </c>
      <c r="BP35" s="177">
        <f t="shared" ref="BP35:BP36" si="78">BO35</f>
        <v>25</v>
      </c>
      <c r="BQ35" s="186">
        <f t="shared" si="28"/>
        <v>30.451059986919489</v>
      </c>
      <c r="BR35" s="182">
        <f t="shared" si="29"/>
        <v>1.45017</v>
      </c>
      <c r="BS35" s="182">
        <f t="shared" si="30"/>
        <v>8.3333333333333321</v>
      </c>
      <c r="BT35" s="167">
        <f t="shared" si="31"/>
        <v>9.7835033333333321</v>
      </c>
      <c r="BU35" s="163">
        <f t="shared" si="32"/>
        <v>2.3255813953488373</v>
      </c>
      <c r="BV35" s="171" t="s">
        <v>369</v>
      </c>
      <c r="BW35" s="183" t="str">
        <f t="shared" si="33"/>
        <v>R</v>
      </c>
      <c r="BX35" s="161">
        <f t="shared" si="34"/>
        <v>1.9191844529571107</v>
      </c>
      <c r="BY35" s="110">
        <f t="shared" si="35"/>
        <v>1.1711946148815189</v>
      </c>
      <c r="BZ35" s="155">
        <f t="shared" si="36"/>
        <v>0.38974358974358975</v>
      </c>
      <c r="CA35" s="155">
        <f t="shared" si="37"/>
        <v>0.61025641025641031</v>
      </c>
      <c r="CB35" t="str">
        <f t="shared" si="38"/>
        <v>Exterior Lighting: Walkway - CFL 26W</v>
      </c>
      <c r="CC35" t="str">
        <f t="shared" si="1"/>
        <v>CFL 26W</v>
      </c>
      <c r="CD35" t="str">
        <f t="shared" si="2"/>
        <v>Retro</v>
      </c>
      <c r="CE35" s="322" t="s">
        <v>988</v>
      </c>
      <c r="CF35" t="s">
        <v>88</v>
      </c>
      <c r="CG35" s="159">
        <f>VLOOKUP(CE35,Watt_Allocation,MATCH(CF35,'Watt Allocation'!$C$38:$K$38,0))</f>
        <v>4.2717310139836036</v>
      </c>
      <c r="CH35" s="364">
        <f t="shared" si="13"/>
        <v>0.20618556701030927</v>
      </c>
      <c r="CI35" s="159">
        <f t="shared" si="39"/>
        <v>0.88076928123373266</v>
      </c>
      <c r="CJ35" s="159">
        <f t="shared" si="40"/>
        <v>0.53749509982981636</v>
      </c>
      <c r="CK35" s="59">
        <f t="shared" si="41"/>
        <v>2.3112289292682102</v>
      </c>
      <c r="CL35" s="110">
        <f t="shared" si="42"/>
        <v>1.0315522391340137</v>
      </c>
      <c r="CM35" s="338">
        <f t="shared" si="43"/>
        <v>0.44632196580397926</v>
      </c>
      <c r="CN35" s="305">
        <f t="shared" si="44"/>
        <v>0.44632196580397926</v>
      </c>
      <c r="CO35" s="362">
        <f t="shared" si="45"/>
        <v>3.3875741585912798E-2</v>
      </c>
      <c r="CP35" s="362">
        <f t="shared" si="46"/>
        <v>3.3875741585912798E-2</v>
      </c>
      <c r="CQ35" s="155">
        <f t="shared" si="47"/>
        <v>2.523104867286587E-2</v>
      </c>
      <c r="CR35" s="362">
        <f t="shared" si="48"/>
        <v>3.3875741585912798E-2</v>
      </c>
      <c r="CS35" s="366">
        <f t="shared" si="49"/>
        <v>3.3875741585912798E-2</v>
      </c>
      <c r="CT35" s="312"/>
      <c r="CU35" s="312"/>
      <c r="CV35" s="312"/>
      <c r="CW35" s="118"/>
    </row>
    <row r="36" spans="9:101">
      <c r="AL36" s="113"/>
      <c r="AM36" t="str">
        <f t="shared" si="14"/>
        <v>INC 75W-Retro</v>
      </c>
      <c r="AN36" s="173" t="str">
        <f t="shared" si="71"/>
        <v>Exterior Lighting: Walkway</v>
      </c>
      <c r="AO36" s="173" t="str">
        <f t="shared" si="76"/>
        <v>INC 75W</v>
      </c>
      <c r="AP36" s="173" t="s">
        <v>304</v>
      </c>
      <c r="AQ36" s="173" t="str">
        <f t="shared" si="55"/>
        <v>Exterior Lighting: Walkway - INC 75W - Retro</v>
      </c>
      <c r="AR36" s="173" t="str">
        <f t="shared" si="60"/>
        <v>INC 75W</v>
      </c>
      <c r="AS36" s="173" t="str">
        <f>$J$67</f>
        <v>LED 12W</v>
      </c>
      <c r="AT36" s="173" t="str">
        <f t="shared" si="19"/>
        <v>Exterior Lighting: Walkway - INC 75W to LED 12W - Retro</v>
      </c>
      <c r="AU36" s="174">
        <v>4300</v>
      </c>
      <c r="AV36" s="174">
        <f t="shared" si="68"/>
        <v>1000</v>
      </c>
      <c r="AW36" s="175">
        <f>INDEX($AA$65:$AK$66,MATCH($AR36,$Z$65:$Z$66,0),MATCH(AW$11,$AA$50:$AK$50,0))</f>
        <v>75</v>
      </c>
      <c r="AX36" s="175">
        <f t="shared" si="69"/>
        <v>10.133333333333333</v>
      </c>
      <c r="AY36" s="176">
        <f t="shared" si="20"/>
        <v>0.86488888888888904</v>
      </c>
      <c r="AZ36" s="174">
        <f t="shared" si="6"/>
        <v>322.5</v>
      </c>
      <c r="BA36" s="174">
        <f t="shared" si="7"/>
        <v>43.573333333333331</v>
      </c>
      <c r="BB36" s="157">
        <f t="shared" si="21"/>
        <v>278.92666666666668</v>
      </c>
      <c r="BC36" s="180">
        <f>INDEX($AA$65:$AK$66,MATCH($AR36,$Z$65:$Z$66,0),MATCH(BC$11,$AA$50:$AK$50,0))</f>
        <v>0.67205999999999988</v>
      </c>
      <c r="BD36" s="182">
        <f>INDEX($K$52:$X$67,MATCH($AS36,$J$52:$J$67,0),MATCH(BD$11,$K$50:$X$50,0))</f>
        <v>5.4510599869194873</v>
      </c>
      <c r="BE36" s="390"/>
      <c r="BF36" s="390"/>
      <c r="BG36" s="182">
        <f>BD36</f>
        <v>5.4510599869194873</v>
      </c>
      <c r="BH36" s="174">
        <f>INDEX($AA$65:$AK$66,MATCH($AR36,$Z$65:$Z$66,0),MATCH(BH$11,$AA$50:$AK$50,0))</f>
        <v>1000</v>
      </c>
      <c r="BI36" s="174">
        <f t="shared" si="70"/>
        <v>28708</v>
      </c>
      <c r="BJ36" s="178">
        <f t="shared" si="23"/>
        <v>0.23255813953488372</v>
      </c>
      <c r="BK36" s="163">
        <f t="shared" si="24"/>
        <v>6.6762790697674417</v>
      </c>
      <c r="BL36" s="179">
        <v>8.3333333333333329E-2</v>
      </c>
      <c r="BM36" s="173">
        <v>0.25</v>
      </c>
      <c r="BN36" s="182">
        <f t="shared" si="72"/>
        <v>8.3333333333333321</v>
      </c>
      <c r="BO36" s="182">
        <f t="shared" si="73"/>
        <v>25</v>
      </c>
      <c r="BP36" s="177">
        <f t="shared" si="78"/>
        <v>25</v>
      </c>
      <c r="BQ36" s="186">
        <f t="shared" si="28"/>
        <v>30.451059986919489</v>
      </c>
      <c r="BR36" s="182">
        <f t="shared" si="29"/>
        <v>0.67205999999999988</v>
      </c>
      <c r="BS36" s="182">
        <f t="shared" si="30"/>
        <v>8.3333333333333321</v>
      </c>
      <c r="BT36" s="167">
        <f t="shared" si="31"/>
        <v>9.0053933333333323</v>
      </c>
      <c r="BU36" s="163">
        <f t="shared" si="32"/>
        <v>0.23255813953488372</v>
      </c>
      <c r="BV36" s="171" t="s">
        <v>369</v>
      </c>
      <c r="BW36" s="183" t="str">
        <f t="shared" si="33"/>
        <v>R</v>
      </c>
      <c r="BX36" s="161">
        <f t="shared" si="34"/>
        <v>0.46944080144274641</v>
      </c>
      <c r="BY36" s="110">
        <f t="shared" si="35"/>
        <v>0.40601413315892654</v>
      </c>
      <c r="BZ36" s="155">
        <f t="shared" si="36"/>
        <v>0.1351111111111111</v>
      </c>
      <c r="CA36" s="155">
        <f t="shared" si="37"/>
        <v>0.86488888888888904</v>
      </c>
      <c r="CB36" t="str">
        <f t="shared" si="38"/>
        <v>Exterior Lighting: Walkway - INC 75W</v>
      </c>
      <c r="CC36" t="str">
        <f t="shared" si="1"/>
        <v>INC 75W</v>
      </c>
      <c r="CD36" t="str">
        <f t="shared" si="2"/>
        <v>Retro</v>
      </c>
      <c r="CE36" s="322" t="s">
        <v>988</v>
      </c>
      <c r="CF36" t="s">
        <v>111</v>
      </c>
      <c r="CG36" s="159">
        <f>VLOOKUP(CE36,Watt_Allocation,MATCH(CF36,'Watt Allocation'!$C$38:$K$38,0))</f>
        <v>3.7289401276903824</v>
      </c>
      <c r="CH36" s="365">
        <f t="shared" si="13"/>
        <v>0.12371134020618556</v>
      </c>
      <c r="CI36" s="159">
        <f t="shared" si="39"/>
        <v>0.46131218074520192</v>
      </c>
      <c r="CJ36" s="159">
        <f t="shared" si="40"/>
        <v>0.39898377943562802</v>
      </c>
      <c r="CK36" s="59">
        <f t="shared" si="41"/>
        <v>1.7156302515732005</v>
      </c>
      <c r="CL36" s="110">
        <f t="shared" si="42"/>
        <v>0.18729926518091719</v>
      </c>
      <c r="CM36" s="338">
        <f t="shared" si="43"/>
        <v>0.10917227940528987</v>
      </c>
      <c r="CN36" s="305">
        <f t="shared" si="44"/>
        <v>0.10917227940528988</v>
      </c>
      <c r="CO36" s="362">
        <f t="shared" si="45"/>
        <v>6.150829076602693E-3</v>
      </c>
      <c r="CP36" s="362">
        <f t="shared" si="46"/>
        <v>6.1508290766026921E-3</v>
      </c>
      <c r="CQ36" s="155">
        <f t="shared" si="47"/>
        <v>2.2025045479682405E-2</v>
      </c>
      <c r="CR36" s="362">
        <f t="shared" si="48"/>
        <v>6.150829076602693E-3</v>
      </c>
      <c r="CS36" s="366">
        <f t="shared" si="49"/>
        <v>6.150829076602693E-3</v>
      </c>
      <c r="CT36" s="312"/>
      <c r="CU36" s="312"/>
      <c r="CV36" s="312"/>
      <c r="CW36" s="118"/>
    </row>
    <row r="37" spans="9:101">
      <c r="I37" t="s">
        <v>241</v>
      </c>
      <c r="P37" t="s">
        <v>242</v>
      </c>
      <c r="Q37" s="105"/>
      <c r="R37" t="s">
        <v>242</v>
      </c>
      <c r="S37" t="s">
        <v>242</v>
      </c>
      <c r="T37" t="s">
        <v>249</v>
      </c>
      <c r="U37" s="118"/>
      <c r="Z37" t="s">
        <v>241</v>
      </c>
      <c r="AA37" s="113"/>
      <c r="AB37" s="113"/>
      <c r="AC37" s="113"/>
      <c r="AD37" s="113"/>
      <c r="AE37" s="113"/>
      <c r="AF37" t="s">
        <v>242</v>
      </c>
      <c r="AG37" t="s">
        <v>242</v>
      </c>
      <c r="AH37" s="113"/>
      <c r="AI37" s="113"/>
      <c r="AJ37" s="113"/>
      <c r="AK37" s="113"/>
      <c r="AL37" s="113"/>
      <c r="AM37" s="113"/>
    </row>
    <row r="38" spans="9:101">
      <c r="I38" t="s">
        <v>169</v>
      </c>
      <c r="J38" t="s">
        <v>185</v>
      </c>
      <c r="K38">
        <v>85</v>
      </c>
      <c r="L38">
        <f t="shared" ref="L38:L41" si="79">K38</f>
        <v>85</v>
      </c>
      <c r="M38" t="s">
        <v>226</v>
      </c>
      <c r="N38">
        <v>7416</v>
      </c>
      <c r="O38" s="106">
        <f>N38/K38</f>
        <v>87.247058823529414</v>
      </c>
      <c r="P38" s="105">
        <v>435.75</v>
      </c>
      <c r="Q38" s="105">
        <f>$Q$8*P38/(N38/1000)</f>
        <v>57.230380258899672</v>
      </c>
      <c r="R38" s="105">
        <f>P38*$Q$8</f>
        <v>424.4205</v>
      </c>
      <c r="S38" s="105">
        <f t="shared" ref="S38:S41" si="80">$S$4*R38</f>
        <v>343.80517303255851</v>
      </c>
      <c r="T38" s="117">
        <f t="shared" ref="T38" si="81">$T$1*L38</f>
        <v>73.724489795918359</v>
      </c>
      <c r="U38" s="118">
        <v>72000</v>
      </c>
      <c r="V38" t="s">
        <v>181</v>
      </c>
      <c r="W38" s="104" t="s">
        <v>186</v>
      </c>
      <c r="X38" t="s">
        <v>206</v>
      </c>
      <c r="Z38" s="113" t="s">
        <v>169</v>
      </c>
      <c r="AA38" s="113">
        <v>400</v>
      </c>
      <c r="AB38" s="129">
        <f>AVERAGE(465,452)</f>
        <v>458.5</v>
      </c>
      <c r="AC38" s="113" t="s">
        <v>192</v>
      </c>
      <c r="AD38" s="113"/>
      <c r="AE38" s="113"/>
      <c r="AF38" s="112">
        <v>311.68</v>
      </c>
      <c r="AG38" s="105">
        <f>AF38*$Q$8</f>
        <v>303.57632000000001</v>
      </c>
      <c r="AH38" s="118"/>
      <c r="AI38" s="113" t="s">
        <v>181</v>
      </c>
      <c r="AJ38" s="114" t="s">
        <v>191</v>
      </c>
      <c r="AK38" s="113" t="s">
        <v>182</v>
      </c>
      <c r="AL38" s="113"/>
      <c r="AM38" s="113"/>
    </row>
    <row r="39" spans="9:101">
      <c r="I39" t="s">
        <v>169</v>
      </c>
      <c r="J39" t="s">
        <v>228</v>
      </c>
      <c r="K39">
        <v>104</v>
      </c>
      <c r="L39">
        <f t="shared" si="79"/>
        <v>104</v>
      </c>
      <c r="M39" t="s">
        <v>227</v>
      </c>
      <c r="N39">
        <v>6728</v>
      </c>
      <c r="O39" s="106">
        <f>N39/K39</f>
        <v>64.692307692307693</v>
      </c>
      <c r="P39" s="105">
        <v>430</v>
      </c>
      <c r="Q39" s="105">
        <f>$Q$8*P39/(N39/1000)</f>
        <v>62.250297265160526</v>
      </c>
      <c r="R39" s="105">
        <f>P39*$Q$8</f>
        <v>418.82</v>
      </c>
      <c r="S39" s="105">
        <f t="shared" si="80"/>
        <v>339.2684438416527</v>
      </c>
      <c r="T39" s="117">
        <f t="shared" ref="T39" si="82">$T$1*L39</f>
        <v>90.204081632653057</v>
      </c>
      <c r="U39" s="118">
        <v>100000</v>
      </c>
      <c r="V39" t="s">
        <v>181</v>
      </c>
      <c r="W39" s="104" t="s">
        <v>229</v>
      </c>
      <c r="X39" t="s">
        <v>206</v>
      </c>
      <c r="Z39" s="113" t="s">
        <v>169</v>
      </c>
      <c r="AA39" s="113">
        <v>400</v>
      </c>
      <c r="AC39" s="113" t="s">
        <v>193</v>
      </c>
      <c r="AD39" s="113"/>
      <c r="AE39" s="113"/>
      <c r="AF39" s="112">
        <v>286.02999999999997</v>
      </c>
      <c r="AG39" s="105">
        <f>AF39*$Q$8</f>
        <v>278.59321999999997</v>
      </c>
      <c r="AH39" s="118"/>
      <c r="AI39" s="113" t="s">
        <v>181</v>
      </c>
      <c r="AJ39" s="114" t="s">
        <v>194</v>
      </c>
      <c r="AK39" s="113" t="s">
        <v>182</v>
      </c>
      <c r="AL39" s="113"/>
      <c r="AM39" s="113"/>
    </row>
    <row r="40" spans="9:101">
      <c r="I40" t="s">
        <v>169</v>
      </c>
      <c r="J40" t="s">
        <v>185</v>
      </c>
      <c r="K40">
        <v>85</v>
      </c>
      <c r="L40">
        <f t="shared" si="79"/>
        <v>85</v>
      </c>
      <c r="M40" t="s">
        <v>230</v>
      </c>
      <c r="N40">
        <v>7192</v>
      </c>
      <c r="O40" s="106">
        <f>N40/K40</f>
        <v>84.611764705882351</v>
      </c>
      <c r="P40" s="105">
        <v>373.26</v>
      </c>
      <c r="Q40" s="105">
        <f>$Q$8*P40/(N40/1000)</f>
        <v>50.549949944382639</v>
      </c>
      <c r="R40" s="105">
        <f>P40*$Q$8</f>
        <v>363.55523999999997</v>
      </c>
      <c r="S40" s="105">
        <f t="shared" si="80"/>
        <v>294.50078918217508</v>
      </c>
      <c r="T40" s="117">
        <f t="shared" ref="T40" si="83">$T$1*L40</f>
        <v>73.724489795918359</v>
      </c>
      <c r="U40" s="118">
        <v>36000</v>
      </c>
      <c r="V40" t="s">
        <v>213</v>
      </c>
      <c r="W40" s="104" t="s">
        <v>231</v>
      </c>
      <c r="X40" t="s">
        <v>206</v>
      </c>
      <c r="Z40" s="113" t="s">
        <v>169</v>
      </c>
      <c r="AA40" s="113">
        <v>400</v>
      </c>
      <c r="AB40" s="113">
        <v>450</v>
      </c>
      <c r="AC40" s="113" t="s">
        <v>199</v>
      </c>
      <c r="AD40" s="113"/>
      <c r="AE40" s="113"/>
      <c r="AF40" s="112">
        <v>225</v>
      </c>
      <c r="AG40" s="105">
        <f>AF40*$Q$8</f>
        <v>219.15</v>
      </c>
      <c r="AH40" s="134">
        <v>20000</v>
      </c>
      <c r="AI40" s="113" t="s">
        <v>167</v>
      </c>
      <c r="AJ40" s="114" t="s">
        <v>200</v>
      </c>
      <c r="AK40" s="113" t="s">
        <v>182</v>
      </c>
      <c r="AL40" s="113"/>
      <c r="AM40" s="113"/>
    </row>
    <row r="41" spans="9:101">
      <c r="I41" t="s">
        <v>169</v>
      </c>
      <c r="J41" t="s">
        <v>185</v>
      </c>
      <c r="K41">
        <v>104</v>
      </c>
      <c r="L41">
        <f t="shared" si="79"/>
        <v>104</v>
      </c>
      <c r="M41" t="s">
        <v>233</v>
      </c>
      <c r="N41">
        <v>8916</v>
      </c>
      <c r="O41" s="106">
        <f>N41/K41</f>
        <v>85.730769230769226</v>
      </c>
      <c r="P41" s="105">
        <v>427.14</v>
      </c>
      <c r="Q41" s="105">
        <f>$Q$8*P41/(N41/1000)</f>
        <v>46.661547779273214</v>
      </c>
      <c r="R41" s="105">
        <f>P41*$Q$8</f>
        <v>416.03435999999999</v>
      </c>
      <c r="S41" s="105">
        <f t="shared" si="80"/>
        <v>337.0119141919152</v>
      </c>
      <c r="T41" s="117">
        <f t="shared" ref="T41" si="84">$T$1*L41</f>
        <v>90.204081632653057</v>
      </c>
      <c r="U41" s="118">
        <v>100000</v>
      </c>
      <c r="V41" t="s">
        <v>167</v>
      </c>
      <c r="W41" s="104" t="s">
        <v>232</v>
      </c>
      <c r="X41" t="s">
        <v>206</v>
      </c>
      <c r="Z41" s="113" t="s">
        <v>169</v>
      </c>
      <c r="AA41" s="113">
        <v>400</v>
      </c>
      <c r="AC41" s="113" t="s">
        <v>202</v>
      </c>
      <c r="AD41" s="113"/>
      <c r="AE41" s="113"/>
      <c r="AF41" s="112">
        <v>223.29</v>
      </c>
      <c r="AG41" s="105">
        <f>AF41*$Q$8</f>
        <v>217.48445999999998</v>
      </c>
      <c r="AI41" s="113" t="s">
        <v>167</v>
      </c>
      <c r="AJ41" s="114" t="s">
        <v>201</v>
      </c>
      <c r="AK41" s="113" t="s">
        <v>182</v>
      </c>
      <c r="AL41" s="113"/>
      <c r="AM41" s="113"/>
    </row>
    <row r="42" spans="9:101">
      <c r="J42" s="146" t="str">
        <f>CONCATENATE("LED ",TEXT(T42,"0"),"W")</f>
        <v>LED 82W</v>
      </c>
      <c r="N42" s="146">
        <f>AVERAGE(N37:N41)</f>
        <v>7563</v>
      </c>
      <c r="O42" s="106"/>
      <c r="P42" s="105"/>
      <c r="Q42" s="105"/>
      <c r="R42" s="231">
        <f>AVERAGE(R38:R41)</f>
        <v>405.70752500000003</v>
      </c>
      <c r="S42" s="135">
        <f>AVERAGE(S38:S41)</f>
        <v>328.64658006207537</v>
      </c>
      <c r="T42" s="136">
        <f>AVERAGE(T38:T41)</f>
        <v>81.964285714285708</v>
      </c>
      <c r="U42" s="137">
        <v>72000</v>
      </c>
      <c r="Z42" s="113" t="s">
        <v>169</v>
      </c>
      <c r="AA42" s="113">
        <v>400</v>
      </c>
      <c r="AB42" s="129">
        <f>AVERAGE(465,452)</f>
        <v>458.5</v>
      </c>
      <c r="AC42" s="141" t="s">
        <v>256</v>
      </c>
      <c r="AD42" s="141"/>
      <c r="AE42" s="141"/>
      <c r="AF42" s="142">
        <v>374.86</v>
      </c>
      <c r="AG42" s="105">
        <f>AF42*$Q$8</f>
        <v>365.11364000000003</v>
      </c>
      <c r="AI42" t="s">
        <v>213</v>
      </c>
      <c r="AJ42" s="104" t="s">
        <v>257</v>
      </c>
      <c r="AK42" s="113" t="s">
        <v>182</v>
      </c>
      <c r="AL42" s="113"/>
      <c r="AM42" s="113"/>
    </row>
    <row r="43" spans="9:101">
      <c r="O43" s="106"/>
      <c r="P43" s="105"/>
      <c r="Q43" s="105"/>
      <c r="R43" s="105"/>
      <c r="S43" s="105"/>
      <c r="T43" s="105"/>
      <c r="U43" s="105"/>
      <c r="W43" s="104"/>
      <c r="Z43" s="138" t="str">
        <f>CONCATENATE("Avg ",Z42)</f>
        <v>Avg HID 400W</v>
      </c>
      <c r="AB43" s="136">
        <f>AVERAGE(AB38:AB42)</f>
        <v>455.66666666666669</v>
      </c>
      <c r="AC43" s="138"/>
      <c r="AD43" s="138"/>
      <c r="AE43" s="138"/>
      <c r="AF43" s="139"/>
      <c r="AG43" s="135">
        <f>AVERAGE(AG38:AG42)</f>
        <v>276.78352800000005</v>
      </c>
      <c r="AH43" s="137">
        <v>16000</v>
      </c>
      <c r="AL43" s="113"/>
      <c r="AM43" s="113"/>
    </row>
    <row r="44" spans="9:101">
      <c r="K44" s="107"/>
      <c r="L44" s="107"/>
      <c r="Q44" s="108"/>
      <c r="R44" s="108"/>
      <c r="S44" s="108"/>
      <c r="T44" s="108"/>
      <c r="U44" s="108"/>
      <c r="V44" s="108"/>
      <c r="Z44" t="s">
        <v>234</v>
      </c>
      <c r="AF44" s="112" t="s">
        <v>236</v>
      </c>
      <c r="AG44" s="112" t="s">
        <v>236</v>
      </c>
    </row>
    <row r="45" spans="9:101">
      <c r="K45" s="106"/>
      <c r="L45" s="106"/>
      <c r="Q45" s="105"/>
      <c r="R45" s="105"/>
      <c r="S45" s="105"/>
      <c r="T45" s="105"/>
      <c r="U45" s="105"/>
      <c r="V45" s="105"/>
      <c r="Z45" s="113" t="s">
        <v>169</v>
      </c>
      <c r="AA45" s="113">
        <v>400</v>
      </c>
      <c r="AC45" t="s">
        <v>264</v>
      </c>
      <c r="AF45" s="142">
        <v>25.43</v>
      </c>
      <c r="AG45" s="105">
        <f t="shared" ref="AG45:AG47" si="85">AF45*$Q$8</f>
        <v>24.768819999999998</v>
      </c>
      <c r="AI45" t="s">
        <v>181</v>
      </c>
      <c r="AJ45" s="104" t="s">
        <v>265</v>
      </c>
      <c r="AK45" s="141" t="s">
        <v>237</v>
      </c>
    </row>
    <row r="46" spans="9:101">
      <c r="K46" s="106"/>
      <c r="L46" s="106"/>
      <c r="Q46" s="105"/>
      <c r="R46" s="105"/>
      <c r="S46" s="105"/>
      <c r="T46" s="105"/>
      <c r="U46" s="105"/>
      <c r="V46" s="105"/>
      <c r="Z46" s="113" t="s">
        <v>169</v>
      </c>
      <c r="AA46" s="113">
        <v>400</v>
      </c>
      <c r="AB46" s="106"/>
      <c r="AC46" t="s">
        <v>266</v>
      </c>
      <c r="AF46" s="105">
        <v>38.81</v>
      </c>
      <c r="AG46" s="105">
        <f t="shared" si="85"/>
        <v>37.800940000000004</v>
      </c>
      <c r="AH46" s="105"/>
      <c r="AI46" t="s">
        <v>181</v>
      </c>
      <c r="AJ46" s="104" t="s">
        <v>267</v>
      </c>
      <c r="AK46" s="141" t="s">
        <v>237</v>
      </c>
    </row>
    <row r="47" spans="9:101">
      <c r="K47" s="106"/>
      <c r="L47" s="106"/>
      <c r="Q47" s="105"/>
      <c r="R47" s="105"/>
      <c r="S47" s="105"/>
      <c r="T47" s="105"/>
      <c r="U47" s="105"/>
      <c r="V47" s="105"/>
      <c r="Z47" s="113" t="s">
        <v>169</v>
      </c>
      <c r="AA47" s="113">
        <v>400</v>
      </c>
      <c r="AB47" s="106"/>
      <c r="AC47" t="s">
        <v>268</v>
      </c>
      <c r="AF47" s="105">
        <v>23.33</v>
      </c>
      <c r="AG47" s="105">
        <f t="shared" si="85"/>
        <v>22.723419999999997</v>
      </c>
      <c r="AH47" s="105"/>
      <c r="AI47" t="s">
        <v>181</v>
      </c>
      <c r="AK47" s="141" t="s">
        <v>237</v>
      </c>
    </row>
    <row r="48" spans="9:101">
      <c r="Q48" s="105"/>
      <c r="R48" s="105"/>
      <c r="S48" s="105"/>
      <c r="T48" s="105"/>
      <c r="U48" s="105"/>
      <c r="V48" s="105"/>
      <c r="Z48" s="138" t="str">
        <f>CONCATENATE("Avg ",Z47)</f>
        <v>Avg HID 400W</v>
      </c>
      <c r="AB48" s="143">
        <f>AB43</f>
        <v>455.66666666666669</v>
      </c>
      <c r="AG48" s="135">
        <f>AVERAGE(AG45:AG47)</f>
        <v>28.431060000000002</v>
      </c>
      <c r="AH48" s="144">
        <f>$AH$43</f>
        <v>16000</v>
      </c>
    </row>
    <row r="49" spans="1:37">
      <c r="A49" s="58" t="s">
        <v>380</v>
      </c>
      <c r="Q49" s="105"/>
      <c r="R49" s="105"/>
      <c r="S49" s="105"/>
      <c r="T49" s="105"/>
      <c r="U49" s="105"/>
      <c r="V49" s="105"/>
    </row>
    <row r="50" spans="1:37" ht="51">
      <c r="A50" s="82" t="s">
        <v>152</v>
      </c>
      <c r="B50" s="82" t="s">
        <v>155</v>
      </c>
      <c r="C50" s="82" t="s">
        <v>143</v>
      </c>
      <c r="D50" s="82" t="s">
        <v>144</v>
      </c>
      <c r="E50" s="82" t="s">
        <v>147</v>
      </c>
      <c r="F50" s="82" t="s">
        <v>145</v>
      </c>
      <c r="G50" s="82" t="s">
        <v>146</v>
      </c>
      <c r="I50" s="82" t="s">
        <v>180</v>
      </c>
      <c r="J50" s="82" t="s">
        <v>179</v>
      </c>
      <c r="K50" s="82" t="s">
        <v>183</v>
      </c>
      <c r="L50" s="82" t="s">
        <v>222</v>
      </c>
      <c r="M50" s="82" t="s">
        <v>163</v>
      </c>
      <c r="N50" s="82" t="s">
        <v>216</v>
      </c>
      <c r="O50" s="82" t="s">
        <v>207</v>
      </c>
      <c r="P50" s="82" t="s">
        <v>235</v>
      </c>
      <c r="Q50" s="82" t="s">
        <v>223</v>
      </c>
      <c r="R50" s="82" t="s">
        <v>238</v>
      </c>
      <c r="S50" s="82" t="s">
        <v>239</v>
      </c>
      <c r="T50" s="82" t="s">
        <v>240</v>
      </c>
      <c r="U50" s="82" t="s">
        <v>208</v>
      </c>
      <c r="V50" s="82" t="s">
        <v>164</v>
      </c>
      <c r="W50" s="82" t="s">
        <v>165</v>
      </c>
      <c r="X50" s="82" t="s">
        <v>171</v>
      </c>
      <c r="Z50" s="116" t="s">
        <v>203</v>
      </c>
      <c r="AA50" s="116" t="s">
        <v>183</v>
      </c>
      <c r="AB50" s="82" t="s">
        <v>222</v>
      </c>
      <c r="AC50" s="116" t="s">
        <v>204</v>
      </c>
      <c r="AD50" s="116" t="s">
        <v>216</v>
      </c>
      <c r="AE50" s="82" t="s">
        <v>207</v>
      </c>
      <c r="AF50" s="82" t="s">
        <v>235</v>
      </c>
      <c r="AG50" s="82" t="s">
        <v>238</v>
      </c>
      <c r="AH50" s="82" t="s">
        <v>208</v>
      </c>
      <c r="AI50" s="116" t="s">
        <v>164</v>
      </c>
      <c r="AJ50" s="116" t="s">
        <v>165</v>
      </c>
      <c r="AK50" s="116" t="s">
        <v>171</v>
      </c>
    </row>
    <row r="51" spans="1:37">
      <c r="A51" t="s">
        <v>158</v>
      </c>
      <c r="B51" t="s">
        <v>91</v>
      </c>
      <c r="C51">
        <v>150</v>
      </c>
      <c r="D51">
        <v>1</v>
      </c>
      <c r="E51">
        <v>0.5</v>
      </c>
      <c r="F51" s="60">
        <v>0.65</v>
      </c>
      <c r="I51" t="s">
        <v>241</v>
      </c>
      <c r="P51" t="s">
        <v>242</v>
      </c>
      <c r="R51" t="s">
        <v>242</v>
      </c>
      <c r="S51" t="s">
        <v>242</v>
      </c>
      <c r="T51" t="s">
        <v>249</v>
      </c>
      <c r="Z51" t="s">
        <v>241</v>
      </c>
      <c r="AF51" t="s">
        <v>242</v>
      </c>
      <c r="AG51" t="s">
        <v>242</v>
      </c>
    </row>
    <row r="52" spans="1:37">
      <c r="A52" t="s">
        <v>158</v>
      </c>
      <c r="B52" t="s">
        <v>88</v>
      </c>
      <c r="C52">
        <v>26</v>
      </c>
      <c r="D52">
        <v>1</v>
      </c>
      <c r="E52">
        <v>0.5</v>
      </c>
      <c r="F52" s="60">
        <v>0.2</v>
      </c>
      <c r="I52" t="s">
        <v>162</v>
      </c>
      <c r="J52" t="s">
        <v>166</v>
      </c>
      <c r="K52">
        <v>30</v>
      </c>
      <c r="L52">
        <f>K52</f>
        <v>30</v>
      </c>
      <c r="M52" t="s">
        <v>205</v>
      </c>
      <c r="N52">
        <v>2649</v>
      </c>
      <c r="O52" s="106">
        <f t="shared" ref="O52:O57" si="86">N52/K52</f>
        <v>88.3</v>
      </c>
      <c r="P52" s="105">
        <v>294</v>
      </c>
      <c r="Q52" s="105">
        <f t="shared" ref="Q52:Q57" si="87">$Q$8*P52/(N52/1000)</f>
        <v>108.09966024915062</v>
      </c>
      <c r="R52" s="105">
        <f t="shared" ref="R52:R57" si="88">P52*$Q$8</f>
        <v>286.35599999999999</v>
      </c>
      <c r="S52" s="105">
        <f>$S$4*R52</f>
        <v>231.96493602196719</v>
      </c>
      <c r="T52" s="117">
        <f>$T$1*L52</f>
        <v>26.020408163265305</v>
      </c>
      <c r="U52" s="118">
        <v>72000</v>
      </c>
      <c r="V52" t="s">
        <v>181</v>
      </c>
      <c r="W52" s="104" t="s">
        <v>184</v>
      </c>
      <c r="X52" t="s">
        <v>206</v>
      </c>
      <c r="Z52" t="s">
        <v>162</v>
      </c>
      <c r="AA52">
        <f>VALUE(MID(Z52,5,3))</f>
        <v>150</v>
      </c>
      <c r="AB52">
        <v>180</v>
      </c>
      <c r="AC52" t="s">
        <v>187</v>
      </c>
      <c r="AF52" s="105">
        <v>246.93</v>
      </c>
      <c r="AG52" s="105">
        <f>AF52*$Q$8</f>
        <v>240.50981999999999</v>
      </c>
      <c r="AH52" s="105"/>
      <c r="AI52" t="s">
        <v>181</v>
      </c>
      <c r="AJ52" s="104" t="s">
        <v>188</v>
      </c>
      <c r="AK52" t="s">
        <v>182</v>
      </c>
    </row>
    <row r="53" spans="1:37">
      <c r="A53" t="s">
        <v>158</v>
      </c>
      <c r="B53" t="s">
        <v>156</v>
      </c>
      <c r="C53">
        <v>75</v>
      </c>
      <c r="D53">
        <v>1</v>
      </c>
      <c r="E53">
        <v>0.5</v>
      </c>
      <c r="F53" s="60">
        <v>0.12</v>
      </c>
      <c r="I53" t="s">
        <v>162</v>
      </c>
      <c r="J53" t="s">
        <v>210</v>
      </c>
      <c r="K53">
        <v>25</v>
      </c>
      <c r="L53">
        <f t="shared" ref="L53:L57" si="89">K53</f>
        <v>25</v>
      </c>
      <c r="M53" t="s">
        <v>209</v>
      </c>
      <c r="N53">
        <v>2722</v>
      </c>
      <c r="O53" s="106">
        <f t="shared" si="86"/>
        <v>108.88</v>
      </c>
      <c r="P53" s="105">
        <v>221.76</v>
      </c>
      <c r="Q53" s="105">
        <f t="shared" si="87"/>
        <v>79.351300514327704</v>
      </c>
      <c r="R53" s="105">
        <f t="shared" si="88"/>
        <v>215.99423999999999</v>
      </c>
      <c r="S53" s="105">
        <f t="shared" ref="S53:S56" si="90">$S$4*R53</f>
        <v>174.96783745656953</v>
      </c>
      <c r="T53" s="117">
        <f t="shared" ref="T53:T56" si="91">$T$1*L53</f>
        <v>21.683673469387756</v>
      </c>
      <c r="U53" s="118">
        <v>72000</v>
      </c>
      <c r="V53" t="s">
        <v>181</v>
      </c>
      <c r="W53" s="104" t="s">
        <v>211</v>
      </c>
      <c r="X53" t="s">
        <v>206</v>
      </c>
      <c r="Z53" t="s">
        <v>162</v>
      </c>
      <c r="AA53">
        <f>VALUE(MID(Z53,5,3))</f>
        <v>150</v>
      </c>
      <c r="AC53" t="s">
        <v>189</v>
      </c>
      <c r="AF53" s="105">
        <v>172.36</v>
      </c>
      <c r="AG53" s="105">
        <f t="shared" ref="AG53:AG56" si="92">AF53*$Q$8</f>
        <v>167.87864000000002</v>
      </c>
      <c r="AH53" s="105"/>
      <c r="AI53" t="s">
        <v>181</v>
      </c>
      <c r="AJ53" s="104" t="s">
        <v>190</v>
      </c>
      <c r="AK53" t="s">
        <v>182</v>
      </c>
    </row>
    <row r="54" spans="1:37">
      <c r="B54" t="s">
        <v>116</v>
      </c>
      <c r="F54" s="60">
        <v>0.03</v>
      </c>
      <c r="I54" t="s">
        <v>162</v>
      </c>
      <c r="J54" t="s">
        <v>166</v>
      </c>
      <c r="K54">
        <v>30</v>
      </c>
      <c r="L54">
        <f t="shared" si="89"/>
        <v>30</v>
      </c>
      <c r="M54" t="s">
        <v>212</v>
      </c>
      <c r="N54">
        <v>2649</v>
      </c>
      <c r="O54" s="106">
        <f t="shared" si="86"/>
        <v>88.3</v>
      </c>
      <c r="P54" s="105">
        <v>234.99</v>
      </c>
      <c r="Q54" s="105">
        <f t="shared" si="87"/>
        <v>86.402514156285392</v>
      </c>
      <c r="R54" s="105">
        <f t="shared" si="88"/>
        <v>228.88025999999999</v>
      </c>
      <c r="S54" s="105">
        <f t="shared" si="90"/>
        <v>185.40625957755805</v>
      </c>
      <c r="T54" s="117">
        <f t="shared" si="91"/>
        <v>26.020408163265305</v>
      </c>
      <c r="U54" s="118">
        <v>72000</v>
      </c>
      <c r="V54" t="s">
        <v>213</v>
      </c>
      <c r="W54" s="104" t="s">
        <v>214</v>
      </c>
      <c r="X54" t="s">
        <v>206</v>
      </c>
      <c r="Z54" t="s">
        <v>162</v>
      </c>
      <c r="AA54">
        <f>VALUE(MID(Z54,5,3))</f>
        <v>150</v>
      </c>
      <c r="AB54">
        <v>188</v>
      </c>
      <c r="AC54" t="s">
        <v>196</v>
      </c>
      <c r="AF54" s="105">
        <v>163.5</v>
      </c>
      <c r="AG54" s="105">
        <f t="shared" si="92"/>
        <v>159.249</v>
      </c>
      <c r="AH54" s="118">
        <v>24000</v>
      </c>
      <c r="AI54" t="s">
        <v>167</v>
      </c>
      <c r="AJ54" s="104" t="s">
        <v>195</v>
      </c>
      <c r="AK54" t="s">
        <v>182</v>
      </c>
    </row>
    <row r="55" spans="1:37">
      <c r="I55" t="s">
        <v>162</v>
      </c>
      <c r="J55" t="s">
        <v>217</v>
      </c>
      <c r="K55">
        <v>42</v>
      </c>
      <c r="L55">
        <f t="shared" si="89"/>
        <v>42</v>
      </c>
      <c r="M55" t="s">
        <v>215</v>
      </c>
      <c r="N55">
        <v>2620</v>
      </c>
      <c r="O55" s="106">
        <f t="shared" si="86"/>
        <v>62.38095238095238</v>
      </c>
      <c r="P55" s="105">
        <v>200</v>
      </c>
      <c r="Q55" s="105">
        <f t="shared" si="87"/>
        <v>74.351145038167928</v>
      </c>
      <c r="R55" s="105">
        <f t="shared" si="88"/>
        <v>194.79999999999998</v>
      </c>
      <c r="S55" s="105">
        <f t="shared" si="90"/>
        <v>157.79927620541986</v>
      </c>
      <c r="T55" s="117">
        <f t="shared" si="91"/>
        <v>36.428571428571431</v>
      </c>
      <c r="U55" s="118">
        <v>50000</v>
      </c>
      <c r="V55" t="s">
        <v>213</v>
      </c>
      <c r="W55" s="104" t="s">
        <v>218</v>
      </c>
      <c r="X55" t="s">
        <v>221</v>
      </c>
      <c r="Z55" t="s">
        <v>162</v>
      </c>
      <c r="AA55">
        <f>VALUE(MID(Z55,5,3))</f>
        <v>150</v>
      </c>
      <c r="AB55">
        <v>165</v>
      </c>
      <c r="AC55" t="s">
        <v>197</v>
      </c>
      <c r="AF55" s="105">
        <v>122.25</v>
      </c>
      <c r="AG55" s="105">
        <f t="shared" si="92"/>
        <v>119.0715</v>
      </c>
      <c r="AH55" s="118">
        <v>24000</v>
      </c>
      <c r="AI55" t="s">
        <v>167</v>
      </c>
      <c r="AJ55" s="104" t="s">
        <v>198</v>
      </c>
      <c r="AK55" t="s">
        <v>182</v>
      </c>
    </row>
    <row r="56" spans="1:37">
      <c r="I56" t="s">
        <v>162</v>
      </c>
      <c r="J56" t="s">
        <v>166</v>
      </c>
      <c r="K56">
        <v>30</v>
      </c>
      <c r="L56">
        <f t="shared" si="89"/>
        <v>30</v>
      </c>
      <c r="M56" t="s">
        <v>219</v>
      </c>
      <c r="N56">
        <v>2400</v>
      </c>
      <c r="O56" s="106">
        <f t="shared" si="86"/>
        <v>80</v>
      </c>
      <c r="P56" s="105">
        <v>227.27</v>
      </c>
      <c r="Q56" s="105">
        <f t="shared" si="87"/>
        <v>92.233741666666674</v>
      </c>
      <c r="R56" s="105">
        <f t="shared" si="88"/>
        <v>221.36098000000001</v>
      </c>
      <c r="S56" s="105">
        <f t="shared" si="90"/>
        <v>179.31520751602886</v>
      </c>
      <c r="T56" s="117">
        <f t="shared" si="91"/>
        <v>26.020408163265305</v>
      </c>
      <c r="U56" s="118">
        <v>50000</v>
      </c>
      <c r="V56" t="s">
        <v>167</v>
      </c>
      <c r="W56" s="104" t="s">
        <v>220</v>
      </c>
      <c r="X56" t="s">
        <v>206</v>
      </c>
      <c r="Z56" t="s">
        <v>162</v>
      </c>
      <c r="AA56">
        <f>VALUE(MID(Z56,5,3))</f>
        <v>150</v>
      </c>
      <c r="AB56">
        <v>180</v>
      </c>
      <c r="AC56" t="s">
        <v>254</v>
      </c>
      <c r="AF56" s="105">
        <v>211.74</v>
      </c>
      <c r="AG56" s="105">
        <f t="shared" si="92"/>
        <v>206.23475999999999</v>
      </c>
      <c r="AI56" t="s">
        <v>213</v>
      </c>
      <c r="AJ56" t="s">
        <v>255</v>
      </c>
      <c r="AK56" t="s">
        <v>182</v>
      </c>
    </row>
    <row r="57" spans="1:37">
      <c r="I57" t="s">
        <v>162</v>
      </c>
      <c r="J57" t="s">
        <v>172</v>
      </c>
      <c r="K57">
        <f t="shared" ref="K57" si="93">VALUE(MID(J57,5,2))</f>
        <v>32</v>
      </c>
      <c r="L57">
        <f t="shared" si="89"/>
        <v>32</v>
      </c>
      <c r="M57" t="s">
        <v>173</v>
      </c>
      <c r="N57">
        <v>4431</v>
      </c>
      <c r="O57" s="106">
        <f t="shared" si="86"/>
        <v>138.46875</v>
      </c>
      <c r="P57" s="105">
        <v>290</v>
      </c>
      <c r="Q57" s="105">
        <f t="shared" si="87"/>
        <v>63.746332656285254</v>
      </c>
      <c r="R57" s="105">
        <f t="shared" si="88"/>
        <v>282.45999999999998</v>
      </c>
      <c r="S57" s="105">
        <f t="shared" ref="S57" si="94">$S$4*R57</f>
        <v>228.80895049785877</v>
      </c>
      <c r="T57" s="117">
        <f t="shared" ref="T57" si="95">$T$1*L57</f>
        <v>27.755102040816325</v>
      </c>
      <c r="U57" s="118">
        <v>100000</v>
      </c>
      <c r="V57" t="s">
        <v>170</v>
      </c>
      <c r="W57" s="104" t="s">
        <v>175</v>
      </c>
      <c r="X57" t="s">
        <v>174</v>
      </c>
      <c r="Z57" s="138" t="str">
        <f>CONCATENATE("Avg ",Z56)</f>
        <v>Avg HID 150W</v>
      </c>
      <c r="AB57" s="136">
        <f>AVERAGE(AB51:AB56)</f>
        <v>178.25</v>
      </c>
      <c r="AC57" s="138"/>
      <c r="AD57" s="138"/>
      <c r="AE57" s="138"/>
      <c r="AF57" s="139"/>
      <c r="AG57" s="135">
        <f>AVERAGE(AG51:AG56)</f>
        <v>178.58874399999999</v>
      </c>
      <c r="AH57" s="140">
        <v>24000</v>
      </c>
    </row>
    <row r="58" spans="1:37">
      <c r="J58" s="146" t="str">
        <f>CONCATENATE("LED ",TEXT(T58,"0"),"W")</f>
        <v>LED 28W</v>
      </c>
      <c r="N58" s="143">
        <f>AVERAGE(N52:N57)</f>
        <v>2911.8333333333335</v>
      </c>
      <c r="S58" s="135">
        <f>AVERAGE(S53:S57)</f>
        <v>185.259506250687</v>
      </c>
      <c r="T58" s="136">
        <f>AVERAGE(T53:T57)</f>
        <v>27.581632653061224</v>
      </c>
      <c r="U58" s="137">
        <v>72000</v>
      </c>
      <c r="Z58" t="s">
        <v>234</v>
      </c>
      <c r="AA58" s="113"/>
      <c r="AB58" s="113"/>
      <c r="AC58" s="113"/>
      <c r="AD58" s="113"/>
      <c r="AE58" s="113"/>
      <c r="AF58" s="112" t="s">
        <v>236</v>
      </c>
      <c r="AG58" s="112" t="s">
        <v>236</v>
      </c>
      <c r="AH58" s="112"/>
      <c r="AI58" s="113"/>
      <c r="AJ58" s="114"/>
      <c r="AK58" s="113"/>
    </row>
    <row r="59" spans="1:37">
      <c r="Z59" t="s">
        <v>162</v>
      </c>
      <c r="AA59">
        <v>150</v>
      </c>
      <c r="AB59" s="129"/>
      <c r="AC59" s="141" t="s">
        <v>259</v>
      </c>
      <c r="AD59" s="141"/>
      <c r="AE59" s="141"/>
      <c r="AF59" s="112">
        <v>23.17</v>
      </c>
      <c r="AG59" s="105">
        <f t="shared" ref="AG59:AG61" si="96">AF59*$Q$8</f>
        <v>22.56758</v>
      </c>
      <c r="AH59" s="112"/>
      <c r="AI59" t="s">
        <v>181</v>
      </c>
      <c r="AJ59" s="114" t="s">
        <v>258</v>
      </c>
      <c r="AK59" s="141" t="s">
        <v>237</v>
      </c>
    </row>
    <row r="60" spans="1:37">
      <c r="I60" t="s">
        <v>234</v>
      </c>
      <c r="O60" s="106"/>
      <c r="P60" t="s">
        <v>236</v>
      </c>
      <c r="R60" t="s">
        <v>236</v>
      </c>
      <c r="S60" t="s">
        <v>236</v>
      </c>
      <c r="T60" t="s">
        <v>250</v>
      </c>
      <c r="U60" s="105"/>
      <c r="V60" s="105"/>
      <c r="X60" s="104"/>
      <c r="Z60" t="s">
        <v>162</v>
      </c>
      <c r="AA60">
        <v>150</v>
      </c>
      <c r="AB60" s="129"/>
      <c r="AC60" s="141" t="s">
        <v>261</v>
      </c>
      <c r="AD60" s="141"/>
      <c r="AE60" s="141"/>
      <c r="AF60" s="115">
        <v>37.03</v>
      </c>
      <c r="AG60" s="105">
        <f t="shared" si="96"/>
        <v>36.067219999999999</v>
      </c>
      <c r="AH60" s="115"/>
      <c r="AI60" t="s">
        <v>181</v>
      </c>
      <c r="AJ60" s="114" t="s">
        <v>260</v>
      </c>
      <c r="AK60" s="141" t="s">
        <v>237</v>
      </c>
    </row>
    <row r="61" spans="1:37">
      <c r="I61" t="s">
        <v>162</v>
      </c>
      <c r="J61" t="s">
        <v>168</v>
      </c>
      <c r="K61">
        <v>38</v>
      </c>
      <c r="L61">
        <f t="shared" ref="L61" si="97">K61</f>
        <v>38</v>
      </c>
      <c r="M61" t="s">
        <v>247</v>
      </c>
      <c r="N61">
        <v>3800</v>
      </c>
      <c r="O61" s="106">
        <f>N61/K61</f>
        <v>100</v>
      </c>
      <c r="P61" s="105">
        <v>169.23</v>
      </c>
      <c r="Q61" s="105">
        <f>$Q$8*P61/(N61/1000)</f>
        <v>43.376321052631582</v>
      </c>
      <c r="R61" s="105">
        <f>P61*$Q$8</f>
        <v>164.83001999999999</v>
      </c>
      <c r="S61" s="105">
        <f>$S$5*R61</f>
        <v>100.82628632756415</v>
      </c>
      <c r="T61" s="117">
        <f>$T$1*L61</f>
        <v>32.959183673469383</v>
      </c>
      <c r="U61" s="118">
        <v>50000</v>
      </c>
      <c r="V61" t="s">
        <v>167</v>
      </c>
      <c r="W61" s="104" t="s">
        <v>248</v>
      </c>
      <c r="X61" t="s">
        <v>237</v>
      </c>
      <c r="Z61" t="s">
        <v>162</v>
      </c>
      <c r="AA61">
        <v>150</v>
      </c>
      <c r="AB61" s="129"/>
      <c r="AC61" s="141" t="s">
        <v>262</v>
      </c>
      <c r="AD61" s="141"/>
      <c r="AE61" s="141"/>
      <c r="AF61" s="112">
        <v>35.28</v>
      </c>
      <c r="AG61" s="105">
        <f t="shared" si="96"/>
        <v>34.362720000000003</v>
      </c>
      <c r="AH61" s="112"/>
      <c r="AI61" t="s">
        <v>181</v>
      </c>
      <c r="AJ61" s="114" t="s">
        <v>263</v>
      </c>
      <c r="AK61" s="141" t="s">
        <v>237</v>
      </c>
    </row>
    <row r="62" spans="1:37">
      <c r="I62" t="s">
        <v>162</v>
      </c>
      <c r="J62" t="s">
        <v>168</v>
      </c>
      <c r="K62">
        <v>38</v>
      </c>
      <c r="L62">
        <f>K62</f>
        <v>38</v>
      </c>
      <c r="M62" t="s">
        <v>243</v>
      </c>
      <c r="N62">
        <v>3800</v>
      </c>
      <c r="O62" s="106">
        <f>N62/K62</f>
        <v>100</v>
      </c>
      <c r="P62" s="105">
        <v>150</v>
      </c>
      <c r="Q62" s="105">
        <f>$Q$8*P62/(N62/1000)</f>
        <v>38.44736842105263</v>
      </c>
      <c r="R62" s="105">
        <f>P62*$Q$8</f>
        <v>146.1</v>
      </c>
      <c r="S62" s="105">
        <f>$S$5*R62</f>
        <v>89.369160013795565</v>
      </c>
      <c r="T62" s="117">
        <f>$T$1*L62</f>
        <v>32.959183673469383</v>
      </c>
      <c r="U62" s="118">
        <v>50000</v>
      </c>
      <c r="V62" t="s">
        <v>181</v>
      </c>
      <c r="W62" s="104" t="s">
        <v>244</v>
      </c>
      <c r="X62" t="s">
        <v>237</v>
      </c>
      <c r="Z62" s="138" t="str">
        <f>CONCATENATE("Avg ",Z61)</f>
        <v>Avg HID 150W</v>
      </c>
      <c r="AB62" s="136">
        <f>AB57</f>
        <v>178.25</v>
      </c>
      <c r="AC62" s="138"/>
      <c r="AD62" s="138"/>
      <c r="AE62" s="138"/>
      <c r="AF62" s="139"/>
      <c r="AG62" s="135">
        <f>AVERAGE(AG59:AG61)</f>
        <v>30.999173333333335</v>
      </c>
      <c r="AH62" s="140">
        <v>24000</v>
      </c>
    </row>
    <row r="63" spans="1:37">
      <c r="J63" s="146" t="str">
        <f>CONCATENATE("LED ",TEXT(T63,"0"),"W")</f>
        <v>LED 31W</v>
      </c>
      <c r="M63" t="s">
        <v>246</v>
      </c>
      <c r="N63" s="143">
        <f>AVERAGE(N61:N62)</f>
        <v>3800</v>
      </c>
      <c r="O63" s="106"/>
      <c r="Q63" s="105"/>
      <c r="R63" s="105"/>
      <c r="S63" s="135">
        <f>AVERAGE(S58:S62)</f>
        <v>125.15165086401556</v>
      </c>
      <c r="T63" s="136">
        <f>AVERAGE(T58:T62)</f>
        <v>31.166666666666661</v>
      </c>
      <c r="U63" s="137">
        <v>50000</v>
      </c>
      <c r="V63" s="105"/>
    </row>
    <row r="64" spans="1:37">
      <c r="I64" t="s">
        <v>381</v>
      </c>
      <c r="Z64" t="s">
        <v>234</v>
      </c>
      <c r="AF64" s="112" t="s">
        <v>236</v>
      </c>
      <c r="AG64" s="112" t="s">
        <v>236</v>
      </c>
    </row>
    <row r="65" spans="9:37" ht="25.5" customHeight="1">
      <c r="J65" s="146" t="str">
        <f>CONCATENATE("LED ",TEXT(T65,"0"),"W")</f>
        <v>LED 29W</v>
      </c>
      <c r="M65" s="62" t="s">
        <v>382</v>
      </c>
      <c r="N65" s="143">
        <f>AVERAGE(N58,N63)</f>
        <v>3355.916666666667</v>
      </c>
      <c r="S65" s="184">
        <f>AVERAGE(S58,S63)</f>
        <v>155.20557855735129</v>
      </c>
      <c r="T65" s="184">
        <f t="shared" ref="T65:U65" si="98">AVERAGE(T58,T63)</f>
        <v>29.374149659863942</v>
      </c>
      <c r="U65" s="184">
        <f t="shared" si="98"/>
        <v>61000</v>
      </c>
      <c r="V65" t="s">
        <v>383</v>
      </c>
      <c r="Z65" t="s">
        <v>283</v>
      </c>
      <c r="AA65">
        <v>26</v>
      </c>
      <c r="AB65" s="146">
        <v>26</v>
      </c>
      <c r="AC65" t="s">
        <v>282</v>
      </c>
      <c r="AF65">
        <v>1.31</v>
      </c>
      <c r="AG65" s="147">
        <f>AF65*$Q$9</f>
        <v>1.45017</v>
      </c>
      <c r="AH65" s="137">
        <v>10000</v>
      </c>
      <c r="AI65" s="389" t="s">
        <v>295</v>
      </c>
      <c r="AJ65" s="104" t="s">
        <v>291</v>
      </c>
      <c r="AK65" s="141" t="s">
        <v>237</v>
      </c>
    </row>
    <row r="66" spans="9:37" ht="25.5" customHeight="1">
      <c r="I66" t="s">
        <v>234</v>
      </c>
      <c r="P66" t="s">
        <v>294</v>
      </c>
      <c r="R66" t="s">
        <v>236</v>
      </c>
      <c r="S66" t="s">
        <v>236</v>
      </c>
      <c r="T66" t="s">
        <v>250</v>
      </c>
      <c r="Z66" t="s">
        <v>284</v>
      </c>
      <c r="AA66">
        <v>75</v>
      </c>
      <c r="AB66" s="146">
        <v>75</v>
      </c>
      <c r="AC66" t="s">
        <v>282</v>
      </c>
      <c r="AF66">
        <v>0.69</v>
      </c>
      <c r="AG66" s="147">
        <f>AF66*$Q$8</f>
        <v>0.67205999999999988</v>
      </c>
      <c r="AH66" s="137">
        <v>1000</v>
      </c>
      <c r="AI66" s="389"/>
      <c r="AJ66" s="104" t="s">
        <v>292</v>
      </c>
      <c r="AK66" s="141" t="s">
        <v>237</v>
      </c>
    </row>
    <row r="67" spans="9:37">
      <c r="I67" t="s">
        <v>269</v>
      </c>
      <c r="J67" s="146" t="s">
        <v>290</v>
      </c>
      <c r="K67">
        <v>12</v>
      </c>
      <c r="L67">
        <v>12</v>
      </c>
      <c r="M67" t="s">
        <v>296</v>
      </c>
      <c r="N67" s="146">
        <v>1000</v>
      </c>
      <c r="O67" s="106">
        <f>N67/K67</f>
        <v>83.333333333333329</v>
      </c>
      <c r="P67" s="105">
        <v>8.0500000000000007</v>
      </c>
      <c r="Q67" s="105">
        <f>R67/(N67/1000)</f>
        <v>8.9113500000000005</v>
      </c>
      <c r="R67" s="105">
        <f>P67*$Q$9</f>
        <v>8.9113500000000005</v>
      </c>
      <c r="S67" s="147">
        <f>$S$5*R67</f>
        <v>5.4510599869194873</v>
      </c>
      <c r="T67" s="136">
        <f>$T$3*L67</f>
        <v>10.133333333333333</v>
      </c>
      <c r="U67" s="137">
        <v>28708</v>
      </c>
      <c r="V67" t="s">
        <v>285</v>
      </c>
      <c r="W67" s="104" t="s">
        <v>291</v>
      </c>
      <c r="X67" t="s">
        <v>293</v>
      </c>
    </row>
    <row r="68" spans="9:37">
      <c r="M68" s="109"/>
      <c r="O68" s="106"/>
      <c r="P68" s="105"/>
      <c r="Q68" s="105"/>
      <c r="R68" s="105"/>
      <c r="S68" s="105"/>
      <c r="T68" s="117"/>
      <c r="U68" s="118"/>
      <c r="V68" t="s">
        <v>286</v>
      </c>
      <c r="W68" s="104" t="s">
        <v>292</v>
      </c>
    </row>
    <row r="69" spans="9:37">
      <c r="O69" s="106"/>
      <c r="P69" s="105"/>
      <c r="Q69" s="105"/>
      <c r="R69" s="105"/>
      <c r="S69" s="105"/>
      <c r="T69" s="117"/>
      <c r="U69" s="118"/>
      <c r="V69" t="s">
        <v>297</v>
      </c>
      <c r="W69" s="104" t="s">
        <v>289</v>
      </c>
    </row>
    <row r="70" spans="9:37">
      <c r="K70" s="111"/>
      <c r="L70" s="111"/>
    </row>
    <row r="71" spans="9:37">
      <c r="K71" s="106"/>
      <c r="L71" s="106"/>
      <c r="Q71" s="110"/>
      <c r="R71" s="110"/>
      <c r="S71" s="110"/>
      <c r="T71" s="110"/>
      <c r="U71" s="110"/>
      <c r="V71" s="110"/>
    </row>
    <row r="72" spans="9:37">
      <c r="K72" s="107"/>
      <c r="L72" s="107"/>
      <c r="Q72" s="110"/>
      <c r="R72" s="110"/>
      <c r="S72" s="110"/>
      <c r="T72" s="110"/>
      <c r="U72" s="110"/>
      <c r="V72" s="110"/>
    </row>
    <row r="73" spans="9:37">
      <c r="K73" s="106"/>
      <c r="L73" s="106"/>
      <c r="Q73" s="108"/>
      <c r="R73" s="108"/>
      <c r="S73" s="108"/>
      <c r="T73" s="108"/>
      <c r="U73" s="108"/>
      <c r="V73" s="108"/>
    </row>
    <row r="74" spans="9:37">
      <c r="Q74" s="105"/>
      <c r="R74" s="105"/>
      <c r="S74" s="105"/>
      <c r="T74" s="105"/>
      <c r="U74" s="105"/>
      <c r="V74" s="105"/>
    </row>
    <row r="76" spans="9:37">
      <c r="Q76" s="108"/>
      <c r="R76" s="108"/>
      <c r="S76" s="108"/>
      <c r="T76" s="108"/>
      <c r="U76" s="108"/>
      <c r="V76" s="108"/>
    </row>
    <row r="77" spans="9:37">
      <c r="Q77" s="108"/>
      <c r="R77" s="108"/>
      <c r="S77" s="108"/>
      <c r="T77" s="108"/>
      <c r="U77" s="108"/>
      <c r="V77" s="108"/>
    </row>
    <row r="78" spans="9:37">
      <c r="Q78" s="108"/>
      <c r="R78" s="108"/>
      <c r="S78" s="108"/>
      <c r="T78" s="108"/>
      <c r="U78" s="108"/>
      <c r="V78" s="108"/>
    </row>
    <row r="79" spans="9:37">
      <c r="Q79" s="108"/>
      <c r="R79" s="108"/>
      <c r="S79" s="108"/>
      <c r="T79" s="108"/>
      <c r="U79" s="108"/>
      <c r="V79" s="108"/>
    </row>
  </sheetData>
  <autoFilter ref="AM12:CW49">
    <filterColumn colId="58"/>
  </autoFilter>
  <mergeCells count="4">
    <mergeCell ref="AI65:AI66"/>
    <mergeCell ref="BE29:BF30"/>
    <mergeCell ref="BE32:BF33"/>
    <mergeCell ref="BE35:BF36"/>
  </mergeCells>
  <hyperlinks>
    <hyperlink ref="AJ38" r:id="rId1"/>
    <hyperlink ref="AJ39" r:id="rId2"/>
    <hyperlink ref="AJ40" r:id="rId3"/>
    <hyperlink ref="AJ41" r:id="rId4"/>
    <hyperlink ref="AJ52" r:id="rId5"/>
    <hyperlink ref="AJ53" r:id="rId6"/>
    <hyperlink ref="AJ54" r:id="rId7"/>
    <hyperlink ref="AJ55" r:id="rId8"/>
    <hyperlink ref="W25" r:id="rId9"/>
    <hyperlink ref="W26" r:id="rId10"/>
    <hyperlink ref="W27" r:id="rId11"/>
    <hyperlink ref="W28" r:id="rId12"/>
    <hyperlink ref="W29" r:id="rId13"/>
    <hyperlink ref="W38" r:id="rId14"/>
    <hyperlink ref="W39" r:id="rId15"/>
    <hyperlink ref="W40" r:id="rId16"/>
    <hyperlink ref="W41" r:id="rId17"/>
    <hyperlink ref="W52" r:id="rId18"/>
    <hyperlink ref="W53" r:id="rId19"/>
    <hyperlink ref="W54" r:id="rId20"/>
    <hyperlink ref="W55" r:id="rId21"/>
    <hyperlink ref="W56" r:id="rId22"/>
    <hyperlink ref="W57" r:id="rId23"/>
    <hyperlink ref="W62" r:id="rId24"/>
    <hyperlink ref="W61" r:id="rId25"/>
    <hyperlink ref="AJ25" r:id="rId26"/>
    <hyperlink ref="AJ26" r:id="rId27"/>
    <hyperlink ref="AJ27" r:id="rId28"/>
    <hyperlink ref="AJ28" r:id="rId29"/>
    <hyperlink ref="AJ42" r:id="rId30"/>
    <hyperlink ref="AJ32" r:id="rId31"/>
    <hyperlink ref="AJ33" r:id="rId32"/>
    <hyperlink ref="AJ34" r:id="rId33"/>
    <hyperlink ref="AJ45" r:id="rId34"/>
    <hyperlink ref="AJ46" r:id="rId35"/>
    <hyperlink ref="AJ59" r:id="rId36"/>
    <hyperlink ref="AJ60" r:id="rId37"/>
    <hyperlink ref="AJ61" r:id="rId38"/>
    <hyperlink ref="W14" r:id="rId39"/>
    <hyperlink ref="W15" r:id="rId40"/>
    <hyperlink ref="W16" r:id="rId41"/>
    <hyperlink ref="AJ14" r:id="rId42"/>
    <hyperlink ref="AJ15" r:id="rId43"/>
    <hyperlink ref="AJ16" r:id="rId44"/>
    <hyperlink ref="AJ19" r:id="rId45"/>
    <hyperlink ref="AJ20" r:id="rId46"/>
    <hyperlink ref="AJ21" r:id="rId47"/>
    <hyperlink ref="W67" r:id="rId48"/>
    <hyperlink ref="W68" r:id="rId49"/>
    <hyperlink ref="AJ65" r:id="rId50"/>
    <hyperlink ref="AJ66" r:id="rId51"/>
    <hyperlink ref="W69" r:id="rId52"/>
  </hyperlinks>
  <pageMargins left="0.7" right="0.7" top="0.75" bottom="0.75" header="0.3" footer="0.3"/>
  <legacyDrawing r:id="rId53"/>
</worksheet>
</file>

<file path=xl/worksheets/sheet15.xml><?xml version="1.0" encoding="utf-8"?>
<worksheet xmlns="http://schemas.openxmlformats.org/spreadsheetml/2006/main" xmlns:r="http://schemas.openxmlformats.org/officeDocument/2006/relationships">
  <sheetPr>
    <tabColor rgb="FFFFFF00"/>
  </sheetPr>
  <dimension ref="A3:M30"/>
  <sheetViews>
    <sheetView topLeftCell="A16" zoomScale="130" zoomScaleNormal="130" workbookViewId="0">
      <selection activeCell="A29" sqref="A29"/>
    </sheetView>
  </sheetViews>
  <sheetFormatPr defaultRowHeight="12.75"/>
  <cols>
    <col min="1" max="1" width="35.85546875" customWidth="1"/>
    <col min="2" max="2" width="13.42578125" customWidth="1"/>
    <col min="4" max="4" width="10.7109375" customWidth="1"/>
    <col min="9" max="9" width="9" customWidth="1"/>
  </cols>
  <sheetData>
    <row r="3" spans="1:13" ht="24.75" customHeight="1">
      <c r="A3" s="70" t="s">
        <v>133</v>
      </c>
      <c r="B3" s="71"/>
      <c r="C3" s="71"/>
      <c r="D3" s="71"/>
      <c r="E3" s="71"/>
      <c r="F3" s="71"/>
      <c r="G3" s="71"/>
      <c r="H3" s="71"/>
    </row>
    <row r="4" spans="1:13">
      <c r="A4" s="68" t="s">
        <v>157</v>
      </c>
    </row>
    <row r="5" spans="1:13">
      <c r="A5" s="68"/>
    </row>
    <row r="6" spans="1:13">
      <c r="A6" s="68"/>
    </row>
    <row r="7" spans="1:13">
      <c r="A7">
        <v>1</v>
      </c>
      <c r="B7">
        <v>2</v>
      </c>
      <c r="C7">
        <v>3</v>
      </c>
      <c r="D7">
        <v>4</v>
      </c>
      <c r="E7">
        <v>5</v>
      </c>
      <c r="F7">
        <v>6</v>
      </c>
      <c r="G7">
        <v>7</v>
      </c>
      <c r="H7">
        <v>8</v>
      </c>
      <c r="I7">
        <v>9</v>
      </c>
      <c r="J7">
        <v>10</v>
      </c>
      <c r="K7">
        <v>11</v>
      </c>
      <c r="L7">
        <v>12</v>
      </c>
      <c r="M7">
        <v>13</v>
      </c>
    </row>
    <row r="8" spans="1:13">
      <c r="B8" s="58" t="s">
        <v>142</v>
      </c>
    </row>
    <row r="9" spans="1:13" ht="51">
      <c r="B9" s="82" t="s">
        <v>152</v>
      </c>
      <c r="C9" s="82" t="s">
        <v>155</v>
      </c>
      <c r="D9" s="82" t="s">
        <v>143</v>
      </c>
      <c r="E9" s="82" t="s">
        <v>144</v>
      </c>
      <c r="F9" s="82" t="s">
        <v>147</v>
      </c>
      <c r="G9" s="82" t="s">
        <v>145</v>
      </c>
      <c r="H9" s="82" t="s">
        <v>146</v>
      </c>
      <c r="I9" s="82" t="s">
        <v>690</v>
      </c>
    </row>
    <row r="10" spans="1:13">
      <c r="A10" t="s">
        <v>989</v>
      </c>
      <c r="B10" t="s">
        <v>153</v>
      </c>
      <c r="C10" t="s">
        <v>91</v>
      </c>
      <c r="D10">
        <v>250</v>
      </c>
      <c r="E10">
        <v>1.5</v>
      </c>
      <c r="F10">
        <v>0.33</v>
      </c>
      <c r="G10" s="60">
        <v>0.7</v>
      </c>
      <c r="H10" s="60">
        <v>0.77</v>
      </c>
      <c r="I10" s="60">
        <f>G10/SUM($G$10:$G$12)</f>
        <v>0.7142857142857143</v>
      </c>
    </row>
    <row r="11" spans="1:13">
      <c r="A11" t="s">
        <v>990</v>
      </c>
      <c r="B11" t="s">
        <v>153</v>
      </c>
      <c r="C11" t="s">
        <v>91</v>
      </c>
      <c r="D11">
        <v>400</v>
      </c>
      <c r="E11">
        <v>1.5</v>
      </c>
      <c r="F11">
        <v>0.24</v>
      </c>
      <c r="G11" s="60">
        <v>0.25</v>
      </c>
      <c r="H11" s="60">
        <v>0.2</v>
      </c>
      <c r="I11" s="60">
        <f t="shared" ref="I11:I12" si="0">G11/SUM($G$10:$G$12)</f>
        <v>0.25510204081632654</v>
      </c>
    </row>
    <row r="12" spans="1:13">
      <c r="A12" t="s">
        <v>991</v>
      </c>
      <c r="B12" t="s">
        <v>153</v>
      </c>
      <c r="C12" t="s">
        <v>91</v>
      </c>
      <c r="D12">
        <v>1000</v>
      </c>
      <c r="E12">
        <v>3.5</v>
      </c>
      <c r="F12">
        <v>0.45</v>
      </c>
      <c r="G12" s="60">
        <v>0.03</v>
      </c>
      <c r="H12" s="60">
        <v>0.03</v>
      </c>
      <c r="I12" s="60">
        <f t="shared" si="0"/>
        <v>3.0612244897959183E-2</v>
      </c>
    </row>
    <row r="13" spans="1:13">
      <c r="B13" t="s">
        <v>153</v>
      </c>
      <c r="C13" t="s">
        <v>116</v>
      </c>
      <c r="G13" s="60">
        <v>0.02</v>
      </c>
    </row>
    <row r="17" spans="1:9">
      <c r="B17" s="58" t="s">
        <v>150</v>
      </c>
    </row>
    <row r="18" spans="1:9" ht="51">
      <c r="B18" s="82" t="s">
        <v>152</v>
      </c>
      <c r="C18" s="82" t="s">
        <v>155</v>
      </c>
      <c r="D18" s="82" t="s">
        <v>143</v>
      </c>
      <c r="E18" s="82" t="s">
        <v>144</v>
      </c>
      <c r="F18" s="82" t="s">
        <v>147</v>
      </c>
      <c r="G18" s="82" t="s">
        <v>145</v>
      </c>
      <c r="H18" s="82" t="s">
        <v>146</v>
      </c>
      <c r="I18" s="82" t="s">
        <v>690</v>
      </c>
    </row>
    <row r="19" spans="1:9">
      <c r="A19" t="s">
        <v>992</v>
      </c>
      <c r="B19" t="s">
        <v>154</v>
      </c>
      <c r="C19" t="s">
        <v>91</v>
      </c>
      <c r="D19">
        <v>150</v>
      </c>
      <c r="E19">
        <v>1</v>
      </c>
      <c r="F19">
        <v>0.4</v>
      </c>
      <c r="G19" s="60">
        <v>0.68</v>
      </c>
      <c r="I19" s="60">
        <f>G19/SUM($G$19:$G$20)</f>
        <v>0.69387755102040827</v>
      </c>
    </row>
    <row r="20" spans="1:9">
      <c r="A20" t="s">
        <v>993</v>
      </c>
      <c r="B20" t="s">
        <v>154</v>
      </c>
      <c r="C20" t="s">
        <v>91</v>
      </c>
      <c r="D20">
        <v>400</v>
      </c>
      <c r="E20">
        <v>1</v>
      </c>
      <c r="F20">
        <v>0.3</v>
      </c>
      <c r="G20" s="60">
        <v>0.3</v>
      </c>
      <c r="I20" s="60">
        <f t="shared" ref="I20" si="1">G20/SUM($G$27:$G$29)</f>
        <v>0.30927835051546387</v>
      </c>
    </row>
    <row r="21" spans="1:9">
      <c r="C21" t="s">
        <v>116</v>
      </c>
      <c r="G21" s="60">
        <v>0.02</v>
      </c>
    </row>
    <row r="22" spans="1:9">
      <c r="G22" s="60"/>
    </row>
    <row r="25" spans="1:9">
      <c r="B25" s="58" t="s">
        <v>151</v>
      </c>
    </row>
    <row r="26" spans="1:9" ht="51">
      <c r="B26" s="82" t="s">
        <v>152</v>
      </c>
      <c r="C26" s="82" t="s">
        <v>155</v>
      </c>
      <c r="D26" s="82" t="s">
        <v>143</v>
      </c>
      <c r="E26" s="82" t="s">
        <v>144</v>
      </c>
      <c r="F26" s="82" t="s">
        <v>147</v>
      </c>
      <c r="G26" s="82" t="s">
        <v>145</v>
      </c>
      <c r="H26" s="82" t="s">
        <v>146</v>
      </c>
      <c r="I26" s="82" t="s">
        <v>690</v>
      </c>
    </row>
    <row r="27" spans="1:9">
      <c r="A27" t="s">
        <v>994</v>
      </c>
      <c r="B27" t="s">
        <v>158</v>
      </c>
      <c r="C27" t="s">
        <v>91</v>
      </c>
      <c r="D27">
        <v>150</v>
      </c>
      <c r="E27">
        <v>1</v>
      </c>
      <c r="F27">
        <v>0.5</v>
      </c>
      <c r="G27" s="60">
        <v>0.65</v>
      </c>
      <c r="I27" s="60">
        <f>G27/SUM($G$27:$G$29)</f>
        <v>0.67010309278350511</v>
      </c>
    </row>
    <row r="28" spans="1:9">
      <c r="A28" t="s">
        <v>995</v>
      </c>
      <c r="B28" t="s">
        <v>158</v>
      </c>
      <c r="C28" t="s">
        <v>88</v>
      </c>
      <c r="D28">
        <v>26</v>
      </c>
      <c r="E28">
        <v>1</v>
      </c>
      <c r="F28">
        <v>0.5</v>
      </c>
      <c r="G28" s="60">
        <v>0.2</v>
      </c>
      <c r="I28" s="60">
        <f t="shared" ref="I28:I29" si="2">G28/SUM($G$27:$G$29)</f>
        <v>0.20618556701030927</v>
      </c>
    </row>
    <row r="29" spans="1:9">
      <c r="A29" t="s">
        <v>996</v>
      </c>
      <c r="B29" t="s">
        <v>158</v>
      </c>
      <c r="C29" t="s">
        <v>156</v>
      </c>
      <c r="D29">
        <v>75</v>
      </c>
      <c r="E29">
        <v>1</v>
      </c>
      <c r="F29">
        <v>0.5</v>
      </c>
      <c r="G29" s="60">
        <v>0.12</v>
      </c>
      <c r="I29" s="60">
        <f t="shared" si="2"/>
        <v>0.12371134020618556</v>
      </c>
    </row>
    <row r="30" spans="1:9">
      <c r="C30" t="s">
        <v>116</v>
      </c>
      <c r="G30" s="60">
        <v>0.03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AE631"/>
  <sheetViews>
    <sheetView topLeftCell="M1" workbookViewId="0">
      <selection activeCell="AF5" sqref="AF5"/>
    </sheetView>
  </sheetViews>
  <sheetFormatPr defaultRowHeight="12.75"/>
  <cols>
    <col min="27" max="27" width="25" customWidth="1"/>
    <col min="28" max="28" width="11.42578125" customWidth="1"/>
    <col min="29" max="29" width="9" customWidth="1"/>
    <col min="30" max="30" width="10" customWidth="1"/>
  </cols>
  <sheetData>
    <row r="1" spans="1:31">
      <c r="A1" s="341"/>
      <c r="B1" s="341"/>
      <c r="C1" s="341"/>
      <c r="D1" s="341"/>
      <c r="E1" s="341"/>
      <c r="F1" s="341"/>
      <c r="G1" s="341"/>
      <c r="H1" s="341"/>
      <c r="I1" s="341"/>
      <c r="J1" s="341"/>
      <c r="K1" s="341"/>
      <c r="L1" s="341"/>
      <c r="M1" s="341"/>
      <c r="N1" s="341"/>
      <c r="O1" s="341"/>
      <c r="P1" s="341"/>
      <c r="Q1" s="341"/>
      <c r="R1" s="341"/>
      <c r="S1" s="341"/>
      <c r="T1" s="341"/>
      <c r="U1" s="341"/>
      <c r="V1" s="341"/>
      <c r="W1" s="341"/>
      <c r="X1" s="341"/>
      <c r="Y1" s="341"/>
    </row>
    <row r="2" spans="1:31">
      <c r="A2" s="341"/>
      <c r="B2" s="341"/>
      <c r="C2" s="341"/>
      <c r="D2" s="341"/>
      <c r="E2" s="341"/>
      <c r="F2" s="341"/>
      <c r="G2" s="341"/>
      <c r="H2" s="341"/>
      <c r="I2" s="341"/>
      <c r="J2" s="341"/>
      <c r="K2" s="341"/>
      <c r="L2" s="341"/>
      <c r="M2" s="341"/>
      <c r="N2" s="341"/>
      <c r="O2" s="341"/>
      <c r="P2" s="341"/>
      <c r="Q2" s="341"/>
      <c r="R2" s="341"/>
      <c r="S2" s="341"/>
      <c r="T2" s="341"/>
      <c r="U2" s="341"/>
      <c r="V2" s="341"/>
      <c r="W2" s="341"/>
      <c r="X2" s="341"/>
      <c r="Y2" s="341"/>
    </row>
    <row r="3" spans="1:31">
      <c r="A3" s="341"/>
      <c r="B3" s="341" t="s">
        <v>890</v>
      </c>
      <c r="C3" s="341"/>
      <c r="D3" s="341"/>
      <c r="E3" s="341"/>
      <c r="F3" s="341"/>
      <c r="G3" s="341"/>
      <c r="H3" s="341"/>
      <c r="I3" s="341"/>
      <c r="J3" s="341"/>
      <c r="K3" s="341"/>
      <c r="L3" s="341"/>
      <c r="M3" s="341"/>
      <c r="N3" s="341"/>
      <c r="O3" s="341"/>
      <c r="P3" s="341"/>
      <c r="Q3" s="341"/>
      <c r="R3" s="341"/>
      <c r="S3" s="341"/>
      <c r="T3" s="341"/>
      <c r="U3" s="341"/>
      <c r="V3" s="341"/>
      <c r="W3" s="341"/>
      <c r="X3" s="341"/>
      <c r="Y3" s="341"/>
    </row>
    <row r="4" spans="1:31">
      <c r="A4" s="341"/>
      <c r="B4" s="341"/>
      <c r="C4" s="341"/>
      <c r="D4" s="341"/>
      <c r="E4" s="341"/>
      <c r="F4" s="341"/>
      <c r="G4" s="341"/>
      <c r="H4" s="341"/>
      <c r="I4" s="341"/>
      <c r="J4" s="341"/>
      <c r="K4" s="341"/>
      <c r="L4" s="341"/>
      <c r="M4" s="341"/>
      <c r="N4" s="341"/>
      <c r="O4" s="341"/>
      <c r="P4" s="341"/>
      <c r="Q4" s="341"/>
      <c r="R4" s="341"/>
      <c r="S4" s="341"/>
      <c r="T4" s="341"/>
      <c r="U4" s="341"/>
      <c r="V4" s="341"/>
      <c r="W4" s="341"/>
      <c r="X4" s="341"/>
      <c r="Y4" s="341"/>
      <c r="AA4" s="391" t="s">
        <v>891</v>
      </c>
      <c r="AB4" s="391"/>
      <c r="AC4" s="391"/>
      <c r="AD4" s="391"/>
      <c r="AE4" s="391"/>
    </row>
    <row r="5" spans="1:31" ht="51">
      <c r="A5" s="341"/>
      <c r="B5" s="341"/>
      <c r="C5" s="341"/>
      <c r="D5" s="341"/>
      <c r="E5" s="341"/>
      <c r="F5" s="341"/>
      <c r="G5" s="341"/>
      <c r="H5" s="341"/>
      <c r="I5" s="341"/>
      <c r="J5" s="341"/>
      <c r="K5" s="341"/>
      <c r="L5" s="341"/>
      <c r="M5" s="341"/>
      <c r="N5" s="341"/>
      <c r="O5" s="341"/>
      <c r="P5" s="341"/>
      <c r="Q5" s="341"/>
      <c r="R5" s="341"/>
      <c r="S5" s="341"/>
      <c r="T5" s="341"/>
      <c r="U5" s="341"/>
      <c r="V5" s="341"/>
      <c r="W5" s="341"/>
      <c r="X5" s="341"/>
      <c r="Y5" s="341"/>
      <c r="AA5" s="58" t="s">
        <v>892</v>
      </c>
      <c r="AB5" s="58" t="s">
        <v>893</v>
      </c>
      <c r="AC5" s="82" t="s">
        <v>894</v>
      </c>
      <c r="AD5" s="82" t="s">
        <v>895</v>
      </c>
      <c r="AE5" s="82" t="s">
        <v>896</v>
      </c>
    </row>
    <row r="6" spans="1:31">
      <c r="A6" s="341"/>
      <c r="B6" s="341"/>
      <c r="C6" s="341"/>
      <c r="D6" s="341"/>
      <c r="E6" s="341"/>
      <c r="F6" s="341"/>
      <c r="G6" s="341"/>
      <c r="H6" s="341"/>
      <c r="I6" s="341"/>
      <c r="J6" s="341"/>
      <c r="K6" s="341"/>
      <c r="L6" s="341"/>
      <c r="M6" s="341"/>
      <c r="N6" s="341"/>
      <c r="O6" s="341"/>
      <c r="P6" s="341"/>
      <c r="Q6" s="341"/>
      <c r="R6" s="341"/>
      <c r="S6" s="341"/>
      <c r="T6" s="341"/>
      <c r="U6" s="341"/>
      <c r="V6" s="341"/>
      <c r="W6" s="341"/>
      <c r="X6" s="341"/>
      <c r="Y6" s="341"/>
      <c r="AA6" t="s">
        <v>897</v>
      </c>
      <c r="AB6" t="s">
        <v>841</v>
      </c>
      <c r="AC6" s="60">
        <v>0.19</v>
      </c>
      <c r="AE6" s="60">
        <v>0.3</v>
      </c>
    </row>
    <row r="7" spans="1:3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AA7" t="s">
        <v>898</v>
      </c>
      <c r="AB7" t="s">
        <v>841</v>
      </c>
      <c r="AC7" s="60">
        <v>0.03</v>
      </c>
      <c r="AE7" s="60">
        <v>0.08</v>
      </c>
    </row>
    <row r="8" spans="1:31">
      <c r="A8" s="341"/>
      <c r="B8" s="341"/>
      <c r="C8" s="341"/>
      <c r="D8" s="341"/>
      <c r="E8" s="341"/>
      <c r="F8" s="341"/>
      <c r="G8" s="341"/>
      <c r="H8" s="341"/>
      <c r="I8" s="341"/>
      <c r="J8" s="341"/>
      <c r="K8" s="341"/>
      <c r="L8" s="341"/>
      <c r="M8" s="341"/>
      <c r="N8" s="341"/>
      <c r="O8" s="341"/>
      <c r="P8" s="341"/>
      <c r="Q8" s="341"/>
      <c r="R8" s="341"/>
      <c r="S8" s="341"/>
      <c r="T8" s="341"/>
      <c r="U8" s="341"/>
      <c r="V8" s="341"/>
      <c r="W8" s="341"/>
      <c r="X8" s="341"/>
      <c r="Y8" s="341"/>
      <c r="AA8" t="s">
        <v>899</v>
      </c>
      <c r="AB8" t="s">
        <v>841</v>
      </c>
      <c r="AC8" s="60">
        <v>0.13</v>
      </c>
      <c r="AE8" s="60">
        <v>0.2</v>
      </c>
    </row>
    <row r="9" spans="1:31">
      <c r="A9" s="341"/>
      <c r="B9" s="341"/>
      <c r="C9" s="341"/>
      <c r="D9" s="341"/>
      <c r="E9" s="341"/>
      <c r="F9" s="341"/>
      <c r="G9" s="341"/>
      <c r="H9" s="341"/>
      <c r="I9" s="341"/>
      <c r="J9" s="341"/>
      <c r="K9" s="341"/>
      <c r="L9" s="341"/>
      <c r="M9" s="341"/>
      <c r="N9" s="341"/>
      <c r="O9" s="341"/>
      <c r="P9" s="341"/>
      <c r="Q9" s="341"/>
      <c r="R9" s="341"/>
      <c r="S9" s="341"/>
      <c r="T9" s="341"/>
      <c r="U9" s="341"/>
      <c r="V9" s="341"/>
      <c r="W9" s="341"/>
      <c r="X9" s="341"/>
      <c r="Y9" s="341"/>
      <c r="AA9" t="s">
        <v>899</v>
      </c>
      <c r="AB9" t="s">
        <v>900</v>
      </c>
      <c r="AC9" s="60">
        <v>0.25</v>
      </c>
      <c r="AE9" s="60">
        <v>0.5</v>
      </c>
    </row>
    <row r="10" spans="1:31">
      <c r="A10" s="341"/>
      <c r="B10" s="341"/>
      <c r="C10" s="341"/>
      <c r="D10" s="341"/>
      <c r="E10" s="341"/>
      <c r="F10" s="341"/>
      <c r="G10" s="341"/>
      <c r="H10" s="341"/>
      <c r="I10" s="341"/>
      <c r="J10" s="341"/>
      <c r="K10" s="341"/>
      <c r="L10" s="341"/>
      <c r="M10" s="341"/>
      <c r="N10" s="341"/>
      <c r="O10" s="341"/>
      <c r="P10" s="341"/>
      <c r="Q10" s="341"/>
      <c r="R10" s="341"/>
      <c r="S10" s="341"/>
      <c r="T10" s="341"/>
      <c r="U10" s="341"/>
      <c r="V10" s="341"/>
      <c r="W10" s="341"/>
      <c r="X10" s="341"/>
      <c r="Y10" s="341"/>
      <c r="AA10" t="s">
        <v>899</v>
      </c>
      <c r="AB10" t="s">
        <v>901</v>
      </c>
      <c r="AC10" s="60">
        <v>0.25</v>
      </c>
      <c r="AE10" s="60">
        <v>0.3</v>
      </c>
    </row>
    <row r="11" spans="1:31">
      <c r="A11" s="341"/>
      <c r="B11" s="341"/>
      <c r="C11" s="341"/>
      <c r="D11" s="341"/>
      <c r="E11" s="341"/>
      <c r="F11" s="341"/>
      <c r="G11" s="341"/>
      <c r="H11" s="341"/>
      <c r="I11" s="341"/>
      <c r="J11" s="341"/>
      <c r="K11" s="341"/>
      <c r="L11" s="341"/>
      <c r="M11" s="341"/>
      <c r="N11" s="341"/>
      <c r="O11" s="341"/>
      <c r="P11" s="341"/>
      <c r="Q11" s="341"/>
      <c r="R11" s="341"/>
      <c r="S11" s="341"/>
      <c r="T11" s="341"/>
      <c r="U11" s="341"/>
      <c r="V11" s="341"/>
      <c r="W11" s="341"/>
      <c r="X11" s="341"/>
      <c r="Y11" s="341"/>
      <c r="AA11" t="s">
        <v>899</v>
      </c>
      <c r="AB11" t="s">
        <v>902</v>
      </c>
      <c r="AC11" s="60">
        <v>0.04</v>
      </c>
      <c r="AE11" s="60">
        <v>0.05</v>
      </c>
    </row>
    <row r="12" spans="1:31">
      <c r="A12" s="341"/>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AA12" t="s">
        <v>899</v>
      </c>
      <c r="AB12" t="s">
        <v>903</v>
      </c>
      <c r="AC12" s="60">
        <v>0.04</v>
      </c>
      <c r="AE12" s="60">
        <v>0.05</v>
      </c>
    </row>
    <row r="13" spans="1:31">
      <c r="A13" s="341"/>
      <c r="B13" s="341"/>
      <c r="C13" s="341"/>
      <c r="D13" s="341"/>
      <c r="E13" s="341"/>
      <c r="F13" s="341"/>
      <c r="G13" s="341"/>
      <c r="H13" s="341"/>
      <c r="I13" s="341"/>
      <c r="J13" s="341"/>
      <c r="K13" s="341"/>
      <c r="L13" s="341"/>
      <c r="M13" s="341"/>
      <c r="N13" s="341"/>
      <c r="O13" s="341"/>
      <c r="P13" s="341"/>
      <c r="Q13" s="341"/>
      <c r="R13" s="341"/>
      <c r="S13" s="341"/>
      <c r="T13" s="341"/>
      <c r="U13" s="341"/>
      <c r="V13" s="341"/>
      <c r="W13" s="341"/>
      <c r="X13" s="341"/>
      <c r="Y13" s="341"/>
      <c r="AA13" t="s">
        <v>904</v>
      </c>
      <c r="AB13" t="s">
        <v>905</v>
      </c>
      <c r="AC13" s="60">
        <v>0.05</v>
      </c>
      <c r="AE13" s="60">
        <v>0.08</v>
      </c>
    </row>
    <row r="14" spans="1:3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AA14" t="s">
        <v>904</v>
      </c>
      <c r="AB14" t="s">
        <v>906</v>
      </c>
      <c r="AC14" s="60">
        <v>0.02</v>
      </c>
      <c r="AE14" s="60">
        <v>0.05</v>
      </c>
    </row>
    <row r="15" spans="1:3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AA15" t="s">
        <v>907</v>
      </c>
      <c r="AB15" t="s">
        <v>908</v>
      </c>
      <c r="AC15" s="60">
        <v>0.08</v>
      </c>
      <c r="AE15" s="60">
        <v>0.15</v>
      </c>
    </row>
    <row r="16" spans="1:31">
      <c r="A16" s="341"/>
      <c r="B16" s="341"/>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AA16" t="s">
        <v>907</v>
      </c>
      <c r="AB16" t="s">
        <v>909</v>
      </c>
      <c r="AC16" s="60">
        <v>0.05</v>
      </c>
      <c r="AE16" s="60">
        <v>0.1</v>
      </c>
    </row>
    <row r="17" spans="1:31">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AA17" t="s">
        <v>910</v>
      </c>
      <c r="AB17" t="s">
        <v>908</v>
      </c>
      <c r="AC17" s="60">
        <v>0.04</v>
      </c>
      <c r="AE17" s="60">
        <v>0.15</v>
      </c>
    </row>
    <row r="18" spans="1:31">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AA18" t="s">
        <v>910</v>
      </c>
      <c r="AB18" t="s">
        <v>909</v>
      </c>
      <c r="AC18" s="60">
        <v>0.09</v>
      </c>
      <c r="AE18" s="60">
        <v>0.2</v>
      </c>
    </row>
    <row r="19" spans="1:31">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AA19" t="s">
        <v>911</v>
      </c>
      <c r="AB19" t="s">
        <v>841</v>
      </c>
      <c r="AC19" s="60">
        <v>0.31</v>
      </c>
      <c r="AE19" s="60">
        <v>0.5</v>
      </c>
    </row>
    <row r="20" spans="1:31">
      <c r="A20" s="341"/>
      <c r="B20" s="34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AA20" t="s">
        <v>912</v>
      </c>
      <c r="AB20" t="s">
        <v>913</v>
      </c>
      <c r="AC20" s="60">
        <v>0.2</v>
      </c>
      <c r="AE20" s="60">
        <v>0.3</v>
      </c>
    </row>
    <row r="21" spans="1:3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AA21" t="s">
        <v>912</v>
      </c>
      <c r="AB21" t="s">
        <v>914</v>
      </c>
      <c r="AC21" s="60">
        <v>0.13</v>
      </c>
      <c r="AE21" s="60">
        <v>0.2</v>
      </c>
    </row>
    <row r="22" spans="1:31">
      <c r="A22" s="341"/>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AA22" t="s">
        <v>838</v>
      </c>
      <c r="AB22" t="s">
        <v>841</v>
      </c>
      <c r="AC22" s="60">
        <v>0.17</v>
      </c>
      <c r="AE22" s="60">
        <v>0.25</v>
      </c>
    </row>
    <row r="23" spans="1:31">
      <c r="A23" s="341"/>
      <c r="B23" s="341"/>
      <c r="C23" s="341"/>
      <c r="D23" s="341"/>
      <c r="E23" s="341"/>
      <c r="F23" s="341"/>
      <c r="G23" s="341"/>
      <c r="H23" s="341"/>
      <c r="I23" s="341"/>
      <c r="J23" s="341"/>
      <c r="K23" s="341"/>
      <c r="L23" s="341"/>
      <c r="M23" s="341"/>
      <c r="N23" s="341"/>
      <c r="O23" s="341"/>
      <c r="P23" s="341"/>
      <c r="Q23" s="341"/>
      <c r="R23" s="341"/>
      <c r="S23" s="341"/>
      <c r="T23" s="341"/>
      <c r="U23" s="341"/>
      <c r="V23" s="341"/>
      <c r="W23" s="341"/>
      <c r="X23" s="341"/>
      <c r="Y23" s="341"/>
    </row>
    <row r="24" spans="1:31">
      <c r="A24" s="341"/>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row>
    <row r="25" spans="1:31">
      <c r="A25" s="341"/>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row>
    <row r="26" spans="1:31">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row>
    <row r="27" spans="1:31">
      <c r="A27" s="341"/>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row>
    <row r="28" spans="1:3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row>
    <row r="29" spans="1:3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row>
    <row r="30" spans="1:31">
      <c r="A30" s="341"/>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row>
    <row r="31" spans="1:31">
      <c r="A31" s="341"/>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row>
    <row r="32" spans="1:31">
      <c r="A32" s="341"/>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row>
    <row r="33" spans="1:25">
      <c r="A33" s="341"/>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row>
    <row r="34" spans="1:25">
      <c r="A34" s="341"/>
      <c r="B34" s="341"/>
      <c r="C34" s="341"/>
      <c r="D34" s="341"/>
      <c r="E34" s="341"/>
      <c r="F34" s="341"/>
      <c r="G34" s="341"/>
      <c r="H34" s="341"/>
      <c r="I34" s="341"/>
      <c r="J34" s="341"/>
      <c r="K34" s="341"/>
      <c r="L34" s="341"/>
      <c r="M34" s="341"/>
      <c r="N34" s="341"/>
      <c r="O34" s="341"/>
      <c r="P34" s="341"/>
      <c r="Q34" s="341"/>
      <c r="R34" s="341"/>
      <c r="S34" s="341"/>
      <c r="T34" s="341"/>
      <c r="U34" s="341"/>
      <c r="V34" s="341"/>
      <c r="W34" s="341"/>
      <c r="X34" s="341"/>
      <c r="Y34" s="341"/>
    </row>
    <row r="35" spans="1:25">
      <c r="A35" s="341"/>
      <c r="B35" s="341"/>
      <c r="C35" s="341"/>
      <c r="D35" s="341"/>
      <c r="E35" s="341"/>
      <c r="F35" s="341"/>
      <c r="G35" s="341"/>
      <c r="H35" s="341"/>
      <c r="I35" s="341"/>
      <c r="J35" s="341"/>
      <c r="K35" s="341"/>
      <c r="L35" s="341"/>
      <c r="M35" s="341"/>
      <c r="N35" s="341"/>
      <c r="O35" s="341"/>
      <c r="P35" s="341"/>
      <c r="Q35" s="341"/>
      <c r="R35" s="341"/>
      <c r="S35" s="341"/>
      <c r="T35" s="341"/>
      <c r="U35" s="341"/>
      <c r="V35" s="341"/>
      <c r="W35" s="341"/>
      <c r="X35" s="341"/>
      <c r="Y35" s="341"/>
    </row>
    <row r="36" spans="1:25">
      <c r="A36" s="341"/>
      <c r="B36" s="341"/>
      <c r="C36" s="341"/>
      <c r="D36" s="341"/>
      <c r="E36" s="341"/>
      <c r="F36" s="341"/>
      <c r="G36" s="341"/>
      <c r="H36" s="341"/>
      <c r="I36" s="341"/>
      <c r="J36" s="341"/>
      <c r="K36" s="341"/>
      <c r="L36" s="341"/>
      <c r="M36" s="341"/>
      <c r="N36" s="341"/>
      <c r="O36" s="341"/>
      <c r="P36" s="341"/>
      <c r="Q36" s="341"/>
      <c r="R36" s="341"/>
      <c r="S36" s="341"/>
      <c r="T36" s="341"/>
      <c r="U36" s="341"/>
      <c r="V36" s="341"/>
      <c r="W36" s="341"/>
      <c r="X36" s="341"/>
      <c r="Y36" s="341"/>
    </row>
    <row r="37" spans="1:25">
      <c r="A37" s="341"/>
      <c r="B37" s="341"/>
      <c r="C37" s="341"/>
      <c r="D37" s="341"/>
      <c r="E37" s="341"/>
      <c r="F37" s="341"/>
      <c r="G37" s="341"/>
      <c r="H37" s="341"/>
      <c r="I37" s="341"/>
      <c r="J37" s="341"/>
      <c r="K37" s="341"/>
      <c r="L37" s="341"/>
      <c r="M37" s="341"/>
      <c r="N37" s="341"/>
      <c r="O37" s="341"/>
      <c r="P37" s="341"/>
      <c r="Q37" s="341"/>
      <c r="R37" s="341"/>
      <c r="S37" s="341"/>
      <c r="T37" s="341"/>
      <c r="U37" s="341"/>
      <c r="V37" s="341"/>
      <c r="W37" s="341"/>
      <c r="X37" s="341"/>
      <c r="Y37" s="341"/>
    </row>
    <row r="38" spans="1:25">
      <c r="A38" s="341"/>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row>
    <row r="39" spans="1:25">
      <c r="A39" s="341"/>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row>
    <row r="40" spans="1:25">
      <c r="A40" s="341"/>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row>
    <row r="41" spans="1:25">
      <c r="A41" s="341"/>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row>
    <row r="42" spans="1:25">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row>
    <row r="43" spans="1:25">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row>
    <row r="44" spans="1:25">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row>
    <row r="45" spans="1:25">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row>
    <row r="46" spans="1:25">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row>
    <row r="47" spans="1:25">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row>
    <row r="48" spans="1:25">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row>
    <row r="49" spans="1:25">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row>
    <row r="50" spans="1:25">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row>
    <row r="51" spans="1:25">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row>
    <row r="52" spans="1:25">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row>
    <row r="53" spans="1:25">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row>
    <row r="54" spans="1:25">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row>
    <row r="55" spans="1:25">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row>
    <row r="56" spans="1:25">
      <c r="A56" s="341"/>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row>
    <row r="57" spans="1:25">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row>
    <row r="58" spans="1:25">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row>
    <row r="59" spans="1:25">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row>
    <row r="60" spans="1:25">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row>
    <row r="61" spans="1:25">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row>
    <row r="62" spans="1:25">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row>
    <row r="63" spans="1:25">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row>
    <row r="64" spans="1:25">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row>
    <row r="65" spans="1:25">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row>
    <row r="66" spans="1:25">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row>
    <row r="67" spans="1:25">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row>
    <row r="68" spans="1:25">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row>
    <row r="69" spans="1:25">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row>
    <row r="70" spans="1:25">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row>
    <row r="71" spans="1:25">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row>
    <row r="72" spans="1:25">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row>
    <row r="73" spans="1:25">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row>
    <row r="74" spans="1:25">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row>
    <row r="75" spans="1:25">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row>
    <row r="76" spans="1:25">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row>
    <row r="77" spans="1:25">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row>
    <row r="78" spans="1:25">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row>
    <row r="79" spans="1:25">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row>
    <row r="80" spans="1:25">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row>
    <row r="81" spans="1:25">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row>
    <row r="82" spans="1:25">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row>
    <row r="83" spans="1:25">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row>
    <row r="84" spans="1:25">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row>
    <row r="85" spans="1:25">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row>
    <row r="86" spans="1:25">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row>
    <row r="87" spans="1:25">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row>
    <row r="88" spans="1:25">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row>
    <row r="89" spans="1:25">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row>
    <row r="90" spans="1:25">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row>
    <row r="91" spans="1:25">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row>
    <row r="92" spans="1:25">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row>
    <row r="93" spans="1:25">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row>
    <row r="94" spans="1:25">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row>
    <row r="95" spans="1:25">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row>
    <row r="96" spans="1:25">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row>
    <row r="97" spans="1:25">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row>
    <row r="98" spans="1:25">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row>
    <row r="99" spans="1:25">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row>
    <row r="100" spans="1:25">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row>
    <row r="101" spans="1:25">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row>
    <row r="102" spans="1:25">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row>
    <row r="103" spans="1:25">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row>
    <row r="104" spans="1:25">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row>
    <row r="105" spans="1:25">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row>
    <row r="106" spans="1:25">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row>
    <row r="107" spans="1:25">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row>
    <row r="108" spans="1:25">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row>
    <row r="109" spans="1:25">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row>
    <row r="110" spans="1:25">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row>
    <row r="111" spans="1:25">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row>
    <row r="112" spans="1:25">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row>
    <row r="113" spans="1:25">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row>
    <row r="114" spans="1:25">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row>
    <row r="115" spans="1:25">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row>
    <row r="116" spans="1:25">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row>
    <row r="117" spans="1:25">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row>
    <row r="118" spans="1:25">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row>
    <row r="119" spans="1:25">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row>
    <row r="120" spans="1:25">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row>
    <row r="121" spans="1:25">
      <c r="A121" s="341"/>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row>
    <row r="122" spans="1:25">
      <c r="A122" s="341"/>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row>
    <row r="123" spans="1:25">
      <c r="A123" s="341"/>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row>
    <row r="124" spans="1:25">
      <c r="A124" s="341"/>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row>
    <row r="125" spans="1:25">
      <c r="A125" s="341"/>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row>
    <row r="126" spans="1:25">
      <c r="A126" s="341"/>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row>
    <row r="127" spans="1:25">
      <c r="A127" s="341"/>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row>
    <row r="128" spans="1:25">
      <c r="A128" s="341"/>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row>
    <row r="129" spans="1:25">
      <c r="A129" s="341"/>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row>
    <row r="130" spans="1:25">
      <c r="A130" s="341"/>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row>
    <row r="131" spans="1:25">
      <c r="A131" s="341"/>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row>
    <row r="132" spans="1:25">
      <c r="A132" s="341"/>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row>
    <row r="133" spans="1:25">
      <c r="A133" s="341"/>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row>
    <row r="134" spans="1:25">
      <c r="A134" s="341"/>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row>
    <row r="135" spans="1:25">
      <c r="A135" s="341"/>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row>
    <row r="136" spans="1:25">
      <c r="A136" s="341"/>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row>
    <row r="137" spans="1:25">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row>
    <row r="138" spans="1:25">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row>
    <row r="139" spans="1:25">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row>
    <row r="140" spans="1:25">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row>
    <row r="141" spans="1:25">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row>
    <row r="142" spans="1:25">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row>
    <row r="143" spans="1:25">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row>
    <row r="144" spans="1:25">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row>
    <row r="145" spans="1:25">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row>
    <row r="146" spans="1:25">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row>
    <row r="147" spans="1:25">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row>
    <row r="148" spans="1:25">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row>
    <row r="149" spans="1:25">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row>
    <row r="150" spans="1:25">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row>
    <row r="151" spans="1:25">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row>
    <row r="152" spans="1:25">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row>
    <row r="153" spans="1:25">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row>
    <row r="154" spans="1:25">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row>
    <row r="155" spans="1:25">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row>
    <row r="156" spans="1:25">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row>
    <row r="157" spans="1:25">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row>
    <row r="158" spans="1:25">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row>
    <row r="159" spans="1:25">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row>
    <row r="160" spans="1:25">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row>
    <row r="161" spans="1:25">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row>
    <row r="162" spans="1:25">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row>
    <row r="163" spans="1:25">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row>
    <row r="164" spans="1:25">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row>
    <row r="165" spans="1:25">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row>
    <row r="166" spans="1:25">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row>
    <row r="167" spans="1:25">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row>
    <row r="168" spans="1:25">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row>
    <row r="169" spans="1:25">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row>
    <row r="170" spans="1:25">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row>
    <row r="171" spans="1:25">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row>
    <row r="172" spans="1:25">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row>
    <row r="173" spans="1:25">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row>
    <row r="174" spans="1:25">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row>
    <row r="175" spans="1:25">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row>
    <row r="176" spans="1:25">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row>
    <row r="177" spans="1:25">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row>
    <row r="178" spans="1:25">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row>
    <row r="179" spans="1:25">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row>
    <row r="180" spans="1:25">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row>
    <row r="181" spans="1:25">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row>
    <row r="182" spans="1:25">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row>
    <row r="183" spans="1:25">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row>
    <row r="184" spans="1:25">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row>
    <row r="185" spans="1:25">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row>
    <row r="186" spans="1:25">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row>
    <row r="187" spans="1:25">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row>
    <row r="188" spans="1:25">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row>
    <row r="189" spans="1:25">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row>
    <row r="190" spans="1:25">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row>
    <row r="191" spans="1:25">
      <c r="A191" s="341"/>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row>
    <row r="192" spans="1:25">
      <c r="A192" s="341"/>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row>
    <row r="193" spans="1:25">
      <c r="A193" s="341"/>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row>
    <row r="194" spans="1:25">
      <c r="A194" s="341"/>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row>
    <row r="195" spans="1:25">
      <c r="A195" s="341"/>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row>
    <row r="196" spans="1:25">
      <c r="A196" s="341"/>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row>
    <row r="197" spans="1:25">
      <c r="A197" s="341"/>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row>
    <row r="198" spans="1:25">
      <c r="A198" s="341"/>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row>
    <row r="199" spans="1:25">
      <c r="A199" s="341"/>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row>
    <row r="200" spans="1:25">
      <c r="A200" s="341"/>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row>
    <row r="201" spans="1:25">
      <c r="A201" s="341"/>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row>
    <row r="202" spans="1:25">
      <c r="A202" s="341"/>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row>
    <row r="203" spans="1:25">
      <c r="A203" s="341"/>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row>
    <row r="204" spans="1:25">
      <c r="A204" s="341"/>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row>
    <row r="205" spans="1:25">
      <c r="A205" s="341"/>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row>
    <row r="206" spans="1:25">
      <c r="A206" s="341"/>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row>
    <row r="207" spans="1:25">
      <c r="A207" s="341"/>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row>
    <row r="208" spans="1:25">
      <c r="A208" s="341"/>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row>
    <row r="209" spans="1:25">
      <c r="A209" s="341"/>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row>
    <row r="210" spans="1:25">
      <c r="A210" s="341"/>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row>
    <row r="211" spans="1:25">
      <c r="A211" s="341"/>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row>
    <row r="212" spans="1:25">
      <c r="A212" s="341"/>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row>
    <row r="213" spans="1:25">
      <c r="A213" s="341"/>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row>
    <row r="214" spans="1:25">
      <c r="A214" s="341"/>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row>
    <row r="215" spans="1:25">
      <c r="A215" s="341"/>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row>
    <row r="216" spans="1:25">
      <c r="A216" s="341"/>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row>
    <row r="217" spans="1:25">
      <c r="A217" s="341"/>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row>
    <row r="218" spans="1:25">
      <c r="A218" s="341"/>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row>
    <row r="219" spans="1:25">
      <c r="A219" s="341"/>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row>
    <row r="220" spans="1:25">
      <c r="A220" s="341"/>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row>
    <row r="221" spans="1:25">
      <c r="A221" s="341"/>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row>
    <row r="222" spans="1:25">
      <c r="A222" s="341"/>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row>
    <row r="223" spans="1:25">
      <c r="A223" s="341"/>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row>
    <row r="224" spans="1:25">
      <c r="A224" s="34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row>
    <row r="225" spans="1:25">
      <c r="A225" s="34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row>
    <row r="226" spans="1:25">
      <c r="A226" s="341"/>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row>
    <row r="227" spans="1:25">
      <c r="A227" s="341"/>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row>
    <row r="228" spans="1:25">
      <c r="A228" s="341"/>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row>
    <row r="229" spans="1:25">
      <c r="A229" s="341"/>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row>
    <row r="230" spans="1:25">
      <c r="A230" s="341"/>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row>
    <row r="231" spans="1:25">
      <c r="A231" s="341"/>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row>
    <row r="232" spans="1:25">
      <c r="A232" s="341"/>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row>
    <row r="233" spans="1:25">
      <c r="A233" s="341"/>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row>
    <row r="234" spans="1:25">
      <c r="A234" s="341"/>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row>
    <row r="235" spans="1:25">
      <c r="A235" s="341"/>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row>
    <row r="236" spans="1:25">
      <c r="A236" s="341"/>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row>
    <row r="237" spans="1:25">
      <c r="A237" s="341"/>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row>
    <row r="238" spans="1:25">
      <c r="A238" s="341"/>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row>
    <row r="239" spans="1:25">
      <c r="A239" s="341"/>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row>
    <row r="240" spans="1:25">
      <c r="A240" s="341"/>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row>
    <row r="241" spans="1:25">
      <c r="A241" s="341"/>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row>
    <row r="242" spans="1:25">
      <c r="A242" s="341"/>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row>
    <row r="243" spans="1:25">
      <c r="A243" s="341"/>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row>
    <row r="244" spans="1:25">
      <c r="A244" s="341"/>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row>
    <row r="245" spans="1:25">
      <c r="A245" s="341"/>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row>
    <row r="246" spans="1:25">
      <c r="A246" s="341"/>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row>
    <row r="247" spans="1:25">
      <c r="A247" s="341"/>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row>
    <row r="248" spans="1:25">
      <c r="A248" s="341"/>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row>
    <row r="249" spans="1:25">
      <c r="A249" s="341"/>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row>
    <row r="250" spans="1:25">
      <c r="A250" s="341"/>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row>
    <row r="251" spans="1:25">
      <c r="A251" s="341"/>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row>
    <row r="252" spans="1:25">
      <c r="A252" s="341"/>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row>
    <row r="253" spans="1:25">
      <c r="A253" s="341"/>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row>
    <row r="254" spans="1:25">
      <c r="A254" s="341"/>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row>
    <row r="255" spans="1:25">
      <c r="A255" s="341"/>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row>
    <row r="256" spans="1:25">
      <c r="A256" s="341"/>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row>
    <row r="257" spans="1:25">
      <c r="A257" s="341"/>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row>
    <row r="258" spans="1:25">
      <c r="A258" s="341"/>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row>
    <row r="259" spans="1:25">
      <c r="A259" s="341"/>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row>
    <row r="260" spans="1:25">
      <c r="A260" s="341"/>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row>
    <row r="261" spans="1:25">
      <c r="A261" s="341"/>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row>
    <row r="262" spans="1:25">
      <c r="A262" s="341"/>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row>
    <row r="263" spans="1:25">
      <c r="A263" s="341"/>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row>
    <row r="264" spans="1:25">
      <c r="A264" s="341"/>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row>
    <row r="265" spans="1:25">
      <c r="A265" s="341"/>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row>
    <row r="266" spans="1:25">
      <c r="A266" s="341"/>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row>
    <row r="267" spans="1:25">
      <c r="A267" s="341"/>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row>
    <row r="268" spans="1:25">
      <c r="A268" s="341"/>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row>
    <row r="269" spans="1:25">
      <c r="A269" s="341"/>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row>
    <row r="270" spans="1:25">
      <c r="A270" s="341"/>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row>
    <row r="271" spans="1:25">
      <c r="A271" s="341"/>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row>
    <row r="272" spans="1:25">
      <c r="A272" s="341"/>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row>
    <row r="273" spans="1:25">
      <c r="A273" s="341"/>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row>
    <row r="274" spans="1:25">
      <c r="A274" s="341"/>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row>
    <row r="275" spans="1:25">
      <c r="A275" s="341"/>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row>
    <row r="276" spans="1:25">
      <c r="A276" s="341"/>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row>
    <row r="277" spans="1:25">
      <c r="A277" s="341"/>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row>
    <row r="278" spans="1:25">
      <c r="A278" s="341"/>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row>
    <row r="279" spans="1:25">
      <c r="A279" s="341"/>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row>
    <row r="280" spans="1:25">
      <c r="A280" s="341"/>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row>
    <row r="281" spans="1:25">
      <c r="A281" s="341"/>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row>
    <row r="282" spans="1:25">
      <c r="A282" s="341"/>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row>
    <row r="283" spans="1:25">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row>
    <row r="284" spans="1:25">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row>
    <row r="285" spans="1:25">
      <c r="A285" s="341"/>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row>
    <row r="286" spans="1:25">
      <c r="A286" s="341"/>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row>
    <row r="287" spans="1:25">
      <c r="A287" s="341"/>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row>
    <row r="288" spans="1:25">
      <c r="A288" s="341"/>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row>
    <row r="289" spans="1:25">
      <c r="A289" s="341"/>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row>
    <row r="290" spans="1:25">
      <c r="A290" s="341"/>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row>
    <row r="291" spans="1:25">
      <c r="A291" s="341"/>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row>
    <row r="292" spans="1:25">
      <c r="A292" s="341"/>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row>
    <row r="293" spans="1:25">
      <c r="A293" s="341"/>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row>
    <row r="294" spans="1:25">
      <c r="A294" s="341"/>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row>
    <row r="295" spans="1:25">
      <c r="A295" s="341"/>
      <c r="B295" s="341"/>
      <c r="C295" s="341"/>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row>
    <row r="296" spans="1:25">
      <c r="A296" s="341"/>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row>
    <row r="297" spans="1:25">
      <c r="A297" s="341"/>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row>
    <row r="298" spans="1:25">
      <c r="A298" s="341"/>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row>
    <row r="299" spans="1:25">
      <c r="A299" s="341"/>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row>
    <row r="300" spans="1:25">
      <c r="A300" s="341"/>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row>
    <row r="301" spans="1:25">
      <c r="A301" s="341"/>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row>
    <row r="302" spans="1:25">
      <c r="A302" s="341"/>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row>
    <row r="303" spans="1:25">
      <c r="A303" s="341"/>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row>
    <row r="304" spans="1:25">
      <c r="A304" s="341"/>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row>
    <row r="305" spans="1:25">
      <c r="A305" s="341"/>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row>
    <row r="306" spans="1:25">
      <c r="A306" s="341"/>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row>
    <row r="307" spans="1:25">
      <c r="A307" s="341"/>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row>
    <row r="308" spans="1:25">
      <c r="A308" s="341"/>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row>
    <row r="309" spans="1:25">
      <c r="A309" s="341"/>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row>
    <row r="310" spans="1:25">
      <c r="A310" s="341"/>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row>
    <row r="311" spans="1:25">
      <c r="A311" s="341"/>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row>
    <row r="312" spans="1:25">
      <c r="A312" s="341"/>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row>
    <row r="313" spans="1:25">
      <c r="A313" s="341"/>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row>
    <row r="314" spans="1:25">
      <c r="A314" s="341"/>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row>
    <row r="315" spans="1:25">
      <c r="A315" s="341"/>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row>
    <row r="316" spans="1:25">
      <c r="A316" s="341"/>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row>
    <row r="317" spans="1:25">
      <c r="A317" s="341"/>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row>
    <row r="318" spans="1:25">
      <c r="A318" s="341"/>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row>
    <row r="319" spans="1:25">
      <c r="A319" s="341"/>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row>
    <row r="320" spans="1:25">
      <c r="A320" s="341"/>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row>
    <row r="321" spans="1:25">
      <c r="A321" s="341"/>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row>
    <row r="322" spans="1:25">
      <c r="A322" s="341"/>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row>
    <row r="323" spans="1:25">
      <c r="A323" s="341"/>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row>
    <row r="324" spans="1:25">
      <c r="A324" s="341"/>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row>
    <row r="325" spans="1:25">
      <c r="A325" s="341"/>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row>
    <row r="326" spans="1:25">
      <c r="A326" s="341"/>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row>
    <row r="327" spans="1:25">
      <c r="A327" s="341"/>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row>
    <row r="328" spans="1:25">
      <c r="A328" s="341"/>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row>
    <row r="329" spans="1:25">
      <c r="A329" s="341"/>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row>
    <row r="330" spans="1:25">
      <c r="A330" s="341"/>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row>
    <row r="331" spans="1:25">
      <c r="A331" s="341"/>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row>
    <row r="332" spans="1:25">
      <c r="A332" s="341"/>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row>
    <row r="333" spans="1:25">
      <c r="A333" s="341"/>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row>
    <row r="334" spans="1:25">
      <c r="A334" s="341"/>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row>
    <row r="335" spans="1:25">
      <c r="A335" s="341"/>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row>
    <row r="336" spans="1:25">
      <c r="A336" s="341"/>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row>
    <row r="337" spans="1:25">
      <c r="A337" s="341"/>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row>
    <row r="338" spans="1:25">
      <c r="A338" s="341"/>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row>
    <row r="339" spans="1:25">
      <c r="A339" s="341"/>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row>
    <row r="340" spans="1:25">
      <c r="A340" s="341"/>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row>
    <row r="341" spans="1:25">
      <c r="A341" s="341"/>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row>
    <row r="342" spans="1:25">
      <c r="A342" s="341"/>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row>
    <row r="343" spans="1:25">
      <c r="A343" s="341"/>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row>
    <row r="344" spans="1:25">
      <c r="A344" s="341"/>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row>
    <row r="345" spans="1:25">
      <c r="A345" s="341"/>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row>
    <row r="346" spans="1:25">
      <c r="A346" s="341"/>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row>
    <row r="347" spans="1:25">
      <c r="A347" s="341"/>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row>
    <row r="348" spans="1:25">
      <c r="A348" s="341"/>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row>
    <row r="349" spans="1:25">
      <c r="A349" s="341"/>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row>
    <row r="350" spans="1:25">
      <c r="A350" s="341"/>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row>
    <row r="351" spans="1:25">
      <c r="A351" s="341"/>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row>
    <row r="352" spans="1:25">
      <c r="A352" s="341"/>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row>
    <row r="353" spans="1:25">
      <c r="A353" s="341"/>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row>
    <row r="354" spans="1:25">
      <c r="A354" s="341"/>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row>
    <row r="355" spans="1:25">
      <c r="A355" s="341"/>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row>
    <row r="356" spans="1:25">
      <c r="A356" s="341"/>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row>
    <row r="357" spans="1:25">
      <c r="A357" s="341"/>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row>
    <row r="358" spans="1:25">
      <c r="A358" s="341"/>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row>
    <row r="359" spans="1:25">
      <c r="A359" s="341"/>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row>
    <row r="360" spans="1:25">
      <c r="A360" s="341"/>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row>
    <row r="361" spans="1:25">
      <c r="A361" s="341"/>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row>
    <row r="362" spans="1:25">
      <c r="A362" s="341"/>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row>
    <row r="363" spans="1:25">
      <c r="A363" s="341"/>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row>
    <row r="364" spans="1:25">
      <c r="A364" s="341"/>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row>
    <row r="365" spans="1:25">
      <c r="A365" s="341"/>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row>
    <row r="366" spans="1:25">
      <c r="A366" s="341"/>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row>
    <row r="367" spans="1:25">
      <c r="A367" s="341"/>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row>
    <row r="368" spans="1:25">
      <c r="A368" s="341"/>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row>
    <row r="369" spans="1:25">
      <c r="A369" s="341"/>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row>
    <row r="370" spans="1:25">
      <c r="A370" s="341"/>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row>
    <row r="371" spans="1:25">
      <c r="A371" s="341"/>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row>
    <row r="372" spans="1:25">
      <c r="A372" s="341"/>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row>
    <row r="373" spans="1:25">
      <c r="A373" s="341"/>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row>
    <row r="374" spans="1:25">
      <c r="A374" s="341"/>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row>
    <row r="375" spans="1:25">
      <c r="A375" s="341"/>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row>
    <row r="376" spans="1:25">
      <c r="A376" s="341"/>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row>
    <row r="377" spans="1:25">
      <c r="A377" s="341"/>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row>
    <row r="378" spans="1:25">
      <c r="A378" s="341"/>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row>
    <row r="379" spans="1:25">
      <c r="A379" s="341"/>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row>
    <row r="380" spans="1:25">
      <c r="A380" s="341"/>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row>
    <row r="381" spans="1:25">
      <c r="A381" s="341"/>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row>
    <row r="382" spans="1:25">
      <c r="A382" s="341"/>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row>
    <row r="383" spans="1:25">
      <c r="A383" s="341"/>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row>
    <row r="384" spans="1:25">
      <c r="A384" s="341"/>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row>
    <row r="385" spans="1:25">
      <c r="A385" s="341"/>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row>
    <row r="386" spans="1:25">
      <c r="A386" s="341"/>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row>
    <row r="387" spans="1:25">
      <c r="A387" s="341"/>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row>
    <row r="388" spans="1:25">
      <c r="A388" s="341"/>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row>
    <row r="389" spans="1:25">
      <c r="A389" s="341"/>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row>
    <row r="390" spans="1:25">
      <c r="A390" s="341"/>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row>
    <row r="391" spans="1:25">
      <c r="A391" s="341"/>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row>
    <row r="392" spans="1:25">
      <c r="A392" s="341"/>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row>
    <row r="393" spans="1:25">
      <c r="A393" s="341"/>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row>
    <row r="394" spans="1:25">
      <c r="A394" s="341"/>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row>
    <row r="395" spans="1:25">
      <c r="A395" s="341"/>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row>
    <row r="396" spans="1:25">
      <c r="A396" s="341"/>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row>
    <row r="397" spans="1:25">
      <c r="A397" s="341"/>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row>
    <row r="398" spans="1:25">
      <c r="A398" s="341"/>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row>
    <row r="399" spans="1:25">
      <c r="A399" s="341"/>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row>
    <row r="400" spans="1:25">
      <c r="A400" s="341"/>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row>
    <row r="401" spans="1:25">
      <c r="A401" s="341"/>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row>
    <row r="402" spans="1:25">
      <c r="A402" s="341"/>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row>
    <row r="403" spans="1:25">
      <c r="A403" s="341"/>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row>
    <row r="404" spans="1:25">
      <c r="A404" s="341"/>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row>
    <row r="405" spans="1:25">
      <c r="A405" s="341"/>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row>
    <row r="406" spans="1:25">
      <c r="A406" s="341"/>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row>
    <row r="407" spans="1:25">
      <c r="A407" s="341"/>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row>
    <row r="408" spans="1:25">
      <c r="A408" s="341"/>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row>
    <row r="409" spans="1:25">
      <c r="A409" s="341"/>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row>
    <row r="410" spans="1:25">
      <c r="A410" s="341"/>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row>
    <row r="411" spans="1:25">
      <c r="A411" s="341"/>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row>
    <row r="412" spans="1:25">
      <c r="A412" s="341"/>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row>
    <row r="413" spans="1:25">
      <c r="A413" s="341"/>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row>
    <row r="414" spans="1:25">
      <c r="A414" s="341"/>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row>
    <row r="415" spans="1:25">
      <c r="A415" s="341"/>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row>
    <row r="416" spans="1:25">
      <c r="A416" s="341"/>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row>
    <row r="417" spans="1:25">
      <c r="A417" s="341"/>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row>
    <row r="418" spans="1:25">
      <c r="A418" s="341"/>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row>
    <row r="419" spans="1:25">
      <c r="A419" s="341"/>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row>
    <row r="420" spans="1:25">
      <c r="A420" s="341"/>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row>
    <row r="421" spans="1:25">
      <c r="A421" s="341"/>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row>
    <row r="422" spans="1:25">
      <c r="A422" s="341"/>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row>
    <row r="423" spans="1:25">
      <c r="A423" s="341"/>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row>
    <row r="424" spans="1:25">
      <c r="A424" s="341"/>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row>
    <row r="425" spans="1:25">
      <c r="A425" s="341"/>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row>
    <row r="426" spans="1:25">
      <c r="A426" s="341"/>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row>
    <row r="427" spans="1:25">
      <c r="A427" s="341"/>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row>
    <row r="428" spans="1:25">
      <c r="A428" s="341"/>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row>
    <row r="429" spans="1:25">
      <c r="A429" s="341"/>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row>
    <row r="430" spans="1:25">
      <c r="A430" s="341"/>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row>
    <row r="431" spans="1:25">
      <c r="A431" s="341"/>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row>
    <row r="432" spans="1:25">
      <c r="A432" s="341"/>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row>
    <row r="433" spans="1:25">
      <c r="A433" s="341"/>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row>
    <row r="434" spans="1:25">
      <c r="A434" s="341"/>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row>
    <row r="435" spans="1:25">
      <c r="A435" s="341"/>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row>
    <row r="436" spans="1:25">
      <c r="A436" s="341"/>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row>
    <row r="437" spans="1:25">
      <c r="A437" s="341"/>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row>
    <row r="438" spans="1:25">
      <c r="A438" s="341"/>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row>
    <row r="439" spans="1:25">
      <c r="A439" s="341"/>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row>
    <row r="440" spans="1:25">
      <c r="A440" s="341"/>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row>
    <row r="441" spans="1:25">
      <c r="A441" s="341"/>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row>
    <row r="442" spans="1:25">
      <c r="A442" s="341"/>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row>
    <row r="443" spans="1:25">
      <c r="A443" s="341"/>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row>
    <row r="444" spans="1:25">
      <c r="A444" s="341"/>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row>
    <row r="445" spans="1:25">
      <c r="A445" s="341"/>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row>
    <row r="446" spans="1:25">
      <c r="A446" s="341"/>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row>
    <row r="447" spans="1:25">
      <c r="A447" s="341"/>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row>
    <row r="448" spans="1:25">
      <c r="A448" s="341"/>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row>
    <row r="449" spans="1:25">
      <c r="A449" s="341"/>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row>
    <row r="450" spans="1:25">
      <c r="A450" s="341"/>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row>
    <row r="451" spans="1:25">
      <c r="A451" s="341"/>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row>
    <row r="452" spans="1:25">
      <c r="A452" s="341"/>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row>
    <row r="453" spans="1:25">
      <c r="A453" s="341"/>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row>
    <row r="454" spans="1:25">
      <c r="A454" s="341"/>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row>
    <row r="455" spans="1:25">
      <c r="A455" s="341"/>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row>
    <row r="456" spans="1:25">
      <c r="A456" s="341"/>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row>
    <row r="457" spans="1:25">
      <c r="A457" s="341"/>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row>
    <row r="458" spans="1:25">
      <c r="A458" s="341"/>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row>
    <row r="459" spans="1:25">
      <c r="A459" s="341"/>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row>
    <row r="460" spans="1:25">
      <c r="A460" s="341"/>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row>
    <row r="461" spans="1:25">
      <c r="A461" s="341"/>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row>
    <row r="462" spans="1:25">
      <c r="A462" s="341"/>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row>
    <row r="463" spans="1:25">
      <c r="A463" s="341"/>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row>
    <row r="464" spans="1:25">
      <c r="A464" s="341"/>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row>
    <row r="465" spans="1:25">
      <c r="A465" s="341"/>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row>
    <row r="466" spans="1:25">
      <c r="A466" s="341"/>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row>
    <row r="467" spans="1:25">
      <c r="A467" s="341"/>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row>
    <row r="468" spans="1:25">
      <c r="A468" s="341"/>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row>
    <row r="469" spans="1:25">
      <c r="A469" s="341"/>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row>
    <row r="470" spans="1:25">
      <c r="A470" s="341"/>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row>
    <row r="471" spans="1:25">
      <c r="A471" s="341"/>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row>
    <row r="472" spans="1:25">
      <c r="A472" s="341"/>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row>
    <row r="473" spans="1:25">
      <c r="A473" s="341"/>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row>
    <row r="474" spans="1:25">
      <c r="A474" s="341"/>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row>
    <row r="475" spans="1:25">
      <c r="A475" s="341"/>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row>
    <row r="476" spans="1:25">
      <c r="A476" s="341"/>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row>
    <row r="477" spans="1:25">
      <c r="A477" s="341"/>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row>
    <row r="478" spans="1:25">
      <c r="A478" s="341"/>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row>
    <row r="479" spans="1:25">
      <c r="A479" s="341"/>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row>
    <row r="480" spans="1:25">
      <c r="A480" s="341"/>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row>
    <row r="481" spans="1:25">
      <c r="A481" s="341"/>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row>
    <row r="482" spans="1:25">
      <c r="A482" s="341"/>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row>
    <row r="483" spans="1:25">
      <c r="A483" s="341"/>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row>
    <row r="484" spans="1:25">
      <c r="A484" s="341"/>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row>
    <row r="485" spans="1:25">
      <c r="A485" s="341"/>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row>
    <row r="486" spans="1:25">
      <c r="A486" s="341"/>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row>
    <row r="487" spans="1:25">
      <c r="A487" s="341"/>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row>
    <row r="488" spans="1:25">
      <c r="A488" s="341"/>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row>
    <row r="489" spans="1:25">
      <c r="A489" s="341"/>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row>
    <row r="490" spans="1:25">
      <c r="A490" s="341"/>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row>
    <row r="491" spans="1:25">
      <c r="A491" s="341"/>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row>
    <row r="492" spans="1:25">
      <c r="A492" s="341"/>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row>
    <row r="493" spans="1:25">
      <c r="A493" s="341"/>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row>
    <row r="494" spans="1:25">
      <c r="A494" s="341"/>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row>
    <row r="495" spans="1:25">
      <c r="A495" s="341"/>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row>
    <row r="496" spans="1:25">
      <c r="A496" s="341"/>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row>
    <row r="497" spans="1:25">
      <c r="A497" s="341"/>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row>
    <row r="498" spans="1:25">
      <c r="A498" s="341"/>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row>
    <row r="499" spans="1:25">
      <c r="A499" s="341"/>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row>
    <row r="500" spans="1:25">
      <c r="A500" s="341"/>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row>
    <row r="501" spans="1:25">
      <c r="A501" s="341"/>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row>
    <row r="502" spans="1:25">
      <c r="A502" s="341"/>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row>
    <row r="503" spans="1:25">
      <c r="A503" s="341"/>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row>
    <row r="504" spans="1:25">
      <c r="A504" s="341"/>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row>
    <row r="505" spans="1:25">
      <c r="A505" s="341"/>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row>
    <row r="506" spans="1:25">
      <c r="A506" s="341"/>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row>
    <row r="507" spans="1:25">
      <c r="A507" s="341"/>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row>
    <row r="508" spans="1:25">
      <c r="A508" s="341"/>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row>
    <row r="509" spans="1:25">
      <c r="A509" s="341"/>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row>
    <row r="510" spans="1:25">
      <c r="A510" s="341"/>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row>
    <row r="511" spans="1:25">
      <c r="A511" s="341"/>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row>
    <row r="512" spans="1:25">
      <c r="A512" s="341"/>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row>
    <row r="513" spans="1:25">
      <c r="A513" s="341"/>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row>
    <row r="514" spans="1:25">
      <c r="A514" s="341"/>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row>
    <row r="515" spans="1:25">
      <c r="A515" s="341"/>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row>
    <row r="516" spans="1:25">
      <c r="A516" s="341"/>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row>
    <row r="517" spans="1:25">
      <c r="A517" s="341"/>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row>
    <row r="518" spans="1:25">
      <c r="A518" s="341"/>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row>
    <row r="519" spans="1:25">
      <c r="A519" s="341"/>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row>
    <row r="520" spans="1:25">
      <c r="A520" s="341"/>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row>
    <row r="521" spans="1:25">
      <c r="A521" s="341"/>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row>
    <row r="522" spans="1:25">
      <c r="A522" s="341"/>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row>
    <row r="523" spans="1:25">
      <c r="A523" s="341"/>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row>
    <row r="524" spans="1:25">
      <c r="A524" s="341"/>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row>
    <row r="525" spans="1:25">
      <c r="A525" s="341"/>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row>
    <row r="526" spans="1:25">
      <c r="A526" s="341"/>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row>
    <row r="527" spans="1:25">
      <c r="A527" s="341"/>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row>
    <row r="528" spans="1:25">
      <c r="A528" s="341"/>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row>
    <row r="529" spans="1:25">
      <c r="A529" s="341"/>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row>
    <row r="530" spans="1:25">
      <c r="A530" s="341"/>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row>
    <row r="531" spans="1:25">
      <c r="A531" s="341"/>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row>
    <row r="532" spans="1:25">
      <c r="A532" s="341"/>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row>
    <row r="533" spans="1:25">
      <c r="A533" s="341"/>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row>
    <row r="534" spans="1:25">
      <c r="A534" s="341"/>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row>
    <row r="535" spans="1:25">
      <c r="A535" s="341"/>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row>
    <row r="536" spans="1:25">
      <c r="A536" s="341"/>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row>
    <row r="537" spans="1:25">
      <c r="A537" s="341"/>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row>
    <row r="538" spans="1:25">
      <c r="A538" s="341"/>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row>
    <row r="539" spans="1:25">
      <c r="A539" s="341"/>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row>
    <row r="540" spans="1:25">
      <c r="A540" s="341"/>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row>
    <row r="541" spans="1:25">
      <c r="A541" s="341"/>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row>
    <row r="542" spans="1:25">
      <c r="A542" s="341"/>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row>
    <row r="543" spans="1:25">
      <c r="A543" s="341"/>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row>
    <row r="544" spans="1:25">
      <c r="A544" s="341"/>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row>
    <row r="545" spans="1:25">
      <c r="A545" s="341"/>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row>
    <row r="546" spans="1:25">
      <c r="A546" s="341"/>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row>
    <row r="547" spans="1:25">
      <c r="A547" s="341"/>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row>
    <row r="548" spans="1:25">
      <c r="A548" s="341"/>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row>
    <row r="549" spans="1:25">
      <c r="A549" s="341"/>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row>
    <row r="550" spans="1:25">
      <c r="A550" s="341"/>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row>
    <row r="551" spans="1:25">
      <c r="A551" s="341"/>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row>
    <row r="552" spans="1:25">
      <c r="A552" s="341"/>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row>
    <row r="553" spans="1:25">
      <c r="A553" s="341"/>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row>
    <row r="554" spans="1:25">
      <c r="A554" s="341"/>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row>
    <row r="555" spans="1:25">
      <c r="A555" s="341"/>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row>
    <row r="556" spans="1:25">
      <c r="A556" s="341"/>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row>
    <row r="557" spans="1:25">
      <c r="A557" s="341"/>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row>
    <row r="558" spans="1:25">
      <c r="A558" s="341"/>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row>
    <row r="559" spans="1:25">
      <c r="A559" s="341"/>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row>
    <row r="560" spans="1:25">
      <c r="A560" s="341"/>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row>
    <row r="561" spans="1:25">
      <c r="A561" s="341"/>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row>
    <row r="562" spans="1:25">
      <c r="A562" s="341"/>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row>
    <row r="563" spans="1:25">
      <c r="A563" s="341"/>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row>
    <row r="564" spans="1:25">
      <c r="A564" s="341"/>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row>
    <row r="565" spans="1:25">
      <c r="A565" s="341"/>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row>
    <row r="566" spans="1:25">
      <c r="A566" s="341"/>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row>
    <row r="567" spans="1:25">
      <c r="A567" s="341"/>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row>
    <row r="568" spans="1:25">
      <c r="A568" s="341"/>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row>
    <row r="569" spans="1:25">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row>
    <row r="570" spans="1:25">
      <c r="A570" s="341"/>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row>
    <row r="571" spans="1:25">
      <c r="A571" s="341"/>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row>
    <row r="572" spans="1:25">
      <c r="A572" s="341"/>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row>
    <row r="573" spans="1:25">
      <c r="A573" s="341"/>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row>
    <row r="574" spans="1:25">
      <c r="A574" s="341"/>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row>
    <row r="575" spans="1:25">
      <c r="A575" s="341"/>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row>
    <row r="576" spans="1:25">
      <c r="A576" s="341"/>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row>
    <row r="577" spans="1:25">
      <c r="A577" s="341"/>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row>
    <row r="578" spans="1:25">
      <c r="A578" s="341"/>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row>
    <row r="579" spans="1:25">
      <c r="A579" s="341"/>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row>
    <row r="580" spans="1:25">
      <c r="A580" s="341"/>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row>
    <row r="581" spans="1:25">
      <c r="A581" s="341"/>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row>
    <row r="582" spans="1:25">
      <c r="A582" s="341"/>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row>
    <row r="583" spans="1:25">
      <c r="A583" s="341"/>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row>
    <row r="584" spans="1:25">
      <c r="A584" s="341"/>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row>
    <row r="585" spans="1:25">
      <c r="A585" s="341"/>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row>
    <row r="586" spans="1:25">
      <c r="A586" s="341"/>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row>
    <row r="587" spans="1:25">
      <c r="A587" s="341"/>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row>
    <row r="588" spans="1:25">
      <c r="A588" s="341"/>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row>
    <row r="589" spans="1:25">
      <c r="A589" s="341"/>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row>
    <row r="590" spans="1:25">
      <c r="A590" s="341"/>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row>
    <row r="591" spans="1:25">
      <c r="A591" s="341"/>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row>
    <row r="592" spans="1:25">
      <c r="A592" s="341"/>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row>
    <row r="593" spans="1:25">
      <c r="A593" s="341"/>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row>
    <row r="594" spans="1:25">
      <c r="A594" s="341"/>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row>
    <row r="595" spans="1:25">
      <c r="A595" s="341"/>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row>
    <row r="596" spans="1:25">
      <c r="A596" s="341"/>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row>
    <row r="597" spans="1:25">
      <c r="A597" s="341"/>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row>
    <row r="598" spans="1:25">
      <c r="A598" s="341"/>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row>
    <row r="599" spans="1:25">
      <c r="A599" s="341"/>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row>
    <row r="600" spans="1:25">
      <c r="A600" s="341"/>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row>
    <row r="601" spans="1:25">
      <c r="A601" s="341"/>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row>
    <row r="602" spans="1:25">
      <c r="A602" s="341"/>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row>
    <row r="603" spans="1:25">
      <c r="A603" s="341"/>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row>
    <row r="604" spans="1:25">
      <c r="A604" s="341"/>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row>
    <row r="605" spans="1:25">
      <c r="A605" s="341"/>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row>
    <row r="606" spans="1:25">
      <c r="A606" s="341"/>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row>
    <row r="607" spans="1:25">
      <c r="A607" s="341"/>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row>
    <row r="608" spans="1:25">
      <c r="A608" s="341"/>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row>
    <row r="609" spans="1:25">
      <c r="A609" s="341"/>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row>
    <row r="610" spans="1:25">
      <c r="A610" s="341"/>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row>
    <row r="611" spans="1:25">
      <c r="A611" s="341"/>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row>
    <row r="612" spans="1:25">
      <c r="A612" s="341"/>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row>
    <row r="613" spans="1:25">
      <c r="A613" s="341"/>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row>
    <row r="614" spans="1:25">
      <c r="A614" s="341"/>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row>
    <row r="615" spans="1:25">
      <c r="A615" s="341"/>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row>
    <row r="616" spans="1:25">
      <c r="A616" s="341"/>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row>
    <row r="617" spans="1:25">
      <c r="A617" s="341"/>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row>
    <row r="618" spans="1:25">
      <c r="A618" s="341"/>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row>
    <row r="619" spans="1:25">
      <c r="A619" s="341"/>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row>
    <row r="620" spans="1:25">
      <c r="A620" s="341"/>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row>
    <row r="621" spans="1:25">
      <c r="A621" s="341"/>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row>
    <row r="622" spans="1:25">
      <c r="A622" s="341"/>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row>
    <row r="623" spans="1:25">
      <c r="A623" s="341"/>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row>
    <row r="624" spans="1:25">
      <c r="A624" s="341"/>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row>
    <row r="625" spans="1:25">
      <c r="A625" s="341"/>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row>
    <row r="626" spans="1:25">
      <c r="A626" s="341"/>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row>
    <row r="627" spans="1:25">
      <c r="A627" s="341"/>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row>
    <row r="628" spans="1:25">
      <c r="A628" s="341"/>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row>
    <row r="629" spans="1:25">
      <c r="A629" s="341"/>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row>
    <row r="630" spans="1:25">
      <c r="A630" s="341"/>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row>
    <row r="631" spans="1:25">
      <c r="A631" s="341"/>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row>
  </sheetData>
  <mergeCells count="1">
    <mergeCell ref="AA4:AE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tabColor rgb="FFFFFF00"/>
  </sheetPr>
  <dimension ref="A4:CN61"/>
  <sheetViews>
    <sheetView workbookViewId="0">
      <selection activeCell="C18" sqref="C18"/>
    </sheetView>
  </sheetViews>
  <sheetFormatPr defaultRowHeight="12.75"/>
  <cols>
    <col min="1" max="1" width="17" customWidth="1"/>
    <col min="2" max="2" width="23.140625" customWidth="1"/>
    <col min="3" max="3" width="14.28515625" customWidth="1"/>
    <col min="4" max="4" width="16.5703125" customWidth="1"/>
    <col min="5" max="5" width="16.140625" customWidth="1"/>
    <col min="6" max="6" width="22.28515625" customWidth="1"/>
    <col min="7" max="7" width="21.42578125" customWidth="1"/>
    <col min="8" max="8" width="16.7109375" customWidth="1"/>
    <col min="9" max="9" width="20.28515625" customWidth="1"/>
    <col min="10" max="10" width="24.28515625" customWidth="1"/>
    <col min="11" max="11" width="25.5703125" customWidth="1"/>
    <col min="12" max="12" width="24.140625" customWidth="1"/>
    <col min="13" max="13" width="33.85546875" customWidth="1"/>
    <col min="14" max="14" width="6.42578125" customWidth="1"/>
    <col min="15" max="15" width="11.85546875" customWidth="1"/>
    <col min="16" max="16" width="14.28515625" customWidth="1"/>
    <col min="17" max="17" width="19.140625" customWidth="1"/>
    <col min="18" max="18" width="28.5703125" customWidth="1"/>
    <col min="19" max="19" width="34.140625" customWidth="1"/>
    <col min="20" max="20" width="8.85546875" customWidth="1"/>
    <col min="21" max="21" width="19.140625" customWidth="1"/>
    <col min="22" max="22" width="28.5703125" customWidth="1"/>
    <col min="23" max="23" width="17.42578125" customWidth="1"/>
    <col min="24" max="24" width="9.42578125" customWidth="1"/>
    <col min="25" max="25" width="19.140625" customWidth="1"/>
    <col min="26" max="26" width="28.5703125" customWidth="1"/>
    <col min="27" max="27" width="13.140625" customWidth="1"/>
    <col min="28" max="28" width="12.85546875" customWidth="1"/>
    <col min="29" max="29" width="29.28515625" customWidth="1"/>
    <col min="30" max="30" width="19.42578125" customWidth="1"/>
    <col min="31" max="31" width="24.28515625" customWidth="1"/>
    <col min="32" max="32" width="14" customWidth="1"/>
    <col min="33" max="33" width="13.28515625" customWidth="1"/>
    <col min="34" max="34" width="16.7109375" customWidth="1"/>
    <col min="35" max="35" width="20.28515625" customWidth="1"/>
    <col min="36" max="36" width="15.7109375" customWidth="1"/>
    <col min="37" max="38" width="16" customWidth="1"/>
    <col min="39" max="39" width="39.140625" customWidth="1"/>
    <col min="40" max="40" width="38.85546875" customWidth="1"/>
    <col min="41" max="41" width="19.5703125" customWidth="1"/>
    <col min="42" max="42" width="19.42578125" customWidth="1"/>
    <col min="43" max="43" width="22.42578125" customWidth="1"/>
    <col min="44" max="44" width="11.28515625" customWidth="1"/>
    <col min="45" max="45" width="12.85546875" customWidth="1"/>
    <col min="46" max="46" width="5.5703125" customWidth="1"/>
    <col min="47" max="47" width="25.140625" customWidth="1"/>
    <col min="48" max="48" width="22.42578125" customWidth="1"/>
    <col min="49" max="49" width="25.5703125" customWidth="1"/>
    <col min="50" max="50" width="25.140625" customWidth="1"/>
    <col min="51" max="51" width="26" customWidth="1"/>
    <col min="52" max="52" width="26.28515625" customWidth="1"/>
    <col min="53" max="53" width="23.7109375" customWidth="1"/>
    <col min="54" max="54" width="17" customWidth="1"/>
    <col min="55" max="55" width="22.42578125" customWidth="1"/>
    <col min="56" max="56" width="19.28515625" customWidth="1"/>
    <col min="60" max="60" width="12" customWidth="1"/>
    <col min="66" max="66" width="11.7109375" customWidth="1"/>
    <col min="67" max="67" width="14" customWidth="1"/>
    <col min="71" max="71" width="16.42578125" customWidth="1"/>
    <col min="72" max="72" width="14.7109375" customWidth="1"/>
    <col min="78" max="78" width="12" customWidth="1"/>
  </cols>
  <sheetData>
    <row r="4" spans="1:92" ht="23.25" customHeight="1">
      <c r="A4" s="68" t="s">
        <v>131</v>
      </c>
      <c r="B4" s="69" t="s">
        <v>132</v>
      </c>
    </row>
    <row r="6" spans="1:92" ht="33.75">
      <c r="A6" s="65" t="s">
        <v>63</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7"/>
      <c r="AX6" s="67"/>
      <c r="AY6" s="67"/>
      <c r="AZ6" s="67"/>
      <c r="BA6" s="67"/>
      <c r="BB6" s="67"/>
      <c r="BC6" s="67"/>
      <c r="BD6" s="67"/>
      <c r="CG6" s="90" t="s">
        <v>64</v>
      </c>
      <c r="CH6" s="90" t="s">
        <v>63</v>
      </c>
      <c r="CL6" s="90" t="s">
        <v>64</v>
      </c>
      <c r="CM6" s="90" t="s">
        <v>63</v>
      </c>
      <c r="CN6" s="100"/>
    </row>
    <row r="7" spans="1:92">
      <c r="A7" s="90" t="s">
        <v>64</v>
      </c>
      <c r="B7" s="90" t="s">
        <v>63</v>
      </c>
      <c r="C7" s="100"/>
      <c r="R7" s="90" t="s">
        <v>64</v>
      </c>
      <c r="S7" s="90" t="s">
        <v>63</v>
      </c>
      <c r="X7" s="90" t="s">
        <v>64</v>
      </c>
      <c r="Y7" s="90" t="s">
        <v>63</v>
      </c>
      <c r="AW7" s="90" t="s">
        <v>64</v>
      </c>
      <c r="AX7" s="90" t="s">
        <v>63</v>
      </c>
      <c r="AY7" s="100"/>
      <c r="BA7" s="90" t="s">
        <v>64</v>
      </c>
      <c r="BB7" s="90" t="s">
        <v>63</v>
      </c>
      <c r="BG7" s="90" t="s">
        <v>64</v>
      </c>
      <c r="BH7" s="90" t="s">
        <v>63</v>
      </c>
      <c r="BI7" s="100"/>
      <c r="BJ7" s="100"/>
      <c r="BN7" s="90" t="s">
        <v>64</v>
      </c>
      <c r="BO7" s="90" t="s">
        <v>63</v>
      </c>
      <c r="BS7" s="90" t="s">
        <v>64</v>
      </c>
      <c r="BT7" s="90" t="s">
        <v>63</v>
      </c>
      <c r="BX7" s="90" t="s">
        <v>64</v>
      </c>
      <c r="BY7" s="90" t="s">
        <v>63</v>
      </c>
      <c r="CB7" s="90" t="s">
        <v>64</v>
      </c>
      <c r="CC7" s="90" t="s">
        <v>63</v>
      </c>
      <c r="CG7" s="90" t="s">
        <v>67</v>
      </c>
      <c r="CH7" s="90" t="s">
        <v>68</v>
      </c>
      <c r="CL7" s="90" t="s">
        <v>67</v>
      </c>
      <c r="CM7" s="90" t="s">
        <v>82</v>
      </c>
      <c r="CN7" s="100"/>
    </row>
    <row r="8" spans="1:92" ht="51">
      <c r="A8" s="91" t="s">
        <v>65</v>
      </c>
      <c r="B8" s="90" t="s">
        <v>66</v>
      </c>
      <c r="C8" s="100"/>
      <c r="R8" s="90"/>
      <c r="S8" s="90"/>
      <c r="X8" s="90"/>
      <c r="Y8" s="90"/>
      <c r="AD8" s="90" t="s">
        <v>64</v>
      </c>
      <c r="AE8" s="90" t="s">
        <v>63</v>
      </c>
      <c r="AN8" s="59" t="s">
        <v>64</v>
      </c>
      <c r="AO8" s="59" t="s">
        <v>63</v>
      </c>
      <c r="AW8" s="90" t="s">
        <v>67</v>
      </c>
      <c r="AX8" s="90" t="s">
        <v>68</v>
      </c>
      <c r="AY8" s="100"/>
      <c r="BA8" s="90" t="s">
        <v>67</v>
      </c>
      <c r="BB8" s="90" t="s">
        <v>87</v>
      </c>
      <c r="BC8" t="s">
        <v>151</v>
      </c>
      <c r="BG8" s="90" t="s">
        <v>67</v>
      </c>
      <c r="BH8" s="90" t="s">
        <v>68</v>
      </c>
      <c r="BI8" s="100"/>
      <c r="BJ8" s="100"/>
      <c r="BN8" s="90" t="s">
        <v>67</v>
      </c>
      <c r="BO8" s="90" t="s">
        <v>68</v>
      </c>
      <c r="BS8" s="91" t="s">
        <v>67</v>
      </c>
      <c r="BT8" s="90" t="s">
        <v>82</v>
      </c>
      <c r="BU8" t="s">
        <v>150</v>
      </c>
      <c r="BX8" s="91" t="s">
        <v>67</v>
      </c>
      <c r="BY8" s="90" t="s">
        <v>82</v>
      </c>
      <c r="BZ8" t="s">
        <v>150</v>
      </c>
      <c r="CB8" s="91" t="s">
        <v>67</v>
      </c>
      <c r="CC8" s="90" t="s">
        <v>87</v>
      </c>
      <c r="CD8" t="s">
        <v>151</v>
      </c>
      <c r="CG8" s="90" t="s">
        <v>148</v>
      </c>
      <c r="CH8" s="90" t="s">
        <v>72</v>
      </c>
      <c r="CL8" s="90" t="s">
        <v>148</v>
      </c>
      <c r="CM8" s="90" t="s">
        <v>130</v>
      </c>
      <c r="CN8" s="100"/>
    </row>
    <row r="9" spans="1:92" s="62" customFormat="1" ht="51">
      <c r="A9" s="91"/>
      <c r="B9" s="91"/>
      <c r="C9" s="101"/>
      <c r="E9" s="91" t="s">
        <v>64</v>
      </c>
      <c r="F9" s="91" t="s">
        <v>63</v>
      </c>
      <c r="I9" s="91" t="s">
        <v>64</v>
      </c>
      <c r="J9" s="91" t="s">
        <v>63</v>
      </c>
      <c r="L9" s="91" t="s">
        <v>64</v>
      </c>
      <c r="M9" s="91" t="s">
        <v>63</v>
      </c>
      <c r="O9" s="91" t="s">
        <v>64</v>
      </c>
      <c r="P9" s="91" t="s">
        <v>63</v>
      </c>
      <c r="R9" s="91"/>
      <c r="S9" s="91" t="s">
        <v>69</v>
      </c>
      <c r="T9" s="61"/>
      <c r="U9" s="61"/>
      <c r="V9" s="61"/>
      <c r="X9" s="91" t="s">
        <v>70</v>
      </c>
      <c r="Y9" s="91" t="s">
        <v>69</v>
      </c>
      <c r="Z9" s="61"/>
      <c r="AA9" s="61"/>
      <c r="AB9" s="61"/>
      <c r="AD9" s="91"/>
      <c r="AE9" s="91"/>
      <c r="AN9" s="61"/>
      <c r="AO9" s="61"/>
      <c r="AW9" s="91"/>
      <c r="AX9" s="91"/>
      <c r="AY9" s="101"/>
      <c r="BA9" s="91"/>
      <c r="BB9" s="91"/>
      <c r="BG9" s="91"/>
      <c r="BH9" s="91"/>
      <c r="BI9" s="101"/>
      <c r="BJ9" s="101"/>
      <c r="BN9" s="91"/>
      <c r="BO9" s="91"/>
      <c r="BS9" s="91"/>
      <c r="BT9" s="91"/>
      <c r="BX9" s="91"/>
      <c r="BY9" s="91"/>
      <c r="CB9" s="91"/>
      <c r="CC9" s="91"/>
      <c r="CG9" s="91"/>
      <c r="CH9" s="91"/>
      <c r="CL9" s="91"/>
      <c r="CM9" s="91"/>
      <c r="CN9" s="101"/>
    </row>
    <row r="10" spans="1:92" ht="38.25">
      <c r="A10" s="91"/>
      <c r="B10" s="90" t="s">
        <v>71</v>
      </c>
      <c r="C10" s="91"/>
      <c r="E10" s="90"/>
      <c r="F10" s="90"/>
      <c r="I10" s="90"/>
      <c r="J10" s="90"/>
      <c r="L10" s="90"/>
      <c r="M10" s="90"/>
      <c r="O10" s="90"/>
      <c r="P10" s="90"/>
      <c r="R10" s="91"/>
      <c r="S10" s="90" t="s">
        <v>72</v>
      </c>
      <c r="T10" s="59"/>
      <c r="U10" s="59"/>
      <c r="V10" s="59"/>
      <c r="X10" s="91"/>
      <c r="Y10" s="90" t="s">
        <v>72</v>
      </c>
      <c r="Z10" s="90"/>
      <c r="AA10" s="90"/>
      <c r="AB10" s="91" t="s">
        <v>73</v>
      </c>
      <c r="AD10" s="91" t="s">
        <v>70</v>
      </c>
      <c r="AE10" s="90" t="s">
        <v>69</v>
      </c>
      <c r="AF10" s="61"/>
      <c r="AG10" s="61"/>
      <c r="AH10" s="61"/>
      <c r="AI10" s="61"/>
      <c r="AJ10" s="61"/>
      <c r="AK10" s="61"/>
      <c r="AL10" s="61"/>
      <c r="AN10" s="61" t="s">
        <v>70</v>
      </c>
      <c r="AO10" s="59" t="s">
        <v>69</v>
      </c>
      <c r="AW10" s="91"/>
      <c r="AX10" s="90" t="s">
        <v>71</v>
      </c>
      <c r="AY10" s="91"/>
      <c r="BA10" s="91"/>
      <c r="BB10" s="90" t="s">
        <v>71</v>
      </c>
      <c r="BC10" s="61"/>
      <c r="BD10" s="61"/>
      <c r="BG10" s="91"/>
      <c r="BH10" s="90" t="s">
        <v>71</v>
      </c>
      <c r="BI10" s="91"/>
      <c r="BJ10" s="91"/>
      <c r="BN10" s="91"/>
      <c r="BO10" s="90" t="s">
        <v>71</v>
      </c>
      <c r="BP10" s="61"/>
      <c r="BQ10" s="61"/>
      <c r="BS10" s="91"/>
      <c r="BT10" s="90" t="s">
        <v>71</v>
      </c>
      <c r="BU10" s="61"/>
      <c r="BX10" s="91"/>
      <c r="BY10" s="90" t="s">
        <v>71</v>
      </c>
      <c r="BZ10" s="61"/>
      <c r="CB10" s="91"/>
      <c r="CC10" s="90" t="s">
        <v>71</v>
      </c>
      <c r="CD10" s="61"/>
      <c r="CG10" s="90"/>
      <c r="CH10" s="90" t="s">
        <v>71</v>
      </c>
      <c r="CI10" s="59"/>
      <c r="CJ10" s="59"/>
      <c r="CL10" s="90"/>
      <c r="CM10" s="90" t="s">
        <v>71</v>
      </c>
      <c r="CN10" s="90"/>
    </row>
    <row r="11" spans="1:92" s="62" customFormat="1" ht="76.5">
      <c r="A11" s="91" t="s">
        <v>74</v>
      </c>
      <c r="B11" s="91" t="s">
        <v>70</v>
      </c>
      <c r="C11" s="91" t="s">
        <v>75</v>
      </c>
      <c r="E11" s="91" t="s">
        <v>74</v>
      </c>
      <c r="F11" s="91" t="s">
        <v>75</v>
      </c>
      <c r="I11" s="91" t="s">
        <v>74</v>
      </c>
      <c r="J11" s="91" t="s">
        <v>75</v>
      </c>
      <c r="L11" s="91" t="s">
        <v>74</v>
      </c>
      <c r="M11" s="91" t="s">
        <v>75</v>
      </c>
      <c r="O11" s="91" t="s">
        <v>74</v>
      </c>
      <c r="P11" s="91" t="s">
        <v>75</v>
      </c>
      <c r="R11" s="91" t="s">
        <v>74</v>
      </c>
      <c r="S11" s="91" t="s">
        <v>70</v>
      </c>
      <c r="T11" s="91" t="s">
        <v>75</v>
      </c>
      <c r="U11" s="91" t="s">
        <v>76</v>
      </c>
      <c r="V11" s="91" t="s">
        <v>77</v>
      </c>
      <c r="X11" s="91" t="s">
        <v>74</v>
      </c>
      <c r="Y11" s="91" t="s">
        <v>78</v>
      </c>
      <c r="Z11" s="91" t="s">
        <v>79</v>
      </c>
      <c r="AA11" s="91" t="s">
        <v>80</v>
      </c>
      <c r="AB11" s="91"/>
      <c r="AD11" s="91" t="s">
        <v>74</v>
      </c>
      <c r="AE11" s="91" t="s">
        <v>81</v>
      </c>
      <c r="AF11" s="91" t="s">
        <v>82</v>
      </c>
      <c r="AG11" s="91" t="s">
        <v>83</v>
      </c>
      <c r="AH11" s="91" t="s">
        <v>68</v>
      </c>
      <c r="AI11" s="91" t="s">
        <v>84</v>
      </c>
      <c r="AJ11" s="91" t="s">
        <v>85</v>
      </c>
      <c r="AK11" s="91" t="s">
        <v>86</v>
      </c>
      <c r="AL11" s="91" t="s">
        <v>87</v>
      </c>
      <c r="AN11" s="61" t="s">
        <v>74</v>
      </c>
      <c r="AO11" s="61" t="s">
        <v>72</v>
      </c>
      <c r="AW11" s="91" t="s">
        <v>74</v>
      </c>
      <c r="AX11" s="91" t="s">
        <v>70</v>
      </c>
      <c r="AY11" s="91" t="s">
        <v>75</v>
      </c>
      <c r="BA11" s="91" t="s">
        <v>74</v>
      </c>
      <c r="BB11" s="91" t="s">
        <v>70</v>
      </c>
      <c r="BC11" s="91" t="s">
        <v>76</v>
      </c>
      <c r="BD11" s="91" t="s">
        <v>77</v>
      </c>
      <c r="BG11" s="91" t="s">
        <v>74</v>
      </c>
      <c r="BH11" s="91" t="s">
        <v>70</v>
      </c>
      <c r="BI11" s="91" t="s">
        <v>76</v>
      </c>
      <c r="BJ11" s="91" t="s">
        <v>77</v>
      </c>
      <c r="BN11" s="91" t="s">
        <v>74</v>
      </c>
      <c r="BO11" s="91" t="s">
        <v>70</v>
      </c>
      <c r="BP11" s="91" t="s">
        <v>76</v>
      </c>
      <c r="BQ11" s="91" t="s">
        <v>141</v>
      </c>
      <c r="BS11" s="91" t="s">
        <v>74</v>
      </c>
      <c r="BT11" s="91" t="s">
        <v>75</v>
      </c>
      <c r="BU11" s="91" t="s">
        <v>70</v>
      </c>
      <c r="BX11" s="91" t="s">
        <v>74</v>
      </c>
      <c r="BY11" s="91" t="s">
        <v>75</v>
      </c>
      <c r="BZ11" s="91" t="s">
        <v>139</v>
      </c>
      <c r="CB11" s="91" t="s">
        <v>74</v>
      </c>
      <c r="CC11" s="91" t="s">
        <v>75</v>
      </c>
      <c r="CD11" s="91" t="s">
        <v>139</v>
      </c>
      <c r="CG11" s="91" t="s">
        <v>74</v>
      </c>
      <c r="CH11" s="91" t="s">
        <v>75</v>
      </c>
      <c r="CI11" s="91" t="s">
        <v>139</v>
      </c>
      <c r="CJ11" s="91" t="s">
        <v>149</v>
      </c>
      <c r="CL11" s="91" t="s">
        <v>74</v>
      </c>
      <c r="CM11" s="91" t="s">
        <v>75</v>
      </c>
      <c r="CN11" s="91" t="s">
        <v>139</v>
      </c>
    </row>
    <row r="12" spans="1:92">
      <c r="A12" s="63" t="s">
        <v>88</v>
      </c>
      <c r="B12" s="59">
        <v>25504692.955591794</v>
      </c>
      <c r="C12" s="60">
        <v>5.3037436102564416E-2</v>
      </c>
      <c r="E12" s="63" t="s">
        <v>81</v>
      </c>
      <c r="F12" s="60">
        <v>3.6352975239778484E-2</v>
      </c>
      <c r="I12" s="63" t="s">
        <v>89</v>
      </c>
      <c r="J12" s="60">
        <v>4.7532159139268219E-2</v>
      </c>
      <c r="L12" s="63" t="s">
        <v>90</v>
      </c>
      <c r="M12" s="60">
        <v>0.13591993361431329</v>
      </c>
      <c r="O12" s="63" t="s">
        <v>72</v>
      </c>
      <c r="P12" s="60">
        <v>1</v>
      </c>
      <c r="R12" s="63" t="s">
        <v>78</v>
      </c>
      <c r="S12" s="59">
        <v>162944234.84562877</v>
      </c>
      <c r="T12" s="60">
        <v>0.68662541414577283</v>
      </c>
      <c r="U12" s="59">
        <v>358.7695290682687</v>
      </c>
      <c r="V12" s="59">
        <v>218.03782505910166</v>
      </c>
      <c r="X12" s="63" t="s">
        <v>88</v>
      </c>
      <c r="Y12" s="60">
        <v>3.4290010385869341E-3</v>
      </c>
      <c r="Z12" s="60">
        <v>0</v>
      </c>
      <c r="AA12" s="60">
        <v>0</v>
      </c>
      <c r="AB12" s="60">
        <v>2.3544392582260389E-3</v>
      </c>
      <c r="AD12" s="63" t="s">
        <v>88</v>
      </c>
      <c r="AE12" s="60">
        <v>4.9730410631409006E-3</v>
      </c>
      <c r="AF12" s="60">
        <v>0.10891408500145854</v>
      </c>
      <c r="AG12" s="60">
        <v>1.9534988200141136E-3</v>
      </c>
      <c r="AH12" s="60">
        <v>3.5822559390598576E-3</v>
      </c>
      <c r="AI12" s="60">
        <v>3.5648870350376005E-2</v>
      </c>
      <c r="AJ12" s="60">
        <v>5.6271088739647387E-3</v>
      </c>
      <c r="AK12" s="60">
        <v>4.0225513449661923E-2</v>
      </c>
      <c r="AL12" s="60">
        <v>0.13771272830545248</v>
      </c>
      <c r="AN12" s="63" t="s">
        <v>91</v>
      </c>
      <c r="AO12" s="60">
        <v>1</v>
      </c>
      <c r="AW12" s="63" t="s">
        <v>92</v>
      </c>
      <c r="AX12" s="59">
        <v>38596913.75789237</v>
      </c>
      <c r="AY12" s="60">
        <v>0.1769631899454088</v>
      </c>
      <c r="BA12" s="92" t="s">
        <v>88</v>
      </c>
      <c r="BB12" s="83">
        <v>12034567.221077302</v>
      </c>
      <c r="BC12" s="83">
        <v>32.598116053443334</v>
      </c>
      <c r="BD12" s="83">
        <v>22.867424242424242</v>
      </c>
      <c r="BE12" s="103">
        <f>BC12/BD12</f>
        <v>1.4255263604619912</v>
      </c>
      <c r="BG12" s="63" t="s">
        <v>88</v>
      </c>
      <c r="BH12" s="59">
        <v>781315.16266882396</v>
      </c>
      <c r="BI12" s="59">
        <v>37.209455134069302</v>
      </c>
      <c r="BJ12" s="59">
        <v>29.444444444444443</v>
      </c>
      <c r="BN12" s="63" t="s">
        <v>91</v>
      </c>
      <c r="BO12" s="59">
        <v>200294031.58237338</v>
      </c>
      <c r="BP12" s="59">
        <v>491.20504946798337</v>
      </c>
      <c r="BQ12" s="59">
        <v>486</v>
      </c>
      <c r="BS12" s="79" t="s">
        <v>89</v>
      </c>
      <c r="BT12" s="61">
        <v>8070175.2709817179</v>
      </c>
      <c r="BU12" s="80">
        <v>7.2300730271445915E-2</v>
      </c>
      <c r="BX12" s="63" t="s">
        <v>89</v>
      </c>
      <c r="BY12" s="60">
        <v>7.230073027144597E-2</v>
      </c>
      <c r="BZ12" s="75">
        <v>1.2623588367845107</v>
      </c>
      <c r="CB12" s="63" t="s">
        <v>89</v>
      </c>
      <c r="CC12" s="60">
        <v>0.14593559613408968</v>
      </c>
      <c r="CD12" s="75">
        <v>0.64018787104770636</v>
      </c>
      <c r="CG12" s="59" t="s">
        <v>78</v>
      </c>
      <c r="CH12" s="60">
        <v>0.7470093718553098</v>
      </c>
      <c r="CI12" s="75">
        <v>0.33350837613211337</v>
      </c>
      <c r="CJ12" s="88">
        <v>0.78610378691398641</v>
      </c>
      <c r="CL12" s="59">
        <v>3</v>
      </c>
      <c r="CM12" s="60">
        <v>2.7859600112074006E-5</v>
      </c>
      <c r="CN12" s="75">
        <v>2.6515151515151518</v>
      </c>
    </row>
    <row r="13" spans="1:92">
      <c r="A13" s="63" t="s">
        <v>93</v>
      </c>
      <c r="B13" s="59">
        <v>4042976.3142621387</v>
      </c>
      <c r="C13" s="60">
        <v>8.4074369491614256E-3</v>
      </c>
      <c r="E13" s="63" t="s">
        <v>82</v>
      </c>
      <c r="F13" s="60">
        <v>0.23211473184432568</v>
      </c>
      <c r="I13" s="63" t="s">
        <v>94</v>
      </c>
      <c r="J13" s="60">
        <v>3.4765808144000907E-3</v>
      </c>
      <c r="L13" s="63" t="s">
        <v>95</v>
      </c>
      <c r="M13" s="60">
        <v>6.8619094407563509E-3</v>
      </c>
      <c r="O13" s="64" t="s">
        <v>81</v>
      </c>
      <c r="P13" s="60">
        <v>1.8563450568891398E-2</v>
      </c>
      <c r="R13" s="63" t="s">
        <v>79</v>
      </c>
      <c r="S13" s="59">
        <v>62643520.625224084</v>
      </c>
      <c r="T13" s="60">
        <v>0.26397149511667817</v>
      </c>
      <c r="U13" s="59">
        <v>906.94383557423328</v>
      </c>
      <c r="V13" s="59">
        <v>379.4959349593496</v>
      </c>
      <c r="X13" s="63" t="s">
        <v>96</v>
      </c>
      <c r="Y13" s="60">
        <v>4.3696483242309687E-2</v>
      </c>
      <c r="Z13" s="60">
        <v>0</v>
      </c>
      <c r="AA13" s="60">
        <v>0</v>
      </c>
      <c r="AB13" s="60">
        <v>3.000311590296471E-2</v>
      </c>
      <c r="AD13" s="63" t="s">
        <v>93</v>
      </c>
      <c r="AE13" s="60">
        <v>2.7030217493599277E-3</v>
      </c>
      <c r="AF13" s="60">
        <v>8.5592925162963698E-3</v>
      </c>
      <c r="AG13" s="60">
        <v>2.2555795148332183E-2</v>
      </c>
      <c r="AH13" s="60">
        <v>2.7262114166606778E-3</v>
      </c>
      <c r="AI13" s="60">
        <v>5.3609017891017005E-2</v>
      </c>
      <c r="AJ13" s="60">
        <v>0</v>
      </c>
      <c r="AK13" s="60">
        <v>0</v>
      </c>
      <c r="AL13" s="60">
        <v>1.8505404531659719E-2</v>
      </c>
      <c r="AN13" s="64" t="s">
        <v>97</v>
      </c>
      <c r="AO13" s="60">
        <v>1.6506238689404543E-2</v>
      </c>
      <c r="AW13" s="92" t="s">
        <v>98</v>
      </c>
      <c r="AX13" s="83">
        <v>101445987.83763109</v>
      </c>
      <c r="AY13" s="93">
        <v>0.46512023545508069</v>
      </c>
      <c r="BA13" s="63" t="s">
        <v>93</v>
      </c>
      <c r="BB13" s="59">
        <v>1617167.4000642826</v>
      </c>
      <c r="BC13" s="59">
        <v>126.38494094398891</v>
      </c>
      <c r="BD13" s="59">
        <v>68.071428571428569</v>
      </c>
      <c r="BG13" s="63" t="s">
        <v>93</v>
      </c>
      <c r="BH13" s="59">
        <v>594605.84411421383</v>
      </c>
      <c r="BI13" s="59">
        <v>143.27984749455334</v>
      </c>
      <c r="BJ13" s="59">
        <v>81.666666666666671</v>
      </c>
      <c r="BN13" s="64">
        <v>14</v>
      </c>
      <c r="BO13" s="59">
        <v>6913.4877884793123</v>
      </c>
      <c r="BP13" s="59">
        <v>34.102476118652604</v>
      </c>
      <c r="BQ13" s="59">
        <v>1</v>
      </c>
      <c r="BS13" s="63" t="s">
        <v>94</v>
      </c>
      <c r="BT13" s="59">
        <v>396556.77576769306</v>
      </c>
      <c r="BU13" s="60">
        <v>3.5527536291794113E-3</v>
      </c>
      <c r="BX13" s="63" t="s">
        <v>94</v>
      </c>
      <c r="BY13" s="60">
        <v>3.5527536291794139E-3</v>
      </c>
      <c r="BZ13" s="75">
        <v>0.36084261654428013</v>
      </c>
      <c r="CB13" s="63" t="s">
        <v>94</v>
      </c>
      <c r="CC13" s="60">
        <v>2.7884567304804603E-3</v>
      </c>
      <c r="CD13" s="75">
        <v>0.53955880014317192</v>
      </c>
      <c r="CG13" s="59" t="s">
        <v>79</v>
      </c>
      <c r="CH13" s="60">
        <v>0.22616858438638326</v>
      </c>
      <c r="CI13" s="75">
        <v>0.23947955467021284</v>
      </c>
      <c r="CJ13" s="88">
        <v>0.18510350744568341</v>
      </c>
      <c r="CL13" s="59">
        <v>8</v>
      </c>
      <c r="CM13" s="60">
        <v>2.0978612044570322E-4</v>
      </c>
      <c r="CN13" s="75">
        <v>0.59013434234734607</v>
      </c>
    </row>
    <row r="14" spans="1:92">
      <c r="A14" s="63" t="s">
        <v>96</v>
      </c>
      <c r="B14" s="59">
        <v>8510812.6625281684</v>
      </c>
      <c r="C14" s="60">
        <v>1.7698377453737126E-2</v>
      </c>
      <c r="E14" s="63" t="s">
        <v>83</v>
      </c>
      <c r="F14" s="60">
        <v>5.2886773215262167E-2</v>
      </c>
      <c r="I14" s="63" t="s">
        <v>99</v>
      </c>
      <c r="J14" s="60">
        <v>1.8878026222909783E-4</v>
      </c>
      <c r="L14" s="63" t="s">
        <v>100</v>
      </c>
      <c r="M14" s="60">
        <v>0.13413204408044188</v>
      </c>
      <c r="O14" s="64" t="s">
        <v>82</v>
      </c>
      <c r="P14" s="60">
        <v>6.7390161933024786E-3</v>
      </c>
      <c r="R14" s="63" t="s">
        <v>80</v>
      </c>
      <c r="S14" s="59">
        <v>11723930.768356381</v>
      </c>
      <c r="T14" s="60">
        <v>4.9403090737548859E-2</v>
      </c>
      <c r="U14" s="59">
        <v>3213.6316888841052</v>
      </c>
      <c r="V14" s="59">
        <v>570</v>
      </c>
      <c r="X14" s="63" t="s">
        <v>101</v>
      </c>
      <c r="Y14" s="60">
        <v>6.8601517697970953E-4</v>
      </c>
      <c r="Z14" s="60">
        <v>1.8306649087947158E-4</v>
      </c>
      <c r="AA14" s="60">
        <v>0</v>
      </c>
      <c r="AB14" s="60">
        <v>5.1935979030719658E-4</v>
      </c>
      <c r="AD14" s="63" t="s">
        <v>96</v>
      </c>
      <c r="AE14" s="60">
        <v>4.7913864848408549E-3</v>
      </c>
      <c r="AF14" s="60">
        <v>3.8002887744566245E-3</v>
      </c>
      <c r="AG14" s="60">
        <v>3.1375414716717225E-2</v>
      </c>
      <c r="AH14" s="60">
        <v>3.2644937671551556E-2</v>
      </c>
      <c r="AI14" s="60">
        <v>0</v>
      </c>
      <c r="AJ14" s="60">
        <v>0</v>
      </c>
      <c r="AK14" s="60">
        <v>0</v>
      </c>
      <c r="AL14" s="60">
        <v>9.7070144945701168E-4</v>
      </c>
      <c r="AN14" s="64" t="s">
        <v>102</v>
      </c>
      <c r="AO14" s="60">
        <v>0.19066022467515087</v>
      </c>
      <c r="AW14" s="63" t="s">
        <v>103</v>
      </c>
      <c r="AX14" s="59">
        <v>8675614.5406483207</v>
      </c>
      <c r="AY14" s="60">
        <v>3.9776870075161529E-2</v>
      </c>
      <c r="BA14" s="63" t="s">
        <v>96</v>
      </c>
      <c r="BB14" s="59">
        <v>84828.555710380606</v>
      </c>
      <c r="BC14" s="59">
        <v>109</v>
      </c>
      <c r="BD14" s="59">
        <v>40.666666666666664</v>
      </c>
      <c r="BG14" s="63" t="s">
        <v>96</v>
      </c>
      <c r="BH14" s="59">
        <v>7120090.0273629874</v>
      </c>
      <c r="BI14" s="59">
        <v>327.54721204721199</v>
      </c>
      <c r="BJ14" s="59">
        <v>41.142857142857146</v>
      </c>
      <c r="BN14" s="64">
        <v>25</v>
      </c>
      <c r="BO14" s="59">
        <v>141236.3550463086</v>
      </c>
      <c r="BP14" s="59">
        <v>31.436838624338598</v>
      </c>
      <c r="BQ14" s="59">
        <v>1</v>
      </c>
      <c r="BS14" s="63" t="s">
        <v>99</v>
      </c>
      <c r="BT14" s="59">
        <v>1050.0610876851599</v>
      </c>
      <c r="BU14" s="60">
        <v>9.4075011904952538E-6</v>
      </c>
      <c r="BX14" s="63" t="s">
        <v>99</v>
      </c>
      <c r="BY14" s="60">
        <v>9.4075011904952606E-6</v>
      </c>
      <c r="BZ14" s="75">
        <v>0.52840158520475555</v>
      </c>
      <c r="CB14" s="63" t="s">
        <v>99</v>
      </c>
      <c r="CC14" s="60">
        <v>5.6695159427982218E-4</v>
      </c>
      <c r="CD14" s="75">
        <v>0.64073294508077117</v>
      </c>
      <c r="CG14" s="59" t="s">
        <v>80</v>
      </c>
      <c r="CH14" s="60">
        <v>2.6822043758306616E-2</v>
      </c>
      <c r="CI14" s="75">
        <v>0.44583356030839405</v>
      </c>
      <c r="CJ14" s="88">
        <v>2.8792705640330811E-2</v>
      </c>
      <c r="CL14" s="59">
        <v>9</v>
      </c>
      <c r="CM14" s="60">
        <v>3.3721271315856463E-4</v>
      </c>
      <c r="CN14" s="75">
        <v>0.2829861527055107</v>
      </c>
    </row>
    <row r="15" spans="1:92">
      <c r="A15" s="63" t="s">
        <v>101</v>
      </c>
      <c r="B15" s="59">
        <v>9651115.2488710117</v>
      </c>
      <c r="C15" s="60">
        <v>2.0069655777536267E-2</v>
      </c>
      <c r="E15" s="63" t="s">
        <v>68</v>
      </c>
      <c r="F15" s="60">
        <v>0.45355719756152407</v>
      </c>
      <c r="I15" s="63" t="s">
        <v>104</v>
      </c>
      <c r="J15" s="60">
        <v>4.8350216414514736E-2</v>
      </c>
      <c r="L15" s="63" t="s">
        <v>105</v>
      </c>
      <c r="M15" s="60">
        <v>0.37211595573114858</v>
      </c>
      <c r="O15" s="64" t="s">
        <v>83</v>
      </c>
      <c r="P15" s="60">
        <v>3.8409898065761693E-2</v>
      </c>
      <c r="R15" s="63" t="s">
        <v>106</v>
      </c>
      <c r="S15" s="59">
        <v>237311686.23920926</v>
      </c>
      <c r="T15" s="60">
        <v>1</v>
      </c>
      <c r="U15" s="59">
        <v>531.38474723084414</v>
      </c>
      <c r="V15" s="59">
        <v>260.08633093525179</v>
      </c>
      <c r="X15" s="63" t="s">
        <v>91</v>
      </c>
      <c r="Y15" s="60">
        <v>0.91673094545030975</v>
      </c>
      <c r="Z15" s="60">
        <v>0.97712951238070189</v>
      </c>
      <c r="AA15" s="60">
        <v>1</v>
      </c>
      <c r="AB15" s="60">
        <v>0.93678819412337844</v>
      </c>
      <c r="AD15" s="63" t="s">
        <v>101</v>
      </c>
      <c r="AE15" s="60">
        <v>6.8879796831966628E-2</v>
      </c>
      <c r="AF15" s="60">
        <v>1.387837203577718E-2</v>
      </c>
      <c r="AG15" s="60">
        <v>5.6450519673950809E-2</v>
      </c>
      <c r="AH15" s="60">
        <v>1.3910212731979177E-3</v>
      </c>
      <c r="AI15" s="60">
        <v>0.32546810318426694</v>
      </c>
      <c r="AJ15" s="60">
        <v>6.9985457914791991E-4</v>
      </c>
      <c r="AK15" s="60">
        <v>1.0868369575283997E-2</v>
      </c>
      <c r="AL15" s="60">
        <v>4.0739610638682255E-2</v>
      </c>
      <c r="AN15" s="64" t="s">
        <v>107</v>
      </c>
      <c r="AO15" s="60">
        <v>3.5376628787964139E-4</v>
      </c>
      <c r="AW15" s="63" t="s">
        <v>108</v>
      </c>
      <c r="AX15" s="59">
        <v>5560167.3426108267</v>
      </c>
      <c r="AY15" s="60">
        <v>2.549284006878658E-2</v>
      </c>
      <c r="BA15" s="63" t="s">
        <v>101</v>
      </c>
      <c r="BB15" s="59">
        <v>3560190.7595953564</v>
      </c>
      <c r="BC15" s="59">
        <v>56.75</v>
      </c>
      <c r="BD15" s="59">
        <v>31</v>
      </c>
      <c r="BG15" s="63" t="s">
        <v>101</v>
      </c>
      <c r="BH15" s="59">
        <v>303391.50268242892</v>
      </c>
      <c r="BI15" s="59">
        <v>60.666666666666664</v>
      </c>
      <c r="BJ15" s="59">
        <v>32</v>
      </c>
      <c r="BN15" s="64">
        <v>32</v>
      </c>
      <c r="BO15" s="59">
        <v>84750.193742132265</v>
      </c>
      <c r="BP15" s="59">
        <v>40.239153439153398</v>
      </c>
      <c r="BQ15" s="59">
        <v>1</v>
      </c>
      <c r="BS15" s="63" t="s">
        <v>104</v>
      </c>
      <c r="BT15" s="59">
        <v>6299300.253806591</v>
      </c>
      <c r="BU15" s="60">
        <v>5.6435454405430463E-2</v>
      </c>
      <c r="BX15" s="63" t="s">
        <v>104</v>
      </c>
      <c r="BY15" s="60">
        <v>5.6435454405430505E-2</v>
      </c>
      <c r="BZ15" s="75">
        <v>0.68621019896433211</v>
      </c>
      <c r="CB15" s="63" t="s">
        <v>104</v>
      </c>
      <c r="CC15" s="60">
        <v>6.695715033465531E-2</v>
      </c>
      <c r="CD15" s="75">
        <v>0.31233656770757634</v>
      </c>
      <c r="CG15" s="59" t="s">
        <v>106</v>
      </c>
      <c r="CH15" s="60">
        <v>1</v>
      </c>
      <c r="CI15" s="75">
        <v>0.31151409551809839</v>
      </c>
      <c r="CJ15" s="88">
        <v>1</v>
      </c>
      <c r="CL15" s="59">
        <v>10</v>
      </c>
      <c r="CM15" s="60">
        <v>2.6956323823150463E-4</v>
      </c>
      <c r="CN15" s="75">
        <v>0.5748838772766165</v>
      </c>
    </row>
    <row r="16" spans="1:92">
      <c r="A16" s="63" t="s">
        <v>91</v>
      </c>
      <c r="B16" s="59">
        <v>381599285.24006069</v>
      </c>
      <c r="C16" s="60">
        <v>0.79354210391568925</v>
      </c>
      <c r="E16" s="63" t="s">
        <v>84</v>
      </c>
      <c r="F16" s="60">
        <v>9.8885127499710422E-3</v>
      </c>
      <c r="I16" s="63" t="s">
        <v>109</v>
      </c>
      <c r="J16" s="60">
        <v>4.5723542740629987E-3</v>
      </c>
      <c r="L16" s="63" t="s">
        <v>110</v>
      </c>
      <c r="M16" s="60">
        <v>0.1850242265099877</v>
      </c>
      <c r="O16" s="64" t="s">
        <v>68</v>
      </c>
      <c r="P16" s="60">
        <v>0.81956659478258198</v>
      </c>
      <c r="X16" s="63" t="s">
        <v>111</v>
      </c>
      <c r="Y16" s="60">
        <v>6.4122036301260121E-3</v>
      </c>
      <c r="Z16" s="60">
        <v>0</v>
      </c>
      <c r="AA16" s="60">
        <v>0</v>
      </c>
      <c r="AB16" s="60">
        <v>4.4027819731223012E-3</v>
      </c>
      <c r="AD16" s="63" t="s">
        <v>91</v>
      </c>
      <c r="AE16" s="60">
        <v>0.8456446012009261</v>
      </c>
      <c r="AF16" s="60">
        <v>0.66834655159895406</v>
      </c>
      <c r="AG16" s="60">
        <v>0.78807981385960213</v>
      </c>
      <c r="AH16" s="60">
        <v>0.91832914357292206</v>
      </c>
      <c r="AI16" s="60">
        <v>0.44016519711820656</v>
      </c>
      <c r="AJ16" s="60">
        <v>0.80321411812166976</v>
      </c>
      <c r="AK16" s="60">
        <v>0.92171165919593023</v>
      </c>
      <c r="AL16" s="60">
        <v>0.64532218485940596</v>
      </c>
      <c r="AN16" s="64" t="s">
        <v>112</v>
      </c>
      <c r="AO16" s="60">
        <v>1.0458573887725166E-3</v>
      </c>
      <c r="AW16" s="63" t="s">
        <v>113</v>
      </c>
      <c r="AX16" s="59">
        <v>8152671.2513537109</v>
      </c>
      <c r="AY16" s="60">
        <v>3.7379224677537064E-2</v>
      </c>
      <c r="BA16" s="92" t="s">
        <v>91</v>
      </c>
      <c r="BB16" s="83">
        <v>56394011.711955197</v>
      </c>
      <c r="BC16" s="83">
        <v>187.02164257808269</v>
      </c>
      <c r="BD16" s="83">
        <v>148.93385214007782</v>
      </c>
      <c r="BE16" s="103">
        <f>BC16/BD16</f>
        <v>1.2557362875579281</v>
      </c>
      <c r="BG16" s="63" t="s">
        <v>91</v>
      </c>
      <c r="BH16" s="59">
        <v>200294031.58237335</v>
      </c>
      <c r="BI16" s="59">
        <v>491.20504946798326</v>
      </c>
      <c r="BJ16" s="59">
        <v>272.24242424242425</v>
      </c>
      <c r="BN16" s="64">
        <v>35</v>
      </c>
      <c r="BO16" s="59">
        <v>40688.441174178501</v>
      </c>
      <c r="BP16" s="59">
        <v>85.676893671185695</v>
      </c>
      <c r="BQ16" s="59">
        <v>1</v>
      </c>
      <c r="BS16" s="63" t="s">
        <v>109</v>
      </c>
      <c r="BT16" s="59">
        <v>1415709.2491503088</v>
      </c>
      <c r="BU16" s="60">
        <v>1.2683344429167055E-2</v>
      </c>
      <c r="BX16" s="63" t="s">
        <v>109</v>
      </c>
      <c r="BY16" s="60">
        <v>1.2683344429167066E-2</v>
      </c>
      <c r="BZ16" s="75">
        <v>1.2079907748893202</v>
      </c>
      <c r="CB16" s="63" t="s">
        <v>109</v>
      </c>
      <c r="CC16" s="60">
        <v>7.2088595395926863E-3</v>
      </c>
      <c r="CD16" s="75">
        <v>0.71455758170334271</v>
      </c>
      <c r="CL16" s="59">
        <v>12</v>
      </c>
      <c r="CM16" s="60">
        <v>8.0868829481941195E-5</v>
      </c>
      <c r="CN16" s="75">
        <v>0.10362229909937769</v>
      </c>
    </row>
    <row r="17" spans="1:92">
      <c r="A17" s="63" t="s">
        <v>111</v>
      </c>
      <c r="B17" s="59">
        <v>39821584.675208613</v>
      </c>
      <c r="C17" s="60">
        <v>8.2809652184077001E-2</v>
      </c>
      <c r="E17" s="63" t="s">
        <v>85</v>
      </c>
      <c r="F17" s="60">
        <v>2.5349570197223507E-2</v>
      </c>
      <c r="I17" s="63" t="s">
        <v>114</v>
      </c>
      <c r="J17" s="60">
        <v>2.5139431444923317E-2</v>
      </c>
      <c r="L17" s="63" t="s">
        <v>115</v>
      </c>
      <c r="M17" s="60">
        <v>0.16594593062335228</v>
      </c>
      <c r="O17" s="64" t="s">
        <v>84</v>
      </c>
      <c r="P17" s="60">
        <v>5.0827022616666342E-4</v>
      </c>
      <c r="X17" s="63" t="s">
        <v>116</v>
      </c>
      <c r="Y17" s="60">
        <v>2.8954638534071153E-2</v>
      </c>
      <c r="Z17" s="60">
        <v>8.8871977165374729E-3</v>
      </c>
      <c r="AA17" s="60">
        <v>0</v>
      </c>
      <c r="AB17" s="60">
        <v>2.2226957543529682E-2</v>
      </c>
      <c r="AD17" s="63" t="s">
        <v>111</v>
      </c>
      <c r="AE17" s="60">
        <v>2.5818444206180645E-2</v>
      </c>
      <c r="AF17" s="60">
        <v>0.17790718167399888</v>
      </c>
      <c r="AG17" s="60">
        <v>8.1299704506988715E-2</v>
      </c>
      <c r="AH17" s="60">
        <v>1.8494862077173501E-2</v>
      </c>
      <c r="AI17" s="60">
        <v>0.10041442742330232</v>
      </c>
      <c r="AJ17" s="60">
        <v>0.19045891842521759</v>
      </c>
      <c r="AK17" s="60">
        <v>2.7194457779123812E-2</v>
      </c>
      <c r="AL17" s="60">
        <v>0.12021415135711923</v>
      </c>
      <c r="AN17" s="64" t="s">
        <v>117</v>
      </c>
      <c r="AO17" s="60">
        <v>0.6462200605816053</v>
      </c>
      <c r="AW17" s="63" t="s">
        <v>118</v>
      </c>
      <c r="AX17" s="59">
        <v>5553052.7711432585</v>
      </c>
      <c r="AY17" s="60">
        <v>2.5460220433188435E-2</v>
      </c>
      <c r="BA17" s="92" t="s">
        <v>111</v>
      </c>
      <c r="BB17" s="83">
        <v>10505385.400709784</v>
      </c>
      <c r="BC17" s="83">
        <v>96.664000000000001</v>
      </c>
      <c r="BD17" s="83">
        <v>79.024000000000001</v>
      </c>
      <c r="BE17" s="103">
        <f>BC17/BD17</f>
        <v>1.2232233245596276</v>
      </c>
      <c r="BG17" s="63" t="s">
        <v>111</v>
      </c>
      <c r="BH17" s="59">
        <v>4033859.2267521452</v>
      </c>
      <c r="BI17" s="59">
        <v>157.95454545454547</v>
      </c>
      <c r="BJ17" s="59">
        <v>107.27272727272727</v>
      </c>
      <c r="BN17" s="64">
        <v>50</v>
      </c>
      <c r="BO17" s="59">
        <v>21505.809860890669</v>
      </c>
      <c r="BP17" s="59">
        <v>72</v>
      </c>
      <c r="BQ17" s="59">
        <v>1</v>
      </c>
      <c r="BS17" s="63" t="s">
        <v>114</v>
      </c>
      <c r="BT17" s="59">
        <v>2485483.326230309</v>
      </c>
      <c r="BU17" s="60">
        <v>2.2267454364977308E-2</v>
      </c>
      <c r="BX17" s="63" t="s">
        <v>114</v>
      </c>
      <c r="BY17" s="60">
        <v>2.2267454364977325E-2</v>
      </c>
      <c r="BZ17" s="75">
        <v>1.3588277483238014</v>
      </c>
      <c r="CB17" s="63" t="s">
        <v>114</v>
      </c>
      <c r="CC17" s="60">
        <v>5.4105745918855246E-2</v>
      </c>
      <c r="CD17" s="75">
        <v>1.0633959141116669</v>
      </c>
      <c r="CL17" s="59">
        <v>13</v>
      </c>
      <c r="CM17" s="60">
        <v>7.2263571049762691E-3</v>
      </c>
      <c r="CN17" s="75">
        <v>0.89883313633481721</v>
      </c>
    </row>
    <row r="18" spans="1:92">
      <c r="A18" s="63" t="s">
        <v>116</v>
      </c>
      <c r="B18" s="59">
        <v>9864630.1007196102</v>
      </c>
      <c r="C18" s="60">
        <v>2.0513663487473657E-2</v>
      </c>
      <c r="E18" s="63" t="s">
        <v>86</v>
      </c>
      <c r="F18" s="60">
        <v>8.1235072118429688E-3</v>
      </c>
      <c r="I18" s="63" t="s">
        <v>119</v>
      </c>
      <c r="J18" s="60">
        <v>4.5394715837206948E-3</v>
      </c>
      <c r="L18" s="63" t="s">
        <v>106</v>
      </c>
      <c r="M18" s="60">
        <v>1</v>
      </c>
      <c r="O18" s="64" t="s">
        <v>85</v>
      </c>
      <c r="P18" s="60">
        <v>3.7280654245107681E-2</v>
      </c>
      <c r="X18" s="63" t="s">
        <v>120</v>
      </c>
      <c r="Y18" s="60">
        <v>0</v>
      </c>
      <c r="Z18" s="60">
        <v>1.380022341188108E-2</v>
      </c>
      <c r="AA18" s="60">
        <v>0</v>
      </c>
      <c r="AB18" s="60">
        <v>3.6428656069784357E-3</v>
      </c>
      <c r="AD18" s="63" t="s">
        <v>116</v>
      </c>
      <c r="AE18" s="60">
        <v>4.5597649716187745E-2</v>
      </c>
      <c r="AF18" s="60">
        <v>1.5246596487825158E-2</v>
      </c>
      <c r="AG18" s="60">
        <v>6.8645975030871944E-3</v>
      </c>
      <c r="AH18" s="60">
        <v>1.8804377524271401E-2</v>
      </c>
      <c r="AI18" s="60">
        <v>3.8788810994273032E-2</v>
      </c>
      <c r="AJ18" s="60">
        <v>0</v>
      </c>
      <c r="AK18" s="60">
        <v>0</v>
      </c>
      <c r="AL18" s="60">
        <v>3.3245646911600139E-2</v>
      </c>
      <c r="AN18" s="64" t="s">
        <v>121</v>
      </c>
      <c r="AO18" s="60">
        <v>2.111205874607849E-2</v>
      </c>
      <c r="AW18" s="63" t="s">
        <v>122</v>
      </c>
      <c r="AX18" s="59">
        <v>7435332.1274686176</v>
      </c>
      <c r="AY18" s="60">
        <v>3.4090292810299537E-2</v>
      </c>
      <c r="BA18" s="63" t="s">
        <v>116</v>
      </c>
      <c r="BB18" s="59">
        <v>2905301.3289985918</v>
      </c>
      <c r="BC18" s="59">
        <v>65.510638297872347</v>
      </c>
      <c r="BD18" s="59">
        <v>34.553191489361701</v>
      </c>
      <c r="BG18" s="63" t="s">
        <v>116</v>
      </c>
      <c r="BH18" s="59">
        <v>4101366.7181239864</v>
      </c>
      <c r="BI18" s="59">
        <v>157.88888888888889</v>
      </c>
      <c r="BJ18" s="59">
        <v>94.481481481481481</v>
      </c>
      <c r="BN18" s="64">
        <v>55</v>
      </c>
      <c r="BO18" s="59">
        <v>37957.620343374183</v>
      </c>
      <c r="BP18" s="59">
        <v>67.317559313074497</v>
      </c>
      <c r="BQ18" s="59">
        <v>1</v>
      </c>
      <c r="BS18" s="63" t="s">
        <v>119</v>
      </c>
      <c r="BT18" s="59">
        <v>274149.73525987385</v>
      </c>
      <c r="BU18" s="60">
        <v>2.4561084979510292E-3</v>
      </c>
      <c r="BX18" s="63" t="s">
        <v>119</v>
      </c>
      <c r="BY18" s="60">
        <v>2.4561084979510309E-3</v>
      </c>
      <c r="BZ18" s="75">
        <v>0.41620409924867668</v>
      </c>
      <c r="CB18" s="63" t="s">
        <v>119</v>
      </c>
      <c r="CC18" s="60">
        <v>3.4910328425881589E-4</v>
      </c>
      <c r="CD18" s="75">
        <v>5.458530008597684E-2</v>
      </c>
      <c r="CL18" s="59">
        <v>14</v>
      </c>
      <c r="CM18" s="60">
        <v>9.0820398121439251E-4</v>
      </c>
      <c r="CN18" s="75">
        <v>0.3218563072890559</v>
      </c>
    </row>
    <row r="19" spans="1:92">
      <c r="A19" s="63" t="s">
        <v>120</v>
      </c>
      <c r="B19" s="59">
        <v>1485217.570019579</v>
      </c>
      <c r="C19" s="60">
        <v>3.0885348082988376E-3</v>
      </c>
      <c r="E19" s="63" t="s">
        <v>87</v>
      </c>
      <c r="F19" s="60">
        <v>0.18172673198007216</v>
      </c>
      <c r="I19" s="63" t="s">
        <v>100</v>
      </c>
      <c r="J19" s="60">
        <v>5.3933286949346647E-2</v>
      </c>
      <c r="O19" s="64" t="s">
        <v>86</v>
      </c>
      <c r="P19" s="60">
        <v>8.8117289222101967E-3</v>
      </c>
      <c r="X19" s="63" t="s">
        <v>123</v>
      </c>
      <c r="Y19" s="60">
        <v>9.0712927616696178E-5</v>
      </c>
      <c r="Z19" s="60">
        <v>0</v>
      </c>
      <c r="AA19" s="60">
        <v>0</v>
      </c>
      <c r="AB19" s="60">
        <v>6.228580149318953E-5</v>
      </c>
      <c r="AD19" s="63" t="s">
        <v>120</v>
      </c>
      <c r="AE19" s="60">
        <v>1.5920587473971641E-3</v>
      </c>
      <c r="AF19" s="60">
        <v>3.3476319112331092E-3</v>
      </c>
      <c r="AG19" s="60">
        <v>0</v>
      </c>
      <c r="AH19" s="60">
        <v>3.9636256804213748E-3</v>
      </c>
      <c r="AI19" s="60">
        <v>0</v>
      </c>
      <c r="AJ19" s="60">
        <v>0</v>
      </c>
      <c r="AK19" s="60">
        <v>0</v>
      </c>
      <c r="AL19" s="60">
        <v>2.5086738308827501E-3</v>
      </c>
      <c r="AN19" s="64" t="s">
        <v>124</v>
      </c>
      <c r="AO19" s="60">
        <v>0.12410179363110864</v>
      </c>
      <c r="AW19" s="63" t="s">
        <v>125</v>
      </c>
      <c r="AX19" s="59">
        <v>3416487.7555155237</v>
      </c>
      <c r="AY19" s="60">
        <v>1.5664272418719715E-2</v>
      </c>
      <c r="BA19" s="63" t="s">
        <v>120</v>
      </c>
      <c r="BB19" s="59">
        <v>219230.30808417025</v>
      </c>
      <c r="BC19" s="59">
        <v>80.666666666666671</v>
      </c>
      <c r="BD19" s="59">
        <v>49.333333333333336</v>
      </c>
      <c r="BG19" s="63" t="s">
        <v>120</v>
      </c>
      <c r="BH19" s="59">
        <v>864494.57993487269</v>
      </c>
      <c r="BI19" s="59">
        <v>600</v>
      </c>
      <c r="BJ19" s="59">
        <v>600</v>
      </c>
      <c r="BN19" s="64">
        <v>60</v>
      </c>
      <c r="BO19" s="59">
        <v>128082.25788160189</v>
      </c>
      <c r="BP19" s="59">
        <v>89.831281243266602</v>
      </c>
      <c r="BQ19" s="59">
        <v>4</v>
      </c>
      <c r="BS19" s="63" t="s">
        <v>100</v>
      </c>
      <c r="BT19" s="59">
        <v>7034528.3158437675</v>
      </c>
      <c r="BU19" s="60">
        <v>6.3022365348057524E-2</v>
      </c>
      <c r="BX19" s="63" t="s">
        <v>100</v>
      </c>
      <c r="BY19" s="60">
        <v>6.302236534805758E-2</v>
      </c>
      <c r="BZ19" s="75">
        <v>5.9596594462265449</v>
      </c>
      <c r="CB19" s="63" t="s">
        <v>100</v>
      </c>
      <c r="CC19" s="60">
        <v>9.6094504577345294E-2</v>
      </c>
      <c r="CD19" s="75">
        <v>0.39612834348457121</v>
      </c>
      <c r="CL19" s="59">
        <v>15</v>
      </c>
      <c r="CM19" s="60">
        <v>9.9765074717133337E-4</v>
      </c>
      <c r="CN19" s="75">
        <v>2.1485824088066634</v>
      </c>
    </row>
    <row r="20" spans="1:92">
      <c r="A20" s="63" t="s">
        <v>119</v>
      </c>
      <c r="B20" s="59">
        <v>0</v>
      </c>
      <c r="C20" s="60">
        <v>0</v>
      </c>
      <c r="E20" s="63" t="s">
        <v>106</v>
      </c>
      <c r="F20" s="60">
        <v>1</v>
      </c>
      <c r="I20" s="63" t="s">
        <v>126</v>
      </c>
      <c r="J20" s="60">
        <v>9.9575889492209246E-2</v>
      </c>
      <c r="O20" s="64" t="s">
        <v>87</v>
      </c>
      <c r="P20" s="60">
        <v>7.0120386995977946E-2</v>
      </c>
      <c r="X20" s="63" t="s">
        <v>106</v>
      </c>
      <c r="Y20" s="60">
        <v>1</v>
      </c>
      <c r="Z20" s="60">
        <v>1</v>
      </c>
      <c r="AA20" s="60">
        <v>1</v>
      </c>
      <c r="AB20" s="60">
        <v>1</v>
      </c>
      <c r="AD20" s="63" t="s">
        <v>119</v>
      </c>
      <c r="AE20" s="60">
        <v>0</v>
      </c>
      <c r="AF20" s="60">
        <v>0</v>
      </c>
      <c r="AG20" s="60">
        <v>0</v>
      </c>
      <c r="AH20" s="60">
        <v>0</v>
      </c>
      <c r="AI20" s="60">
        <v>0</v>
      </c>
      <c r="AJ20" s="60">
        <v>0</v>
      </c>
      <c r="AK20" s="60">
        <v>0</v>
      </c>
      <c r="AL20" s="60">
        <v>0</v>
      </c>
      <c r="AN20" s="63" t="s">
        <v>106</v>
      </c>
      <c r="AO20" s="60">
        <v>1</v>
      </c>
      <c r="AW20" s="63" t="s">
        <v>127</v>
      </c>
      <c r="AX20" s="59">
        <v>20964511.225378457</v>
      </c>
      <c r="AY20" s="60">
        <v>9.612029618121179E-2</v>
      </c>
      <c r="BA20" s="63" t="s">
        <v>119</v>
      </c>
      <c r="BB20" s="59">
        <v>0</v>
      </c>
      <c r="BC20" s="59" t="e">
        <v>#DIV/0!</v>
      </c>
      <c r="BD20" s="59" t="e">
        <v>#DIV/0!</v>
      </c>
      <c r="BG20" s="63" t="s">
        <v>123</v>
      </c>
      <c r="BH20" s="59">
        <v>13863.938773310279</v>
      </c>
      <c r="BI20" s="59">
        <v>40</v>
      </c>
      <c r="BJ20" s="59">
        <v>40</v>
      </c>
      <c r="BN20" s="64">
        <v>70</v>
      </c>
      <c r="BO20" s="59">
        <v>1170780.7390146269</v>
      </c>
      <c r="BP20" s="59">
        <v>92.925296610169497</v>
      </c>
      <c r="BQ20" s="59">
        <v>13</v>
      </c>
      <c r="BS20" s="63" t="s">
        <v>126</v>
      </c>
      <c r="BT20" s="59">
        <v>18155200.262207985</v>
      </c>
      <c r="BU20" s="60">
        <v>0.16265250668122166</v>
      </c>
      <c r="BX20" s="63" t="s">
        <v>126</v>
      </c>
      <c r="BY20" s="60">
        <v>0.1626525066812218</v>
      </c>
      <c r="BZ20" s="75">
        <v>0.71817697247203249</v>
      </c>
      <c r="CB20" s="63" t="s">
        <v>126</v>
      </c>
      <c r="CC20" s="60">
        <v>0.19376381065277984</v>
      </c>
      <c r="CD20" s="75">
        <v>0.61415779697653361</v>
      </c>
      <c r="CL20" s="59">
        <v>16</v>
      </c>
      <c r="CM20" s="60">
        <v>2.4970745660587361E-4</v>
      </c>
      <c r="CN20" s="75">
        <v>9.0909090909090898E-2</v>
      </c>
    </row>
    <row r="21" spans="1:92">
      <c r="A21" s="63" t="s">
        <v>123</v>
      </c>
      <c r="B21" s="59">
        <v>400640.83305274625</v>
      </c>
      <c r="C21" s="60">
        <v>8.3313932146179652E-4</v>
      </c>
      <c r="I21" s="63" t="s">
        <v>72</v>
      </c>
      <c r="J21" s="60">
        <v>0.49349362555428744</v>
      </c>
      <c r="O21" s="63" t="s">
        <v>106</v>
      </c>
      <c r="P21" s="60">
        <v>1</v>
      </c>
      <c r="AD21" s="63" t="s">
        <v>123</v>
      </c>
      <c r="AE21" s="60">
        <v>0</v>
      </c>
      <c r="AF21" s="60">
        <v>0</v>
      </c>
      <c r="AG21" s="60">
        <v>1.1420655771307435E-2</v>
      </c>
      <c r="AH21" s="60">
        <v>6.3564844741793568E-5</v>
      </c>
      <c r="AI21" s="60">
        <v>5.9055730385580455E-3</v>
      </c>
      <c r="AJ21" s="60">
        <v>0</v>
      </c>
      <c r="AK21" s="60">
        <v>0</v>
      </c>
      <c r="AL21" s="60">
        <v>7.808981157403943E-4</v>
      </c>
      <c r="AW21" s="63" t="s">
        <v>100</v>
      </c>
      <c r="AX21" s="59">
        <v>18306279.973143846</v>
      </c>
      <c r="AY21" s="60">
        <v>8.393255793460587E-2</v>
      </c>
      <c r="BA21" s="63" t="s">
        <v>123</v>
      </c>
      <c r="BB21" s="59">
        <v>68241.846504164394</v>
      </c>
      <c r="BC21" s="59">
        <v>48</v>
      </c>
      <c r="BD21" s="59">
        <v>34.666666666666664</v>
      </c>
      <c r="BG21" s="63" t="s">
        <v>106</v>
      </c>
      <c r="BH21" s="59">
        <v>218107018.58278614</v>
      </c>
      <c r="BI21" s="59">
        <v>437.65240996982817</v>
      </c>
      <c r="BJ21" s="59">
        <v>243.68306010928961</v>
      </c>
      <c r="BN21" s="64">
        <v>75</v>
      </c>
      <c r="BO21" s="59">
        <v>1135030.3266979069</v>
      </c>
      <c r="BP21" s="59">
        <v>105.05514641754145</v>
      </c>
      <c r="BQ21" s="59">
        <v>7</v>
      </c>
      <c r="BS21" s="63" t="s">
        <v>72</v>
      </c>
      <c r="BT21" s="59">
        <v>1599247.2964259484</v>
      </c>
      <c r="BU21" s="60">
        <v>1.4327662477418027E-2</v>
      </c>
      <c r="BX21" s="63" t="s">
        <v>72</v>
      </c>
      <c r="BY21" s="60">
        <v>1.4327662477418037E-2</v>
      </c>
      <c r="BZ21" s="75">
        <v>0.24410682216434806</v>
      </c>
      <c r="CB21" s="63" t="s">
        <v>72</v>
      </c>
      <c r="CC21" s="60">
        <v>0.19041757713284291</v>
      </c>
      <c r="CD21" s="75">
        <v>0.28539213559064824</v>
      </c>
      <c r="CL21" s="59">
        <v>18</v>
      </c>
      <c r="CM21" s="60">
        <v>1.5677223505354695E-3</v>
      </c>
      <c r="CN21" s="75">
        <v>0.96323834789915852</v>
      </c>
    </row>
    <row r="22" spans="1:92">
      <c r="A22" s="63" t="s">
        <v>106</v>
      </c>
      <c r="B22" s="59">
        <v>480880955.60031444</v>
      </c>
      <c r="C22" s="60">
        <v>1</v>
      </c>
      <c r="I22" s="63" t="s">
        <v>128</v>
      </c>
      <c r="J22" s="60">
        <v>2.7909397541300888E-3</v>
      </c>
      <c r="AD22" s="63" t="s">
        <v>106</v>
      </c>
      <c r="AE22" s="60">
        <v>1</v>
      </c>
      <c r="AF22" s="60">
        <v>1</v>
      </c>
      <c r="AG22" s="60">
        <v>1</v>
      </c>
      <c r="AH22" s="60">
        <v>1</v>
      </c>
      <c r="AI22" s="60">
        <v>1</v>
      </c>
      <c r="AJ22" s="60">
        <v>1</v>
      </c>
      <c r="AK22" s="60">
        <v>1</v>
      </c>
      <c r="AL22" s="60">
        <v>1</v>
      </c>
      <c r="AW22" s="63" t="s">
        <v>106</v>
      </c>
      <c r="AX22" s="59">
        <v>218107018.58278602</v>
      </c>
      <c r="AY22" s="60">
        <v>1</v>
      </c>
      <c r="BA22" s="63" t="s">
        <v>106</v>
      </c>
      <c r="BB22" s="59">
        <v>87388924.532699168</v>
      </c>
      <c r="BC22" s="59">
        <v>102.02130907781202</v>
      </c>
      <c r="BD22" s="59">
        <v>77.907382550335569</v>
      </c>
      <c r="BN22" s="64">
        <v>100</v>
      </c>
      <c r="BO22" s="59">
        <v>2778054.1611819854</v>
      </c>
      <c r="BP22" s="59">
        <v>162.18122524413377</v>
      </c>
      <c r="BQ22" s="59">
        <v>18</v>
      </c>
      <c r="BS22" s="63" t="s">
        <v>128</v>
      </c>
      <c r="BT22" s="59">
        <v>396336.51888338121</v>
      </c>
      <c r="BU22" s="60">
        <v>3.5507803469335695E-3</v>
      </c>
      <c r="BX22" s="63" t="s">
        <v>128</v>
      </c>
      <c r="BY22" s="60">
        <v>3.5507803469335725E-3</v>
      </c>
      <c r="BZ22" s="75">
        <v>2.1574639207148039</v>
      </c>
      <c r="CB22" s="63" t="s">
        <v>128</v>
      </c>
      <c r="CC22" s="60">
        <v>3.4868822935524659E-3</v>
      </c>
      <c r="CD22" s="75">
        <v>1.2889121578169929</v>
      </c>
      <c r="CL22" s="59">
        <v>19</v>
      </c>
      <c r="CM22" s="60">
        <v>2.3715869585715893E-4</v>
      </c>
      <c r="CN22" s="75">
        <v>0.15873015873015872</v>
      </c>
    </row>
    <row r="23" spans="1:92">
      <c r="I23" s="63" t="s">
        <v>129</v>
      </c>
      <c r="J23" s="60">
        <v>1.8426964294550494E-3</v>
      </c>
      <c r="BN23" s="64">
        <v>120</v>
      </c>
      <c r="BO23" s="59">
        <v>723775.60795798316</v>
      </c>
      <c r="BP23" s="59">
        <v>146.15346907994001</v>
      </c>
      <c r="BQ23" s="59">
        <v>2</v>
      </c>
      <c r="BS23" s="63" t="s">
        <v>129</v>
      </c>
      <c r="BT23" s="59">
        <v>514879.9870349493</v>
      </c>
      <c r="BU23" s="60">
        <v>4.6128117190509244E-3</v>
      </c>
      <c r="BX23" s="63" t="s">
        <v>129</v>
      </c>
      <c r="BY23" s="60">
        <v>4.6128117190509287E-3</v>
      </c>
      <c r="BZ23" s="75">
        <v>0.70268026599609845</v>
      </c>
      <c r="CB23" s="63" t="s">
        <v>129</v>
      </c>
      <c r="CC23" s="60">
        <v>2.2127401523692417E-3</v>
      </c>
      <c r="CD23" s="75">
        <v>0.31300051209573637</v>
      </c>
      <c r="CL23" s="59">
        <v>20</v>
      </c>
      <c r="CM23" s="60">
        <v>8.2483097087447774E-4</v>
      </c>
      <c r="CN23" s="75">
        <v>0.38922783754540369</v>
      </c>
    </row>
    <row r="24" spans="1:92">
      <c r="I24" s="63" t="s">
        <v>130</v>
      </c>
      <c r="J24" s="60">
        <v>0.21456456788745235</v>
      </c>
      <c r="BN24" s="64">
        <v>125</v>
      </c>
      <c r="BO24" s="59">
        <v>372091.53064814961</v>
      </c>
      <c r="BP24" s="59">
        <v>152.24319695827</v>
      </c>
      <c r="BQ24" s="59">
        <v>2</v>
      </c>
      <c r="BS24" s="94" t="s">
        <v>130</v>
      </c>
      <c r="BT24" s="85">
        <v>64976937.005529791</v>
      </c>
      <c r="BU24" s="95">
        <v>0.58212862032797663</v>
      </c>
      <c r="BX24" s="94" t="s">
        <v>130</v>
      </c>
      <c r="BY24" s="98">
        <v>0.58212862032797708</v>
      </c>
      <c r="BZ24" s="99">
        <v>0.45051339655955625</v>
      </c>
      <c r="CB24" s="63" t="s">
        <v>130</v>
      </c>
      <c r="CC24" s="60">
        <v>0.23611262165489783</v>
      </c>
      <c r="CD24" s="75">
        <v>0.34893962445244225</v>
      </c>
      <c r="CL24" s="59">
        <v>21</v>
      </c>
      <c r="CM24" s="60">
        <v>1.1933415584815307E-4</v>
      </c>
      <c r="CN24" s="75">
        <v>4.9636851978519844E-2</v>
      </c>
    </row>
    <row r="25" spans="1:92">
      <c r="I25" s="63" t="s">
        <v>106</v>
      </c>
      <c r="J25" s="60">
        <v>1</v>
      </c>
      <c r="BN25" s="64">
        <v>150</v>
      </c>
      <c r="BO25" s="59">
        <v>15103126.900566988</v>
      </c>
      <c r="BP25" s="59">
        <v>245.17511262983291</v>
      </c>
      <c r="BQ25" s="59">
        <v>73</v>
      </c>
      <c r="BS25" s="63" t="s">
        <v>106</v>
      </c>
      <c r="BT25" s="59">
        <v>111619554.05821</v>
      </c>
      <c r="BU25" s="60">
        <v>1</v>
      </c>
      <c r="BX25" s="63" t="s">
        <v>106</v>
      </c>
      <c r="BY25" s="60">
        <v>1</v>
      </c>
      <c r="BZ25" s="75">
        <v>0.78592032386061383</v>
      </c>
      <c r="CB25" s="94" t="s">
        <v>106</v>
      </c>
      <c r="CC25" s="98">
        <v>1</v>
      </c>
      <c r="CD25" s="99">
        <v>0.52361143706022251</v>
      </c>
      <c r="CL25" s="59">
        <v>22</v>
      </c>
      <c r="CM25" s="60">
        <v>9.2440334562370963E-4</v>
      </c>
      <c r="CN25" s="75">
        <v>9.581332058675672E-2</v>
      </c>
    </row>
    <row r="26" spans="1:92">
      <c r="A26" s="90" t="s">
        <v>64</v>
      </c>
      <c r="B26" s="90" t="s">
        <v>63</v>
      </c>
      <c r="C26" s="100"/>
      <c r="BN26" s="64">
        <v>170</v>
      </c>
      <c r="BO26" s="59">
        <v>13567.245814555101</v>
      </c>
      <c r="BP26" s="59">
        <v>207.05074786324801</v>
      </c>
      <c r="BQ26" s="59">
        <v>1</v>
      </c>
      <c r="CL26" s="59">
        <v>23</v>
      </c>
      <c r="CM26" s="60">
        <v>6.9760981740940361E-3</v>
      </c>
      <c r="CN26" s="75">
        <v>0.97669725507691063</v>
      </c>
    </row>
    <row r="27" spans="1:92">
      <c r="A27" s="91" t="s">
        <v>65</v>
      </c>
      <c r="B27" s="90" t="s">
        <v>66</v>
      </c>
      <c r="C27" s="100"/>
      <c r="BN27" s="64">
        <v>175</v>
      </c>
      <c r="BO27" s="59">
        <v>15213666.515931983</v>
      </c>
      <c r="BP27" s="59">
        <v>247.16703282124837</v>
      </c>
      <c r="BQ27" s="59">
        <v>29</v>
      </c>
      <c r="CL27" s="59">
        <v>24</v>
      </c>
      <c r="CM27" s="60">
        <v>8.9282586829737747E-5</v>
      </c>
      <c r="CN27" s="75">
        <v>4.9923866104191111E-2</v>
      </c>
    </row>
    <row r="28" spans="1:92">
      <c r="A28" s="90"/>
      <c r="B28" s="90"/>
      <c r="C28" s="100"/>
      <c r="BN28" s="64">
        <v>200</v>
      </c>
      <c r="BO28" s="59">
        <v>4938984.5674611712</v>
      </c>
      <c r="BP28" s="59">
        <v>299.88106873062134</v>
      </c>
      <c r="BQ28" s="59">
        <v>16</v>
      </c>
      <c r="CL28" s="59">
        <v>25</v>
      </c>
      <c r="CM28" s="60">
        <v>1.058803953785112E-3</v>
      </c>
      <c r="CN28" s="75">
        <v>2.3423423423423424</v>
      </c>
    </row>
    <row r="29" spans="1:92">
      <c r="A29" s="91"/>
      <c r="B29" s="90" t="s">
        <v>71</v>
      </c>
      <c r="C29" s="91"/>
      <c r="BM29" s="87">
        <f>BP29/BN29</f>
        <v>1.5294919847157002</v>
      </c>
      <c r="BN29" s="84">
        <v>250</v>
      </c>
      <c r="BO29" s="85">
        <v>56954674.699640132</v>
      </c>
      <c r="BP29" s="85">
        <v>382.37299617892506</v>
      </c>
      <c r="BQ29" s="86">
        <v>162</v>
      </c>
      <c r="CL29" s="59">
        <v>26</v>
      </c>
      <c r="CM29" s="60">
        <v>1.7419720198599716E-2</v>
      </c>
      <c r="CN29" s="75">
        <v>0.47297354145960957</v>
      </c>
    </row>
    <row r="30" spans="1:92">
      <c r="A30" s="90" t="s">
        <v>74</v>
      </c>
      <c r="B30" s="90" t="s">
        <v>70</v>
      </c>
      <c r="C30" s="90" t="s">
        <v>75</v>
      </c>
      <c r="BN30" s="64">
        <v>285</v>
      </c>
      <c r="BO30" s="59">
        <v>577039.61299504002</v>
      </c>
      <c r="BP30" s="59">
        <v>1388.4579562594299</v>
      </c>
      <c r="BQ30" s="59">
        <v>1</v>
      </c>
      <c r="CL30" s="59">
        <v>28</v>
      </c>
      <c r="CM30" s="60">
        <v>3.3103044527935902E-4</v>
      </c>
      <c r="CN30" s="75">
        <v>0.4103720191684303</v>
      </c>
    </row>
    <row r="31" spans="1:92">
      <c r="A31" s="63" t="s">
        <v>92</v>
      </c>
      <c r="B31" s="59">
        <v>93909305.427518249</v>
      </c>
      <c r="C31" s="60">
        <v>0.1952859732411015</v>
      </c>
      <c r="BN31" s="64">
        <v>300</v>
      </c>
      <c r="BO31" s="59">
        <v>1531428.6544137038</v>
      </c>
      <c r="BP31" s="59">
        <v>417.5813402283988</v>
      </c>
      <c r="BQ31" s="59">
        <v>7</v>
      </c>
      <c r="CL31" s="59">
        <v>30</v>
      </c>
      <c r="CM31" s="60">
        <v>4.3459138159901703E-3</v>
      </c>
      <c r="CN31" s="75">
        <v>0.22887718945685301</v>
      </c>
    </row>
    <row r="32" spans="1:92">
      <c r="A32" s="63" t="s">
        <v>98</v>
      </c>
      <c r="B32" s="59">
        <v>154614229.6614005</v>
      </c>
      <c r="C32" s="60">
        <v>0.32152287974969979</v>
      </c>
      <c r="BN32" s="64">
        <v>320</v>
      </c>
      <c r="BO32" s="59">
        <v>2592551.1934916889</v>
      </c>
      <c r="BP32" s="59">
        <v>502.74588011842945</v>
      </c>
      <c r="BQ32" s="59">
        <v>9</v>
      </c>
      <c r="CL32" s="59">
        <v>32</v>
      </c>
      <c r="CM32" s="60">
        <v>4.538700776979143E-3</v>
      </c>
      <c r="CN32" s="75">
        <v>0.18472503876263419</v>
      </c>
    </row>
    <row r="33" spans="1:92">
      <c r="A33" s="63" t="s">
        <v>103</v>
      </c>
      <c r="B33" s="59">
        <v>25731297.430350047</v>
      </c>
      <c r="C33" s="60">
        <v>5.3508663902541213E-2</v>
      </c>
      <c r="BM33" s="87">
        <f>BP33/BN33</f>
        <v>1.630167792042279</v>
      </c>
      <c r="BN33" s="84">
        <v>400</v>
      </c>
      <c r="BO33" s="85">
        <v>46233930.944578223</v>
      </c>
      <c r="BP33" s="85">
        <v>652.06711681691161</v>
      </c>
      <c r="BQ33" s="86">
        <v>86</v>
      </c>
      <c r="CL33" s="59">
        <v>35</v>
      </c>
      <c r="CM33" s="60">
        <v>3.3476281949050392E-3</v>
      </c>
      <c r="CN33" s="75">
        <v>0.74250454463988536</v>
      </c>
    </row>
    <row r="34" spans="1:92">
      <c r="A34" s="63" t="s">
        <v>108</v>
      </c>
      <c r="B34" s="59">
        <v>36744983.799402706</v>
      </c>
      <c r="C34" s="60">
        <v>7.6411809142101758E-2</v>
      </c>
      <c r="BN34" s="64">
        <v>450</v>
      </c>
      <c r="BO34" s="59">
        <v>2245774.5052214628</v>
      </c>
      <c r="BP34" s="59">
        <v>1074.6132635746599</v>
      </c>
      <c r="BQ34" s="59">
        <v>2</v>
      </c>
      <c r="CL34" s="59">
        <v>36</v>
      </c>
      <c r="CM34" s="60">
        <v>1.525929587194022E-3</v>
      </c>
      <c r="CN34" s="75">
        <v>0.19066513408252572</v>
      </c>
    </row>
    <row r="35" spans="1:92">
      <c r="A35" s="63" t="s">
        <v>113</v>
      </c>
      <c r="B35" s="59">
        <v>20045784.229145005</v>
      </c>
      <c r="C35" s="60">
        <v>4.1685543991070696E-2</v>
      </c>
      <c r="BN35" s="64">
        <v>500</v>
      </c>
      <c r="BO35" s="59">
        <v>1615787.6861005127</v>
      </c>
      <c r="BP35" s="59">
        <v>605.32812959168893</v>
      </c>
      <c r="BQ35" s="59">
        <v>3</v>
      </c>
      <c r="CL35" s="59">
        <v>40</v>
      </c>
      <c r="CM35" s="60">
        <v>3.2075297927852279E-3</v>
      </c>
      <c r="CN35" s="75">
        <v>1.0214121274186909</v>
      </c>
    </row>
    <row r="36" spans="1:92">
      <c r="A36" s="63" t="s">
        <v>118</v>
      </c>
      <c r="B36" s="59">
        <v>23040088.392245047</v>
      </c>
      <c r="C36" s="60">
        <v>4.791224964083398E-2</v>
      </c>
      <c r="BN36" s="64">
        <v>640</v>
      </c>
      <c r="BO36" s="59">
        <v>144846.71322507193</v>
      </c>
      <c r="BP36" s="59">
        <v>804.78306878306898</v>
      </c>
      <c r="BQ36" s="59">
        <v>1</v>
      </c>
      <c r="CL36" s="59">
        <v>42</v>
      </c>
      <c r="CM36" s="60">
        <v>1.4114838301859887E-2</v>
      </c>
      <c r="CN36" s="75">
        <v>0.89534208230312973</v>
      </c>
    </row>
    <row r="37" spans="1:92">
      <c r="A37" s="63" t="s">
        <v>122</v>
      </c>
      <c r="B37" s="59">
        <v>16397733.958544364</v>
      </c>
      <c r="C37" s="60">
        <v>3.4099362363132137E-2</v>
      </c>
      <c r="BN37" s="64">
        <v>750</v>
      </c>
      <c r="BO37" s="59">
        <v>7038924.641309524</v>
      </c>
      <c r="BP37" s="59">
        <v>873.27628968253975</v>
      </c>
      <c r="BQ37" s="59">
        <v>4</v>
      </c>
      <c r="CL37" s="59">
        <v>45</v>
      </c>
      <c r="CM37" s="60">
        <v>1.4544467967707019E-4</v>
      </c>
      <c r="CN37" s="75">
        <v>0.86655112651646438</v>
      </c>
    </row>
    <row r="38" spans="1:92">
      <c r="A38" s="63" t="s">
        <v>125</v>
      </c>
      <c r="B38" s="59">
        <v>7780990.0182357086</v>
      </c>
      <c r="C38" s="60">
        <v>1.618069904332603E-2</v>
      </c>
      <c r="BM38" s="87">
        <f>BP38/BN38</f>
        <v>3.4746782931121132</v>
      </c>
      <c r="BN38" s="84">
        <v>1000</v>
      </c>
      <c r="BO38" s="85">
        <v>39448861.170285553</v>
      </c>
      <c r="BP38" s="85">
        <v>3474.6782931121134</v>
      </c>
      <c r="BQ38" s="86">
        <v>16</v>
      </c>
      <c r="CL38" s="59">
        <v>47</v>
      </c>
      <c r="CM38" s="60">
        <v>2.0981407904988375E-3</v>
      </c>
      <c r="CN38" s="75">
        <v>0.30680728667305845</v>
      </c>
    </row>
    <row r="39" spans="1:92">
      <c r="A39" s="63" t="s">
        <v>127</v>
      </c>
      <c r="B39" s="59">
        <v>55241246.886340201</v>
      </c>
      <c r="C39" s="60">
        <v>0.11487509796968164</v>
      </c>
      <c r="BN39" s="64" t="s">
        <v>119</v>
      </c>
      <c r="BO39" s="59">
        <v>0</v>
      </c>
      <c r="BP39" s="59" t="e">
        <v>#DIV/0!</v>
      </c>
      <c r="BQ39" s="59">
        <v>24</v>
      </c>
      <c r="CL39" s="59">
        <v>50</v>
      </c>
      <c r="CM39" s="60">
        <v>2.1307687042888594E-2</v>
      </c>
      <c r="CN39" s="75">
        <v>0.38532337123155536</v>
      </c>
    </row>
    <row r="40" spans="1:92">
      <c r="A40" s="63" t="s">
        <v>100</v>
      </c>
      <c r="B40" s="59">
        <v>47375295.797132172</v>
      </c>
      <c r="C40" s="60">
        <v>9.8517720956511165E-2</v>
      </c>
      <c r="BN40" s="63" t="s">
        <v>106</v>
      </c>
      <c r="BO40" s="59">
        <v>200294031.58237338</v>
      </c>
      <c r="BP40" s="59">
        <v>491.20504946798337</v>
      </c>
      <c r="BQ40" s="59">
        <v>486</v>
      </c>
      <c r="CL40" s="59">
        <v>59</v>
      </c>
      <c r="CM40" s="60">
        <v>1.2533413378917055E-3</v>
      </c>
      <c r="CN40" s="75">
        <v>0.53806833467850412</v>
      </c>
    </row>
    <row r="41" spans="1:92">
      <c r="A41" s="63" t="s">
        <v>106</v>
      </c>
      <c r="B41" s="59">
        <v>480880955.60031402</v>
      </c>
      <c r="C41" s="60">
        <v>1</v>
      </c>
      <c r="CL41" s="59">
        <v>60</v>
      </c>
      <c r="CM41" s="60">
        <v>9.116113455957555E-3</v>
      </c>
      <c r="CN41" s="75">
        <v>1.0218010678015523</v>
      </c>
    </row>
    <row r="42" spans="1:92" ht="15">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CL42" s="59">
        <v>65</v>
      </c>
      <c r="CM42" s="60">
        <v>8.4003906511291408E-3</v>
      </c>
      <c r="CN42" s="75">
        <v>0.44766007427353521</v>
      </c>
    </row>
    <row r="43" spans="1:92">
      <c r="CL43" s="59">
        <v>70</v>
      </c>
      <c r="CM43" s="60">
        <v>4.6798765617227837E-2</v>
      </c>
      <c r="CN43" s="75">
        <v>0.34244152335208483</v>
      </c>
    </row>
    <row r="44" spans="1:92">
      <c r="CL44" s="59">
        <v>75</v>
      </c>
      <c r="CM44" s="60">
        <v>2.0120900889817744E-2</v>
      </c>
      <c r="CN44" s="75">
        <v>0.56559553818417918</v>
      </c>
    </row>
    <row r="45" spans="1:92">
      <c r="CL45" s="59">
        <v>90</v>
      </c>
      <c r="CM45" s="60">
        <v>4.5568479384024956E-3</v>
      </c>
      <c r="CN45" s="75">
        <v>1.7241379310344827</v>
      </c>
    </row>
    <row r="46" spans="1:92">
      <c r="CL46" s="59">
        <v>100</v>
      </c>
      <c r="CM46" s="60">
        <v>8.725921458362712E-2</v>
      </c>
      <c r="CN46" s="75">
        <v>0.39479339458423884</v>
      </c>
    </row>
    <row r="47" spans="1:92" ht="23.25" customHeight="1">
      <c r="A47" s="72" t="s">
        <v>134</v>
      </c>
      <c r="B47" s="73" t="s">
        <v>138</v>
      </c>
      <c r="C47" s="74"/>
      <c r="D47" s="74"/>
      <c r="E47" s="74"/>
      <c r="F47" s="74"/>
      <c r="G47" s="74"/>
      <c r="H47" s="74"/>
      <c r="I47" s="74"/>
      <c r="CL47" s="59">
        <v>110</v>
      </c>
      <c r="CM47" s="60">
        <v>7.1106287842123196E-4</v>
      </c>
      <c r="CN47" s="75">
        <v>1.1904761904761907</v>
      </c>
    </row>
    <row r="48" spans="1:92">
      <c r="CL48" s="59">
        <v>125</v>
      </c>
      <c r="CM48" s="60">
        <v>2.8390438559942159E-3</v>
      </c>
      <c r="CN48" s="75">
        <v>0.10226939067849336</v>
      </c>
    </row>
    <row r="49" spans="1:92" ht="45">
      <c r="A49" s="81" t="s">
        <v>74</v>
      </c>
      <c r="B49" s="81" t="s">
        <v>135</v>
      </c>
      <c r="C49" s="81" t="s">
        <v>136</v>
      </c>
      <c r="D49" s="81" t="s">
        <v>137</v>
      </c>
      <c r="E49" s="81" t="s">
        <v>140</v>
      </c>
      <c r="CL49" s="102">
        <v>150</v>
      </c>
      <c r="CM49" s="96">
        <v>0.26581385360207088</v>
      </c>
      <c r="CN49" s="97">
        <v>0.3624192663431518</v>
      </c>
    </row>
    <row r="50" spans="1:92" ht="15">
      <c r="A50" s="67" t="s">
        <v>127</v>
      </c>
      <c r="B50" s="67">
        <v>368872051.99999982</v>
      </c>
      <c r="C50" s="67">
        <v>105</v>
      </c>
      <c r="D50" s="76">
        <v>55929864.126749299</v>
      </c>
      <c r="E50" s="77">
        <f>D50/B50</f>
        <v>0.151624021997604</v>
      </c>
      <c r="CL50" s="59">
        <v>175</v>
      </c>
      <c r="CM50" s="60">
        <v>0.10858451982073417</v>
      </c>
      <c r="CN50" s="75">
        <v>0.33856611432239153</v>
      </c>
    </row>
    <row r="51" spans="1:92" ht="15">
      <c r="A51" s="67" t="s">
        <v>113</v>
      </c>
      <c r="B51" s="67">
        <v>77120838</v>
      </c>
      <c r="C51" s="67">
        <v>74</v>
      </c>
      <c r="D51" s="76">
        <v>20076252.485161494</v>
      </c>
      <c r="E51" s="77">
        <f t="shared" ref="E51:E60" si="0">D51/B51</f>
        <v>0.2603220219827162</v>
      </c>
      <c r="CL51" s="59">
        <v>200</v>
      </c>
      <c r="CM51" s="60">
        <v>5.0894728546806996E-2</v>
      </c>
      <c r="CN51" s="75">
        <v>0.2422548452415656</v>
      </c>
    </row>
    <row r="52" spans="1:92" ht="15">
      <c r="A52" s="67" t="s">
        <v>122</v>
      </c>
      <c r="B52" s="67">
        <v>171040928</v>
      </c>
      <c r="C52" s="67">
        <v>72</v>
      </c>
      <c r="D52" s="76">
        <v>16900090.635764375</v>
      </c>
      <c r="E52" s="77">
        <f t="shared" si="0"/>
        <v>9.8807290356635435E-2</v>
      </c>
      <c r="CL52" s="59">
        <v>250</v>
      </c>
      <c r="CM52" s="60">
        <v>7.9775385117256153E-2</v>
      </c>
      <c r="CN52" s="75">
        <v>0.18005096510406046</v>
      </c>
    </row>
    <row r="53" spans="1:92" ht="15">
      <c r="A53" s="67" t="s">
        <v>92</v>
      </c>
      <c r="B53" s="67">
        <v>734358126.00000012</v>
      </c>
      <c r="C53" s="67">
        <v>117</v>
      </c>
      <c r="D53" s="76">
        <v>96623488.508893251</v>
      </c>
      <c r="E53" s="77">
        <f t="shared" si="0"/>
        <v>0.13157543314076875</v>
      </c>
      <c r="CL53" s="59">
        <v>300</v>
      </c>
      <c r="CM53" s="60">
        <v>6.5712355690696793E-3</v>
      </c>
      <c r="CN53" s="75">
        <v>0.18499676255665526</v>
      </c>
    </row>
    <row r="54" spans="1:92" ht="15">
      <c r="A54" s="67" t="s">
        <v>100</v>
      </c>
      <c r="B54" s="67">
        <v>333434465.00000012</v>
      </c>
      <c r="C54" s="67">
        <v>81</v>
      </c>
      <c r="D54" s="76">
        <v>47729533.504659541</v>
      </c>
      <c r="E54" s="77">
        <f t="shared" si="0"/>
        <v>0.14314517098482762</v>
      </c>
      <c r="CL54" s="102">
        <v>400</v>
      </c>
      <c r="CM54" s="96">
        <v>0.13111965365506661</v>
      </c>
      <c r="CN54" s="97">
        <v>0.24145242020150126</v>
      </c>
    </row>
    <row r="55" spans="1:92" ht="15">
      <c r="A55" s="67" t="s">
        <v>125</v>
      </c>
      <c r="B55" s="67">
        <v>125160635.99999996</v>
      </c>
      <c r="C55" s="67">
        <v>70</v>
      </c>
      <c r="D55" s="76">
        <v>8134732.1882276628</v>
      </c>
      <c r="E55" s="77">
        <f t="shared" si="0"/>
        <v>6.4994334067043774E-2</v>
      </c>
      <c r="CL55" s="59">
        <v>450</v>
      </c>
      <c r="CM55" s="60">
        <v>3.3827105706800635E-2</v>
      </c>
      <c r="CN55" s="75">
        <v>0.34948797332698256</v>
      </c>
    </row>
    <row r="56" spans="1:92" ht="15">
      <c r="A56" s="67" t="s">
        <v>118</v>
      </c>
      <c r="B56" s="67">
        <v>53036739.000000015</v>
      </c>
      <c r="C56" s="67">
        <v>43</v>
      </c>
      <c r="D56" s="76">
        <v>23158052.34060007</v>
      </c>
      <c r="E56" s="77">
        <f t="shared" si="0"/>
        <v>0.4366417086955528</v>
      </c>
      <c r="CL56" s="59">
        <v>500</v>
      </c>
      <c r="CM56" s="60">
        <v>2.9955775368865748E-3</v>
      </c>
      <c r="CN56" s="75">
        <v>0.15869599454039585</v>
      </c>
    </row>
    <row r="57" spans="1:92" ht="15">
      <c r="A57" s="67" t="s">
        <v>98</v>
      </c>
      <c r="B57" s="67">
        <v>570929487.99999964</v>
      </c>
      <c r="C57" s="67">
        <v>132</v>
      </c>
      <c r="D57" s="76">
        <v>159620648.45577848</v>
      </c>
      <c r="E57" s="77">
        <f t="shared" si="0"/>
        <v>0.27958031913001941</v>
      </c>
      <c r="CL57" s="59">
        <v>750</v>
      </c>
      <c r="CM57" s="60">
        <v>4.195726623390887E-3</v>
      </c>
      <c r="CN57" s="75">
        <v>0.36036036036036034</v>
      </c>
    </row>
    <row r="58" spans="1:92" ht="15">
      <c r="A58" s="67" t="s">
        <v>103</v>
      </c>
      <c r="B58" s="67">
        <v>245353160.99999994</v>
      </c>
      <c r="C58" s="67">
        <v>75</v>
      </c>
      <c r="D58" s="76">
        <v>25898612.208026387</v>
      </c>
      <c r="E58" s="77">
        <f t="shared" si="0"/>
        <v>0.10555646441427503</v>
      </c>
      <c r="CL58" s="59">
        <v>1000</v>
      </c>
      <c r="CM58" s="60">
        <v>4.06791249619462E-2</v>
      </c>
      <c r="CN58" s="75">
        <v>5.5750607143801131E-2</v>
      </c>
    </row>
    <row r="59" spans="1:92" ht="15">
      <c r="A59" s="67" t="s">
        <v>108</v>
      </c>
      <c r="B59" s="67">
        <v>442224054.00000012</v>
      </c>
      <c r="C59" s="67">
        <v>43</v>
      </c>
      <c r="D59" s="76">
        <v>36940140.293881215</v>
      </c>
      <c r="E59" s="77">
        <f t="shared" si="0"/>
        <v>8.3532634554250654E-2</v>
      </c>
      <c r="CL59" s="59" t="s">
        <v>119</v>
      </c>
      <c r="CM59" s="60">
        <v>0</v>
      </c>
      <c r="CN59" s="75">
        <v>0.11557469069826705</v>
      </c>
    </row>
    <row r="60" spans="1:92" ht="15">
      <c r="A60" s="67" t="s">
        <v>106</v>
      </c>
      <c r="B60" s="67">
        <v>3121530486.9999986</v>
      </c>
      <c r="C60" s="67">
        <v>812</v>
      </c>
      <c r="D60" s="76">
        <v>491011414.7477417</v>
      </c>
      <c r="E60" s="77">
        <f t="shared" si="0"/>
        <v>0.15729829222960331</v>
      </c>
      <c r="CL60" s="59" t="s">
        <v>106</v>
      </c>
      <c r="CM60" s="60">
        <v>1</v>
      </c>
      <c r="CN60" s="75">
        <v>0.45051339655955608</v>
      </c>
    </row>
    <row r="61" spans="1:92">
      <c r="E61" s="78"/>
    </row>
  </sheetData>
  <hyperlinks>
    <hyperlink ref="B4" r:id="rId1"/>
    <hyperlink ref="B47" r:id="rId2"/>
  </hyperlinks>
  <pageMargins left="0.7" right="0.7" top="0.75" bottom="0.75" header="0.3" footer="0.3"/>
  <pageSetup orientation="portrait" r:id="rId3"/>
  <drawing r:id="rId4"/>
</worksheet>
</file>

<file path=xl/worksheets/sheet18.xml><?xml version="1.0" encoding="utf-8"?>
<worksheet xmlns="http://schemas.openxmlformats.org/spreadsheetml/2006/main" xmlns:r="http://schemas.openxmlformats.org/officeDocument/2006/relationships">
  <sheetPr>
    <tabColor rgb="FFFFFF00"/>
  </sheetPr>
  <dimension ref="A1"/>
  <sheetViews>
    <sheetView topLeftCell="A10" workbookViewId="0">
      <selection activeCell="A40" sqref="A40"/>
    </sheetView>
  </sheetViews>
  <sheetFormatPr defaultRowHeight="12.75"/>
  <sheetData/>
  <pageMargins left="0.7" right="0.7" top="0.75" bottom="0.75" header="0.3" footer="0.3"/>
  <pageSetup orientation="portrait" r:id="rId1"/>
  <legacyDrawing r:id="rId2"/>
  <oleObjects>
    <oleObject progId="Word.Document.12" shapeId="6145" r:id="rId3"/>
  </oleObjects>
</worksheet>
</file>

<file path=xl/worksheets/sheet19.xml><?xml version="1.0" encoding="utf-8"?>
<worksheet xmlns="http://schemas.openxmlformats.org/spreadsheetml/2006/main" xmlns:r="http://schemas.openxmlformats.org/officeDocument/2006/relationships">
  <sheetPr>
    <tabColor rgb="FFFFFF00"/>
  </sheetPr>
  <dimension ref="A1:V1194"/>
  <sheetViews>
    <sheetView workbookViewId="0">
      <selection activeCell="M37" sqref="M37"/>
    </sheetView>
  </sheetViews>
  <sheetFormatPr defaultRowHeight="12.75"/>
  <cols>
    <col min="1" max="1" width="16" bestFit="1" customWidth="1"/>
    <col min="2" max="2" width="15.42578125" bestFit="1" customWidth="1"/>
    <col min="3" max="3" width="15.7109375" bestFit="1" customWidth="1"/>
    <col min="4" max="4" width="31.28515625" bestFit="1" customWidth="1"/>
    <col min="5" max="5" width="4.7109375" bestFit="1" customWidth="1"/>
    <col min="6" max="6" width="17.5703125" bestFit="1" customWidth="1"/>
    <col min="7" max="7" width="19.28515625" bestFit="1" customWidth="1"/>
    <col min="8" max="8" width="19.28515625" customWidth="1"/>
    <col min="9" max="9" width="5.28515625" customWidth="1"/>
    <col min="10" max="10" width="31.5703125" customWidth="1"/>
    <col min="11" max="11" width="17.5703125" customWidth="1"/>
    <col min="12" max="12" width="13.7109375" customWidth="1"/>
    <col min="13" max="14" width="12.85546875" customWidth="1"/>
  </cols>
  <sheetData>
    <row r="1" spans="1:22">
      <c r="A1" s="146" t="s">
        <v>373</v>
      </c>
    </row>
    <row r="2" spans="1:22" ht="38.25">
      <c r="A2" t="s">
        <v>343</v>
      </c>
      <c r="B2" s="165" t="s">
        <v>344</v>
      </c>
      <c r="C2" t="s">
        <v>345</v>
      </c>
      <c r="D2" t="s">
        <v>346</v>
      </c>
      <c r="E2" t="s">
        <v>347</v>
      </c>
      <c r="F2" s="166" t="s">
        <v>348</v>
      </c>
      <c r="G2" t="s">
        <v>349</v>
      </c>
      <c r="K2" s="62" t="s">
        <v>377</v>
      </c>
      <c r="L2" s="62" t="s">
        <v>378</v>
      </c>
      <c r="M2" s="62" t="s">
        <v>379</v>
      </c>
      <c r="N2" s="62" t="s">
        <v>684</v>
      </c>
    </row>
    <row r="3" spans="1:22">
      <c r="A3" t="s">
        <v>350</v>
      </c>
      <c r="B3" s="165">
        <v>41683</v>
      </c>
      <c r="C3" t="s">
        <v>351</v>
      </c>
      <c r="D3" t="s">
        <v>352</v>
      </c>
      <c r="E3">
        <v>3</v>
      </c>
      <c r="F3" s="166">
        <v>695</v>
      </c>
      <c r="G3">
        <v>2085</v>
      </c>
      <c r="J3" t="s">
        <v>358</v>
      </c>
      <c r="K3" s="131">
        <f>AVERAGEIF($D$3:$D$577,J3,$F$3:$F$577)</f>
        <v>304.90063755887883</v>
      </c>
      <c r="L3" s="172">
        <f>F708</f>
        <v>287</v>
      </c>
      <c r="M3" s="172">
        <f>F709</f>
        <v>235.83333333333334</v>
      </c>
      <c r="N3" s="106">
        <f>COUNTIF($D$3:$D$577,J3)</f>
        <v>125</v>
      </c>
    </row>
    <row r="4" spans="1:22">
      <c r="A4" t="s">
        <v>350</v>
      </c>
      <c r="B4" s="165">
        <v>41690</v>
      </c>
      <c r="C4" t="s">
        <v>351</v>
      </c>
      <c r="D4" t="s">
        <v>352</v>
      </c>
      <c r="E4">
        <v>4</v>
      </c>
      <c r="F4" s="166">
        <v>348.25</v>
      </c>
      <c r="G4">
        <v>1393</v>
      </c>
      <c r="J4" t="s">
        <v>352</v>
      </c>
      <c r="K4" s="131">
        <f t="shared" ref="K4:K8" si="0">AVERAGEIF($D$3:$D$577,J4,$F$3:$F$577)</f>
        <v>526.88742017410289</v>
      </c>
      <c r="L4" s="172">
        <f>F906</f>
        <v>485.41666666666669</v>
      </c>
      <c r="M4" s="172">
        <f>F907</f>
        <v>368.34615384615381</v>
      </c>
      <c r="N4" s="106">
        <f t="shared" ref="N4:N8" si="1">COUNTIF($D$3:$D$577,J4)</f>
        <v>191</v>
      </c>
      <c r="U4" t="s">
        <v>672</v>
      </c>
      <c r="V4">
        <v>1.9353</v>
      </c>
    </row>
    <row r="5" spans="1:22">
      <c r="A5" t="s">
        <v>350</v>
      </c>
      <c r="B5" s="165">
        <v>41697</v>
      </c>
      <c r="C5" t="s">
        <v>353</v>
      </c>
      <c r="D5" t="s">
        <v>354</v>
      </c>
      <c r="E5">
        <v>2</v>
      </c>
      <c r="F5" s="166">
        <v>775</v>
      </c>
      <c r="G5">
        <v>1550</v>
      </c>
      <c r="J5" t="s">
        <v>360</v>
      </c>
      <c r="K5" s="131">
        <f t="shared" si="0"/>
        <v>629.50659329239716</v>
      </c>
      <c r="L5" s="172">
        <f>F981</f>
        <v>580</v>
      </c>
      <c r="M5" s="172">
        <f>F982</f>
        <v>468.75</v>
      </c>
      <c r="N5" s="106">
        <f t="shared" si="1"/>
        <v>68</v>
      </c>
      <c r="U5" t="s">
        <v>673</v>
      </c>
      <c r="V5">
        <v>321.63</v>
      </c>
    </row>
    <row r="6" spans="1:22">
      <c r="A6" t="s">
        <v>350</v>
      </c>
      <c r="B6" s="165">
        <v>41697</v>
      </c>
      <c r="C6" t="s">
        <v>353</v>
      </c>
      <c r="D6" t="s">
        <v>354</v>
      </c>
      <c r="E6">
        <v>4</v>
      </c>
      <c r="F6" s="166">
        <v>850</v>
      </c>
      <c r="G6">
        <v>3400</v>
      </c>
      <c r="J6" t="s">
        <v>356</v>
      </c>
      <c r="K6" s="131">
        <f t="shared" si="0"/>
        <v>675.6713070526647</v>
      </c>
      <c r="L6" s="172">
        <f>F1119</f>
        <v>575</v>
      </c>
      <c r="M6" s="172">
        <f>F1120</f>
        <v>486.38235294117646</v>
      </c>
      <c r="N6" s="106">
        <f t="shared" si="1"/>
        <v>131</v>
      </c>
    </row>
    <row r="7" spans="1:22">
      <c r="A7" t="s">
        <v>350</v>
      </c>
      <c r="B7" s="165">
        <v>41697</v>
      </c>
      <c r="C7" t="s">
        <v>351</v>
      </c>
      <c r="D7" t="s">
        <v>352</v>
      </c>
      <c r="E7">
        <v>2</v>
      </c>
      <c r="F7" s="166">
        <v>425</v>
      </c>
      <c r="G7">
        <v>850</v>
      </c>
      <c r="J7" t="s">
        <v>354</v>
      </c>
      <c r="K7" s="131">
        <f t="shared" si="0"/>
        <v>964.23369160234267</v>
      </c>
      <c r="L7" s="172">
        <f>F1180</f>
        <v>850</v>
      </c>
      <c r="M7" s="172">
        <f>F1181</f>
        <v>794.55555555555554</v>
      </c>
      <c r="N7" s="106">
        <f t="shared" si="1"/>
        <v>54</v>
      </c>
    </row>
    <row r="8" spans="1:22">
      <c r="A8" t="s">
        <v>350</v>
      </c>
      <c r="B8" s="165">
        <v>41697</v>
      </c>
      <c r="C8" t="s">
        <v>351</v>
      </c>
      <c r="D8" t="s">
        <v>352</v>
      </c>
      <c r="E8">
        <v>3</v>
      </c>
      <c r="F8" s="166">
        <v>625</v>
      </c>
      <c r="G8">
        <v>1875</v>
      </c>
      <c r="J8" t="s">
        <v>362</v>
      </c>
      <c r="K8" s="131">
        <f t="shared" si="0"/>
        <v>1145.2272727272727</v>
      </c>
      <c r="L8" s="172">
        <f>F1193</f>
        <v>1000.7272727272727</v>
      </c>
      <c r="M8" s="172">
        <f>F1194</f>
        <v>976.25</v>
      </c>
      <c r="N8" s="106">
        <f t="shared" si="1"/>
        <v>6</v>
      </c>
    </row>
    <row r="9" spans="1:22">
      <c r="A9" t="s">
        <v>350</v>
      </c>
      <c r="B9" s="165">
        <v>41704</v>
      </c>
      <c r="C9" t="s">
        <v>355</v>
      </c>
      <c r="D9" t="s">
        <v>356</v>
      </c>
      <c r="E9">
        <v>4</v>
      </c>
      <c r="F9" s="166">
        <v>1150</v>
      </c>
      <c r="G9">
        <v>4600</v>
      </c>
    </row>
    <row r="10" spans="1:22">
      <c r="A10" t="s">
        <v>350</v>
      </c>
      <c r="B10" s="165">
        <v>41704</v>
      </c>
      <c r="C10" t="s">
        <v>351</v>
      </c>
      <c r="D10" t="s">
        <v>352</v>
      </c>
      <c r="E10">
        <v>8</v>
      </c>
      <c r="F10" s="166">
        <v>725</v>
      </c>
      <c r="G10">
        <v>5800</v>
      </c>
    </row>
    <row r="11" spans="1:22">
      <c r="A11" t="s">
        <v>350</v>
      </c>
      <c r="B11" s="165">
        <v>41711</v>
      </c>
      <c r="C11" t="s">
        <v>357</v>
      </c>
      <c r="D11" t="s">
        <v>358</v>
      </c>
      <c r="E11">
        <v>15</v>
      </c>
      <c r="F11" s="166">
        <v>245</v>
      </c>
      <c r="G11">
        <v>3675</v>
      </c>
    </row>
    <row r="12" spans="1:22">
      <c r="A12" t="s">
        <v>350</v>
      </c>
      <c r="B12" s="165">
        <v>41711</v>
      </c>
      <c r="C12" t="s">
        <v>351</v>
      </c>
      <c r="D12" t="s">
        <v>352</v>
      </c>
      <c r="E12">
        <v>2</v>
      </c>
      <c r="F12" s="166">
        <v>450</v>
      </c>
      <c r="G12">
        <v>900</v>
      </c>
      <c r="J12" s="146" t="s">
        <v>665</v>
      </c>
    </row>
    <row r="13" spans="1:22" ht="38.25">
      <c r="A13" t="s">
        <v>350</v>
      </c>
      <c r="B13" s="165">
        <v>41711</v>
      </c>
      <c r="C13" t="s">
        <v>351</v>
      </c>
      <c r="D13" t="s">
        <v>352</v>
      </c>
      <c r="E13">
        <v>5</v>
      </c>
      <c r="F13" s="166">
        <v>342</v>
      </c>
      <c r="G13">
        <v>1710</v>
      </c>
      <c r="J13" t="s">
        <v>686</v>
      </c>
      <c r="K13" s="62" t="s">
        <v>666</v>
      </c>
      <c r="L13" s="62" t="s">
        <v>667</v>
      </c>
      <c r="M13" s="62" t="s">
        <v>668</v>
      </c>
      <c r="N13" s="62"/>
    </row>
    <row r="14" spans="1:22">
      <c r="A14" t="s">
        <v>350</v>
      </c>
      <c r="B14" s="165">
        <v>41711</v>
      </c>
      <c r="C14" t="s">
        <v>351</v>
      </c>
      <c r="D14" t="s">
        <v>352</v>
      </c>
      <c r="E14">
        <v>10</v>
      </c>
      <c r="F14" s="166">
        <v>475</v>
      </c>
      <c r="G14">
        <v>4750</v>
      </c>
      <c r="J14">
        <v>40</v>
      </c>
      <c r="K14" s="162">
        <f>K3*'Savings and Cost Analysis'!$Q$8</f>
        <v>296.97322098234798</v>
      </c>
      <c r="L14" s="162">
        <f>L3*'Savings and Cost Analysis'!$Q$8</f>
        <v>279.53800000000001</v>
      </c>
      <c r="M14" s="162">
        <f>M3*'Savings and Cost Analysis'!$Q$8</f>
        <v>229.70166666666668</v>
      </c>
      <c r="N14" s="162"/>
      <c r="U14" t="s">
        <v>672</v>
      </c>
      <c r="V14">
        <v>1.6365000000000001</v>
      </c>
    </row>
    <row r="15" spans="1:22">
      <c r="A15" t="s">
        <v>350</v>
      </c>
      <c r="B15" s="165">
        <v>41718</v>
      </c>
      <c r="C15" t="s">
        <v>359</v>
      </c>
      <c r="D15" t="s">
        <v>360</v>
      </c>
      <c r="E15">
        <v>8</v>
      </c>
      <c r="F15" s="166">
        <v>555.5</v>
      </c>
      <c r="G15">
        <v>4444</v>
      </c>
      <c r="J15">
        <v>90</v>
      </c>
      <c r="K15" s="162">
        <f>K4*'Savings and Cost Analysis'!$Q$8</f>
        <v>513.18834724957617</v>
      </c>
      <c r="L15" s="162">
        <f>L4*'Savings and Cost Analysis'!$Q$8</f>
        <v>472.79583333333335</v>
      </c>
      <c r="M15" s="162">
        <f>M4*'Savings and Cost Analysis'!$Q$8</f>
        <v>358.76915384615381</v>
      </c>
      <c r="N15" s="162"/>
      <c r="U15" t="s">
        <v>673</v>
      </c>
      <c r="V15">
        <v>302.38</v>
      </c>
    </row>
    <row r="16" spans="1:22">
      <c r="A16" t="s">
        <v>350</v>
      </c>
      <c r="B16" s="165">
        <v>41718</v>
      </c>
      <c r="C16" t="s">
        <v>355</v>
      </c>
      <c r="D16" t="s">
        <v>356</v>
      </c>
      <c r="E16">
        <v>7</v>
      </c>
      <c r="F16" s="166">
        <v>735</v>
      </c>
      <c r="G16">
        <v>5145</v>
      </c>
      <c r="J16">
        <v>110</v>
      </c>
      <c r="K16" s="162">
        <f>K5*'Savings and Cost Analysis'!$Q$8</f>
        <v>613.13942186679481</v>
      </c>
      <c r="L16" s="162">
        <f>L5*'Savings and Cost Analysis'!$Q$8</f>
        <v>564.91999999999996</v>
      </c>
      <c r="M16" s="162">
        <f>M5*'Savings and Cost Analysis'!$Q$8</f>
        <v>456.5625</v>
      </c>
      <c r="N16" s="162"/>
    </row>
    <row r="17" spans="1:22">
      <c r="A17" t="s">
        <v>350</v>
      </c>
      <c r="B17" s="165">
        <v>41718</v>
      </c>
      <c r="C17" t="s">
        <v>353</v>
      </c>
      <c r="D17" t="s">
        <v>354</v>
      </c>
      <c r="E17">
        <v>11</v>
      </c>
      <c r="F17" s="166">
        <v>850</v>
      </c>
      <c r="G17">
        <v>9350</v>
      </c>
      <c r="J17">
        <v>150</v>
      </c>
      <c r="K17" s="162">
        <f>K6*'Savings and Cost Analysis'!$Q$8</f>
        <v>658.10385306929538</v>
      </c>
      <c r="L17" s="162">
        <f>L6*'Savings and Cost Analysis'!$Q$8</f>
        <v>560.04999999999995</v>
      </c>
      <c r="M17" s="162">
        <f>M6*'Savings and Cost Analysis'!$Q$8</f>
        <v>473.73641176470585</v>
      </c>
      <c r="N17" s="162"/>
    </row>
    <row r="18" spans="1:22">
      <c r="A18" t="s">
        <v>350</v>
      </c>
      <c r="B18" s="165">
        <v>41718</v>
      </c>
      <c r="C18" t="s">
        <v>351</v>
      </c>
      <c r="D18" t="s">
        <v>352</v>
      </c>
      <c r="E18">
        <v>8</v>
      </c>
      <c r="F18" s="166">
        <v>489</v>
      </c>
      <c r="G18">
        <v>3912</v>
      </c>
      <c r="J18">
        <v>350</v>
      </c>
      <c r="K18" s="162">
        <f>K7*'Savings and Cost Analysis'!$Q$8</f>
        <v>939.16361562068175</v>
      </c>
      <c r="L18" s="162">
        <f>L7*'Savings and Cost Analysis'!$Q$8</f>
        <v>827.9</v>
      </c>
      <c r="M18" s="162">
        <f>M7*'Savings and Cost Analysis'!$Q$8</f>
        <v>773.89711111111103</v>
      </c>
      <c r="N18" s="162"/>
    </row>
    <row r="19" spans="1:22">
      <c r="A19" t="s">
        <v>350</v>
      </c>
      <c r="B19" s="165">
        <v>41718</v>
      </c>
      <c r="C19" t="s">
        <v>351</v>
      </c>
      <c r="D19" t="s">
        <v>352</v>
      </c>
      <c r="E19">
        <v>10</v>
      </c>
      <c r="F19" s="166">
        <v>494.4</v>
      </c>
      <c r="G19">
        <v>4944</v>
      </c>
      <c r="J19">
        <v>400</v>
      </c>
      <c r="K19" s="162">
        <f>K8*'Savings and Cost Analysis'!$Q$8</f>
        <v>1115.4513636363636</v>
      </c>
      <c r="L19" s="162">
        <f>L8*'Savings and Cost Analysis'!$Q$8</f>
        <v>974.70836363636363</v>
      </c>
      <c r="M19" s="162">
        <f>M8*'Savings and Cost Analysis'!$Q$8</f>
        <v>950.86749999999995</v>
      </c>
      <c r="N19" s="162"/>
    </row>
    <row r="20" spans="1:22">
      <c r="A20" t="s">
        <v>350</v>
      </c>
      <c r="B20" s="165">
        <v>41739</v>
      </c>
      <c r="C20" t="s">
        <v>355</v>
      </c>
      <c r="D20" t="s">
        <v>356</v>
      </c>
      <c r="E20">
        <v>3</v>
      </c>
      <c r="F20" s="166">
        <v>850</v>
      </c>
      <c r="G20">
        <v>2550</v>
      </c>
    </row>
    <row r="21" spans="1:22">
      <c r="A21" t="s">
        <v>350</v>
      </c>
      <c r="B21" s="165">
        <v>41739</v>
      </c>
      <c r="C21" t="s">
        <v>355</v>
      </c>
      <c r="D21" t="s">
        <v>356</v>
      </c>
      <c r="E21">
        <v>8</v>
      </c>
      <c r="F21" s="166">
        <v>492.5</v>
      </c>
      <c r="G21">
        <v>3940</v>
      </c>
      <c r="J21" s="146" t="s">
        <v>676</v>
      </c>
    </row>
    <row r="22" spans="1:22">
      <c r="A22" t="s">
        <v>350</v>
      </c>
      <c r="B22" s="165">
        <v>41739</v>
      </c>
      <c r="C22" t="s">
        <v>355</v>
      </c>
      <c r="D22" t="s">
        <v>356</v>
      </c>
      <c r="E22">
        <v>10</v>
      </c>
      <c r="F22" s="166">
        <v>492.5</v>
      </c>
      <c r="G22">
        <v>4925</v>
      </c>
    </row>
    <row r="23" spans="1:22" ht="51">
      <c r="A23" t="s">
        <v>350</v>
      </c>
      <c r="B23" s="165">
        <v>41739</v>
      </c>
      <c r="C23" t="s">
        <v>355</v>
      </c>
      <c r="D23" t="s">
        <v>356</v>
      </c>
      <c r="E23">
        <v>12</v>
      </c>
      <c r="F23" s="166">
        <v>492.5</v>
      </c>
      <c r="G23">
        <v>5910</v>
      </c>
      <c r="I23" s="62" t="s">
        <v>674</v>
      </c>
      <c r="J23" t="s">
        <v>680</v>
      </c>
      <c r="K23" s="62" t="s">
        <v>677</v>
      </c>
      <c r="L23" s="62" t="s">
        <v>678</v>
      </c>
      <c r="M23" s="62" t="s">
        <v>679</v>
      </c>
      <c r="N23" s="62" t="s">
        <v>675</v>
      </c>
    </row>
    <row r="24" spans="1:22">
      <c r="A24" t="s">
        <v>350</v>
      </c>
      <c r="B24" s="165">
        <v>41739</v>
      </c>
      <c r="C24" t="s">
        <v>355</v>
      </c>
      <c r="D24" t="s">
        <v>356</v>
      </c>
      <c r="E24">
        <v>12</v>
      </c>
      <c r="F24" s="166">
        <v>492.5</v>
      </c>
      <c r="G24">
        <v>5910</v>
      </c>
      <c r="I24" s="153" t="str">
        <f>CONCATENATE("LED ",J24,"W")</f>
        <v>LED 31W</v>
      </c>
      <c r="J24" s="106">
        <v>31</v>
      </c>
      <c r="K24" s="131">
        <f>$V$4*J24+$V$5</f>
        <v>381.62430000000001</v>
      </c>
      <c r="L24" s="131">
        <f>$V$14*J24+$V$15</f>
        <v>353.11149999999998</v>
      </c>
      <c r="M24" s="131">
        <f>$V$24*J24+$V$25</f>
        <v>255.34399999999999</v>
      </c>
      <c r="N24" s="162">
        <f>'Savings and Cost Analysis'!R30+'Savings and Cost Analysis'!$BO$13</f>
        <v>272.37829599999998</v>
      </c>
      <c r="U24" t="s">
        <v>672</v>
      </c>
      <c r="V24">
        <v>1.794</v>
      </c>
    </row>
    <row r="25" spans="1:22">
      <c r="A25" t="s">
        <v>350</v>
      </c>
      <c r="B25" s="165">
        <v>41739</v>
      </c>
      <c r="C25" t="s">
        <v>355</v>
      </c>
      <c r="D25" t="s">
        <v>356</v>
      </c>
      <c r="E25">
        <v>16</v>
      </c>
      <c r="F25" s="166">
        <v>492.5</v>
      </c>
      <c r="G25">
        <v>7880</v>
      </c>
      <c r="I25" s="153" t="str">
        <f t="shared" ref="I25:I27" si="2">CONCATENATE("LED ",J25,"W")</f>
        <v>LED 95W</v>
      </c>
      <c r="J25" s="106">
        <v>95</v>
      </c>
      <c r="K25" s="131">
        <f>$V$4*J25+$V$5</f>
        <v>505.48349999999999</v>
      </c>
      <c r="L25" s="131">
        <f>$V$14*J25+$V$15</f>
        <v>457.84749999999997</v>
      </c>
      <c r="M25" s="131">
        <f>$V$24*J25+$V$25</f>
        <v>370.15999999999997</v>
      </c>
      <c r="N25" s="162">
        <f>'Savings and Cost Analysis'!R42+'Savings and Cost Analysis'!$BO$13</f>
        <v>448.60752500000001</v>
      </c>
      <c r="U25" t="s">
        <v>673</v>
      </c>
      <c r="V25">
        <v>199.73</v>
      </c>
    </row>
    <row r="26" spans="1:22">
      <c r="A26" t="s">
        <v>350</v>
      </c>
      <c r="B26" s="165">
        <v>41739</v>
      </c>
      <c r="C26" t="s">
        <v>353</v>
      </c>
      <c r="D26" t="s">
        <v>354</v>
      </c>
      <c r="E26">
        <v>4</v>
      </c>
      <c r="F26" s="166">
        <v>540</v>
      </c>
      <c r="G26">
        <v>2160</v>
      </c>
      <c r="I26" s="153" t="str">
        <f t="shared" si="2"/>
        <v>LED 135W</v>
      </c>
      <c r="J26">
        <v>135</v>
      </c>
      <c r="K26" s="131">
        <f>$V$4*J26+$V$5</f>
        <v>582.89549999999997</v>
      </c>
      <c r="L26" s="131">
        <f>$V$14*J26+$V$15</f>
        <v>523.3075</v>
      </c>
      <c r="M26" s="131">
        <f>$V$24*J26+$V$25</f>
        <v>441.91999999999996</v>
      </c>
      <c r="N26" s="162">
        <f>'Savings and Cost Analysis'!R14+'Savings and Cost Analysis'!$BO$13</f>
        <v>242.9</v>
      </c>
    </row>
    <row r="27" spans="1:22">
      <c r="A27" t="s">
        <v>350</v>
      </c>
      <c r="B27" s="165">
        <v>41739</v>
      </c>
      <c r="C27" t="s">
        <v>351</v>
      </c>
      <c r="D27" t="s">
        <v>352</v>
      </c>
      <c r="E27">
        <v>4</v>
      </c>
      <c r="F27" s="166">
        <v>306</v>
      </c>
      <c r="G27">
        <v>1224</v>
      </c>
      <c r="I27" s="153" t="str">
        <f t="shared" si="2"/>
        <v>LED 180W</v>
      </c>
      <c r="J27">
        <v>180</v>
      </c>
      <c r="K27" s="131">
        <f>$V$4*J27+$V$5</f>
        <v>669.98399999999992</v>
      </c>
      <c r="L27" s="131">
        <f>$V$14*J27+$V$15</f>
        <v>596.95000000000005</v>
      </c>
      <c r="M27" s="131">
        <f>$V$24*J27+$V$25</f>
        <v>522.65</v>
      </c>
      <c r="N27" s="162">
        <f>'Savings and Cost Analysis'!R15+'Savings and Cost Analysis'!$BO$13</f>
        <v>442.9</v>
      </c>
    </row>
    <row r="28" spans="1:22">
      <c r="A28" t="s">
        <v>350</v>
      </c>
      <c r="B28" s="165">
        <v>41739</v>
      </c>
      <c r="C28" t="s">
        <v>351</v>
      </c>
      <c r="D28" t="s">
        <v>352</v>
      </c>
      <c r="E28">
        <v>3</v>
      </c>
      <c r="F28" s="166">
        <v>625</v>
      </c>
      <c r="G28">
        <v>1875</v>
      </c>
      <c r="I28" s="153" t="str">
        <f>CONCATENATE("LED ",J28,"W*")</f>
        <v>LED 421W*</v>
      </c>
      <c r="J28">
        <v>421</v>
      </c>
      <c r="K28" s="131">
        <f>$V$4*J28+$V$5</f>
        <v>1136.3913</v>
      </c>
      <c r="L28" s="131">
        <f>$V$14*J28+$V$15</f>
        <v>991.34649999999999</v>
      </c>
      <c r="M28" s="131">
        <f>$V$24*J28+$V$25</f>
        <v>955.00400000000002</v>
      </c>
      <c r="N28" s="162">
        <f>'Savings and Cost Analysis'!R16+'Savings and Cost Analysis'!$BO$13</f>
        <v>1242.9000000000001</v>
      </c>
    </row>
    <row r="29" spans="1:22">
      <c r="A29" t="s">
        <v>350</v>
      </c>
      <c r="B29" s="165">
        <v>41739</v>
      </c>
      <c r="C29" t="s">
        <v>351</v>
      </c>
      <c r="D29" t="s">
        <v>352</v>
      </c>
      <c r="E29">
        <v>4</v>
      </c>
      <c r="F29" s="166">
        <v>1034.75</v>
      </c>
      <c r="G29">
        <v>4139</v>
      </c>
      <c r="J29" s="106"/>
    </row>
    <row r="30" spans="1:22">
      <c r="A30" t="s">
        <v>350</v>
      </c>
      <c r="B30" s="165">
        <v>41746</v>
      </c>
      <c r="C30" t="s">
        <v>353</v>
      </c>
      <c r="D30" t="s">
        <v>354</v>
      </c>
      <c r="E30">
        <v>1</v>
      </c>
      <c r="F30" s="166">
        <v>998</v>
      </c>
      <c r="G30">
        <v>998</v>
      </c>
    </row>
    <row r="31" spans="1:22">
      <c r="A31" t="s">
        <v>350</v>
      </c>
      <c r="B31" s="165">
        <v>41746</v>
      </c>
      <c r="C31" t="s">
        <v>351</v>
      </c>
      <c r="D31" t="s">
        <v>352</v>
      </c>
      <c r="E31">
        <v>10</v>
      </c>
      <c r="F31" s="166">
        <v>480</v>
      </c>
      <c r="G31">
        <v>4800</v>
      </c>
    </row>
    <row r="32" spans="1:22">
      <c r="A32" t="s">
        <v>350</v>
      </c>
      <c r="B32" s="165">
        <v>41753</v>
      </c>
      <c r="C32" t="s">
        <v>355</v>
      </c>
      <c r="D32" t="s">
        <v>356</v>
      </c>
      <c r="E32">
        <v>2</v>
      </c>
      <c r="F32" s="166">
        <v>780</v>
      </c>
      <c r="G32">
        <v>1560</v>
      </c>
    </row>
    <row r="33" spans="1:7">
      <c r="A33" t="s">
        <v>350</v>
      </c>
      <c r="B33" s="165">
        <v>41753</v>
      </c>
      <c r="C33" t="s">
        <v>355</v>
      </c>
      <c r="D33" t="s">
        <v>356</v>
      </c>
      <c r="E33">
        <v>6</v>
      </c>
      <c r="F33" s="166">
        <v>525</v>
      </c>
      <c r="G33">
        <v>3150</v>
      </c>
    </row>
    <row r="34" spans="1:7">
      <c r="A34" t="s">
        <v>350</v>
      </c>
      <c r="B34" s="165">
        <v>41753</v>
      </c>
      <c r="C34" t="s">
        <v>355</v>
      </c>
      <c r="D34" t="s">
        <v>356</v>
      </c>
      <c r="E34">
        <v>9</v>
      </c>
      <c r="F34" s="166">
        <v>492.55555555555554</v>
      </c>
      <c r="G34">
        <v>4433</v>
      </c>
    </row>
    <row r="35" spans="1:7">
      <c r="A35" t="s">
        <v>350</v>
      </c>
      <c r="B35" s="165">
        <v>41753</v>
      </c>
      <c r="C35" t="s">
        <v>355</v>
      </c>
      <c r="D35" t="s">
        <v>356</v>
      </c>
      <c r="E35">
        <v>10</v>
      </c>
      <c r="F35" s="166">
        <v>492.5</v>
      </c>
      <c r="G35">
        <v>4925</v>
      </c>
    </row>
    <row r="36" spans="1:7">
      <c r="A36" t="s">
        <v>350</v>
      </c>
      <c r="B36" s="165">
        <v>41753</v>
      </c>
      <c r="C36" t="s">
        <v>357</v>
      </c>
      <c r="D36" t="s">
        <v>358</v>
      </c>
      <c r="E36">
        <v>2</v>
      </c>
      <c r="F36" s="166">
        <v>349</v>
      </c>
      <c r="G36">
        <v>698</v>
      </c>
    </row>
    <row r="37" spans="1:7">
      <c r="A37" t="s">
        <v>350</v>
      </c>
      <c r="B37" s="165">
        <v>41753</v>
      </c>
      <c r="C37" t="s">
        <v>357</v>
      </c>
      <c r="D37" t="s">
        <v>358</v>
      </c>
      <c r="E37">
        <v>3</v>
      </c>
      <c r="F37" s="166">
        <v>400</v>
      </c>
      <c r="G37">
        <v>1200</v>
      </c>
    </row>
    <row r="38" spans="1:7">
      <c r="A38" t="s">
        <v>350</v>
      </c>
      <c r="B38" s="165">
        <v>41753</v>
      </c>
      <c r="C38" t="s">
        <v>351</v>
      </c>
      <c r="D38" t="s">
        <v>352</v>
      </c>
      <c r="E38">
        <v>8</v>
      </c>
      <c r="F38" s="166">
        <v>387.75</v>
      </c>
      <c r="G38">
        <v>3102</v>
      </c>
    </row>
    <row r="39" spans="1:7">
      <c r="A39" t="s">
        <v>350</v>
      </c>
      <c r="B39" s="165">
        <v>41753</v>
      </c>
      <c r="C39" t="s">
        <v>351</v>
      </c>
      <c r="D39" t="s">
        <v>352</v>
      </c>
      <c r="E39">
        <v>8</v>
      </c>
      <c r="F39" s="166">
        <v>603.125</v>
      </c>
      <c r="G39">
        <v>4825</v>
      </c>
    </row>
    <row r="40" spans="1:7">
      <c r="A40" t="s">
        <v>350</v>
      </c>
      <c r="B40" s="165">
        <v>41760</v>
      </c>
      <c r="C40" t="s">
        <v>355</v>
      </c>
      <c r="D40" t="s">
        <v>356</v>
      </c>
      <c r="E40">
        <v>2</v>
      </c>
      <c r="F40" s="166">
        <v>409</v>
      </c>
      <c r="G40">
        <v>818</v>
      </c>
    </row>
    <row r="41" spans="1:7">
      <c r="A41" t="s">
        <v>350</v>
      </c>
      <c r="B41" s="165">
        <v>41760</v>
      </c>
      <c r="C41" t="s">
        <v>355</v>
      </c>
      <c r="D41" t="s">
        <v>356</v>
      </c>
      <c r="E41">
        <v>2</v>
      </c>
      <c r="F41" s="166">
        <v>675</v>
      </c>
      <c r="G41">
        <v>1350</v>
      </c>
    </row>
    <row r="42" spans="1:7">
      <c r="A42" t="s">
        <v>350</v>
      </c>
      <c r="B42" s="165">
        <v>41760</v>
      </c>
      <c r="C42" t="s">
        <v>357</v>
      </c>
      <c r="D42" t="s">
        <v>358</v>
      </c>
      <c r="E42">
        <v>4</v>
      </c>
      <c r="F42" s="166">
        <v>226</v>
      </c>
      <c r="G42">
        <v>904</v>
      </c>
    </row>
    <row r="43" spans="1:7">
      <c r="A43" t="s">
        <v>350</v>
      </c>
      <c r="B43" s="165">
        <v>41760</v>
      </c>
      <c r="C43" t="s">
        <v>357</v>
      </c>
      <c r="D43" t="s">
        <v>358</v>
      </c>
      <c r="E43">
        <v>18</v>
      </c>
      <c r="F43" s="166">
        <v>230.33333333333334</v>
      </c>
      <c r="G43">
        <v>4146</v>
      </c>
    </row>
    <row r="44" spans="1:7">
      <c r="A44" t="s">
        <v>350</v>
      </c>
      <c r="B44" s="165">
        <v>41760</v>
      </c>
      <c r="C44" t="s">
        <v>351</v>
      </c>
      <c r="D44" t="s">
        <v>352</v>
      </c>
      <c r="E44">
        <v>8</v>
      </c>
      <c r="F44" s="166">
        <v>350</v>
      </c>
      <c r="G44">
        <v>2800</v>
      </c>
    </row>
    <row r="45" spans="1:7">
      <c r="A45" t="s">
        <v>350</v>
      </c>
      <c r="B45" s="165">
        <v>41760</v>
      </c>
      <c r="C45" t="s">
        <v>351</v>
      </c>
      <c r="D45" t="s">
        <v>352</v>
      </c>
      <c r="E45">
        <v>11</v>
      </c>
      <c r="F45" s="166">
        <v>500</v>
      </c>
      <c r="G45">
        <v>5500</v>
      </c>
    </row>
    <row r="46" spans="1:7">
      <c r="A46" t="s">
        <v>350</v>
      </c>
      <c r="B46" s="165">
        <v>41767</v>
      </c>
      <c r="C46" t="s">
        <v>359</v>
      </c>
      <c r="D46" t="s">
        <v>360</v>
      </c>
      <c r="E46">
        <v>3</v>
      </c>
      <c r="F46" s="166">
        <v>625</v>
      </c>
      <c r="G46">
        <v>1875</v>
      </c>
    </row>
    <row r="47" spans="1:7">
      <c r="A47" t="s">
        <v>350</v>
      </c>
      <c r="B47" s="165">
        <v>41767</v>
      </c>
      <c r="C47" t="s">
        <v>355</v>
      </c>
      <c r="D47" t="s">
        <v>356</v>
      </c>
      <c r="E47">
        <v>20</v>
      </c>
      <c r="F47" s="166">
        <v>492.5</v>
      </c>
      <c r="G47">
        <v>9850</v>
      </c>
    </row>
    <row r="48" spans="1:7">
      <c r="A48" t="s">
        <v>350</v>
      </c>
      <c r="B48" s="165">
        <v>41767</v>
      </c>
      <c r="C48" t="s">
        <v>355</v>
      </c>
      <c r="D48" t="s">
        <v>356</v>
      </c>
      <c r="E48">
        <v>18</v>
      </c>
      <c r="F48" s="166">
        <v>550</v>
      </c>
      <c r="G48">
        <v>9900</v>
      </c>
    </row>
    <row r="49" spans="1:15">
      <c r="A49" t="s">
        <v>350</v>
      </c>
      <c r="B49" s="165">
        <v>41767</v>
      </c>
      <c r="C49" t="s">
        <v>355</v>
      </c>
      <c r="D49" t="s">
        <v>356</v>
      </c>
      <c r="E49">
        <v>11</v>
      </c>
      <c r="F49" s="166">
        <v>1048.5454545454545</v>
      </c>
      <c r="G49">
        <v>11534</v>
      </c>
    </row>
    <row r="50" spans="1:15">
      <c r="A50" t="s">
        <v>350</v>
      </c>
      <c r="B50" s="165">
        <v>41767</v>
      </c>
      <c r="C50" t="s">
        <v>357</v>
      </c>
      <c r="D50" t="s">
        <v>358</v>
      </c>
      <c r="E50">
        <v>4</v>
      </c>
      <c r="F50" s="166">
        <v>273.75</v>
      </c>
      <c r="G50">
        <v>1095</v>
      </c>
    </row>
    <row r="51" spans="1:15">
      <c r="A51" t="s">
        <v>350</v>
      </c>
      <c r="B51" s="165">
        <v>41767</v>
      </c>
      <c r="C51" t="s">
        <v>357</v>
      </c>
      <c r="D51" t="s">
        <v>358</v>
      </c>
      <c r="E51">
        <v>5</v>
      </c>
      <c r="F51" s="166">
        <v>280</v>
      </c>
      <c r="G51">
        <v>1400</v>
      </c>
    </row>
    <row r="52" spans="1:15">
      <c r="A52" t="s">
        <v>350</v>
      </c>
      <c r="B52" s="165">
        <v>41767</v>
      </c>
      <c r="C52" t="s">
        <v>351</v>
      </c>
      <c r="D52" t="s">
        <v>352</v>
      </c>
      <c r="E52">
        <v>12</v>
      </c>
      <c r="F52" s="166">
        <v>485.41666666666669</v>
      </c>
      <c r="G52">
        <v>5825</v>
      </c>
    </row>
    <row r="53" spans="1:15">
      <c r="A53" t="s">
        <v>350</v>
      </c>
      <c r="B53" s="165">
        <v>41774</v>
      </c>
      <c r="C53" t="s">
        <v>355</v>
      </c>
      <c r="D53" t="s">
        <v>356</v>
      </c>
      <c r="E53">
        <v>6</v>
      </c>
      <c r="F53" s="166">
        <v>695</v>
      </c>
      <c r="G53">
        <v>4170</v>
      </c>
    </row>
    <row r="54" spans="1:15">
      <c r="A54" t="s">
        <v>350</v>
      </c>
      <c r="B54" s="165">
        <v>41774</v>
      </c>
      <c r="C54" t="s">
        <v>355</v>
      </c>
      <c r="D54" t="s">
        <v>356</v>
      </c>
      <c r="E54">
        <v>20</v>
      </c>
      <c r="F54" s="166">
        <v>575</v>
      </c>
      <c r="G54">
        <v>11500</v>
      </c>
      <c r="O54" t="s">
        <v>682</v>
      </c>
    </row>
    <row r="55" spans="1:15">
      <c r="A55" t="s">
        <v>350</v>
      </c>
      <c r="B55" s="165">
        <v>41774</v>
      </c>
      <c r="C55" t="s">
        <v>353</v>
      </c>
      <c r="D55" t="s">
        <v>354</v>
      </c>
      <c r="E55">
        <v>2</v>
      </c>
      <c r="F55" s="166">
        <v>807</v>
      </c>
      <c r="G55">
        <v>1614</v>
      </c>
      <c r="O55" t="s">
        <v>683</v>
      </c>
    </row>
    <row r="56" spans="1:15">
      <c r="A56" t="s">
        <v>350</v>
      </c>
      <c r="B56" s="165">
        <v>41774</v>
      </c>
      <c r="C56" t="s">
        <v>357</v>
      </c>
      <c r="D56" t="s">
        <v>358</v>
      </c>
      <c r="E56">
        <v>2</v>
      </c>
      <c r="F56" s="166">
        <v>164.5</v>
      </c>
      <c r="G56">
        <v>329</v>
      </c>
      <c r="O56" t="s">
        <v>681</v>
      </c>
    </row>
    <row r="57" spans="1:15">
      <c r="A57" t="s">
        <v>350</v>
      </c>
      <c r="B57" s="165">
        <v>41774</v>
      </c>
      <c r="C57" t="s">
        <v>357</v>
      </c>
      <c r="D57" t="s">
        <v>358</v>
      </c>
      <c r="E57">
        <v>28</v>
      </c>
      <c r="F57" s="166">
        <v>325</v>
      </c>
      <c r="G57">
        <v>9100</v>
      </c>
    </row>
    <row r="58" spans="1:15">
      <c r="A58" t="s">
        <v>350</v>
      </c>
      <c r="B58" s="165">
        <v>41774</v>
      </c>
      <c r="C58" t="s">
        <v>351</v>
      </c>
      <c r="D58" t="s">
        <v>352</v>
      </c>
      <c r="E58">
        <v>1</v>
      </c>
      <c r="F58" s="166">
        <v>365</v>
      </c>
      <c r="G58">
        <v>365</v>
      </c>
    </row>
    <row r="59" spans="1:15">
      <c r="A59" t="s">
        <v>350</v>
      </c>
      <c r="B59" s="165">
        <v>41774</v>
      </c>
      <c r="C59" t="s">
        <v>351</v>
      </c>
      <c r="D59" t="s">
        <v>352</v>
      </c>
      <c r="E59">
        <v>1</v>
      </c>
      <c r="F59" s="166">
        <v>471</v>
      </c>
      <c r="G59">
        <v>471</v>
      </c>
    </row>
    <row r="60" spans="1:15">
      <c r="A60" t="s">
        <v>350</v>
      </c>
      <c r="B60" s="165">
        <v>41774</v>
      </c>
      <c r="C60" t="s">
        <v>351</v>
      </c>
      <c r="D60" t="s">
        <v>352</v>
      </c>
      <c r="E60">
        <v>7</v>
      </c>
      <c r="F60" s="166">
        <v>575</v>
      </c>
      <c r="G60">
        <v>4025</v>
      </c>
    </row>
    <row r="61" spans="1:15">
      <c r="A61" t="s">
        <v>350</v>
      </c>
      <c r="B61" s="165">
        <v>41774</v>
      </c>
      <c r="C61" t="s">
        <v>351</v>
      </c>
      <c r="D61" t="s">
        <v>352</v>
      </c>
      <c r="E61">
        <v>12</v>
      </c>
      <c r="F61" s="166">
        <v>525</v>
      </c>
      <c r="G61">
        <v>6300</v>
      </c>
    </row>
    <row r="62" spans="1:15">
      <c r="A62" t="s">
        <v>350</v>
      </c>
      <c r="B62" s="165">
        <v>41781</v>
      </c>
      <c r="C62" t="s">
        <v>357</v>
      </c>
      <c r="D62" t="s">
        <v>358</v>
      </c>
      <c r="E62">
        <v>18</v>
      </c>
      <c r="F62" s="166">
        <v>253.11111111111111</v>
      </c>
      <c r="G62">
        <v>4556</v>
      </c>
    </row>
    <row r="63" spans="1:15">
      <c r="A63" t="s">
        <v>350</v>
      </c>
      <c r="B63" s="165">
        <v>41781</v>
      </c>
      <c r="C63" t="s">
        <v>357</v>
      </c>
      <c r="D63" t="s">
        <v>358</v>
      </c>
      <c r="E63">
        <v>62</v>
      </c>
      <c r="F63" s="166">
        <v>303.22580645161293</v>
      </c>
      <c r="G63">
        <v>18800</v>
      </c>
    </row>
    <row r="64" spans="1:15">
      <c r="A64" t="s">
        <v>350</v>
      </c>
      <c r="B64" s="165">
        <v>41781</v>
      </c>
      <c r="C64" t="s">
        <v>351</v>
      </c>
      <c r="D64" t="s">
        <v>352</v>
      </c>
      <c r="E64">
        <v>7</v>
      </c>
      <c r="F64" s="166">
        <v>475</v>
      </c>
      <c r="G64">
        <v>3325</v>
      </c>
    </row>
    <row r="65" spans="1:7">
      <c r="A65" t="s">
        <v>350</v>
      </c>
      <c r="B65" s="165">
        <v>41788</v>
      </c>
      <c r="C65" t="s">
        <v>357</v>
      </c>
      <c r="D65" t="s">
        <v>358</v>
      </c>
      <c r="E65">
        <v>1</v>
      </c>
      <c r="F65" s="166">
        <v>150</v>
      </c>
      <c r="G65">
        <v>150</v>
      </c>
    </row>
    <row r="66" spans="1:7">
      <c r="A66" t="s">
        <v>350</v>
      </c>
      <c r="B66" s="165">
        <v>41788</v>
      </c>
      <c r="C66" t="s">
        <v>357</v>
      </c>
      <c r="D66" t="s">
        <v>358</v>
      </c>
      <c r="E66">
        <v>2</v>
      </c>
      <c r="F66" s="166">
        <v>150</v>
      </c>
      <c r="G66">
        <v>300</v>
      </c>
    </row>
    <row r="67" spans="1:7">
      <c r="A67" t="s">
        <v>350</v>
      </c>
      <c r="B67" s="165">
        <v>41788</v>
      </c>
      <c r="C67" t="s">
        <v>351</v>
      </c>
      <c r="D67" t="s">
        <v>352</v>
      </c>
      <c r="E67">
        <v>2</v>
      </c>
      <c r="F67" s="166">
        <v>360</v>
      </c>
      <c r="G67">
        <v>720</v>
      </c>
    </row>
    <row r="68" spans="1:7">
      <c r="A68" t="s">
        <v>350</v>
      </c>
      <c r="B68" s="165">
        <v>41788</v>
      </c>
      <c r="C68" t="s">
        <v>351</v>
      </c>
      <c r="D68" t="s">
        <v>352</v>
      </c>
      <c r="E68">
        <v>17</v>
      </c>
      <c r="F68" s="166">
        <v>795</v>
      </c>
      <c r="G68">
        <v>13515</v>
      </c>
    </row>
    <row r="69" spans="1:7">
      <c r="A69" t="s">
        <v>350</v>
      </c>
      <c r="B69" s="165">
        <v>41795</v>
      </c>
      <c r="C69" t="s">
        <v>359</v>
      </c>
      <c r="D69" t="s">
        <v>360</v>
      </c>
      <c r="E69">
        <v>11</v>
      </c>
      <c r="F69" s="166">
        <v>418.72727272727275</v>
      </c>
      <c r="G69">
        <v>4606</v>
      </c>
    </row>
    <row r="70" spans="1:7">
      <c r="A70" t="s">
        <v>350</v>
      </c>
      <c r="B70" s="165">
        <v>41795</v>
      </c>
      <c r="C70" t="s">
        <v>359</v>
      </c>
      <c r="D70" t="s">
        <v>360</v>
      </c>
      <c r="E70">
        <v>8</v>
      </c>
      <c r="F70" s="166">
        <v>620.125</v>
      </c>
      <c r="G70">
        <v>4961</v>
      </c>
    </row>
    <row r="71" spans="1:7">
      <c r="A71" t="s">
        <v>350</v>
      </c>
      <c r="B71" s="165">
        <v>41795</v>
      </c>
      <c r="C71" t="s">
        <v>355</v>
      </c>
      <c r="D71" t="s">
        <v>356</v>
      </c>
      <c r="E71">
        <v>36</v>
      </c>
      <c r="F71" s="166">
        <v>359</v>
      </c>
      <c r="G71">
        <v>12924</v>
      </c>
    </row>
    <row r="72" spans="1:7">
      <c r="A72" t="s">
        <v>350</v>
      </c>
      <c r="B72" s="165">
        <v>41795</v>
      </c>
      <c r="C72" t="s">
        <v>357</v>
      </c>
      <c r="D72" t="s">
        <v>358</v>
      </c>
      <c r="E72">
        <v>2</v>
      </c>
      <c r="F72" s="166">
        <v>247</v>
      </c>
      <c r="G72">
        <v>494</v>
      </c>
    </row>
    <row r="73" spans="1:7">
      <c r="A73" t="s">
        <v>350</v>
      </c>
      <c r="B73" s="165">
        <v>41795</v>
      </c>
      <c r="C73" t="s">
        <v>357</v>
      </c>
      <c r="D73" t="s">
        <v>358</v>
      </c>
      <c r="E73">
        <v>38</v>
      </c>
      <c r="F73" s="166">
        <v>185</v>
      </c>
      <c r="G73">
        <v>7030</v>
      </c>
    </row>
    <row r="74" spans="1:7">
      <c r="A74" t="s">
        <v>350</v>
      </c>
      <c r="B74" s="165">
        <v>41795</v>
      </c>
      <c r="C74" t="s">
        <v>351</v>
      </c>
      <c r="D74" t="s">
        <v>352</v>
      </c>
      <c r="E74">
        <v>2</v>
      </c>
      <c r="F74" s="166">
        <v>675</v>
      </c>
      <c r="G74">
        <v>1350</v>
      </c>
    </row>
    <row r="75" spans="1:7">
      <c r="A75" t="s">
        <v>350</v>
      </c>
      <c r="B75" s="165">
        <v>41795</v>
      </c>
      <c r="C75" t="s">
        <v>351</v>
      </c>
      <c r="D75" t="s">
        <v>352</v>
      </c>
      <c r="E75">
        <v>11</v>
      </c>
      <c r="F75" s="166">
        <v>499</v>
      </c>
      <c r="G75">
        <v>5489</v>
      </c>
    </row>
    <row r="76" spans="1:7">
      <c r="A76" t="s">
        <v>350</v>
      </c>
      <c r="B76" s="165">
        <v>41795</v>
      </c>
      <c r="C76" t="s">
        <v>351</v>
      </c>
      <c r="D76" t="s">
        <v>352</v>
      </c>
      <c r="E76">
        <v>20</v>
      </c>
      <c r="F76" s="166">
        <v>517</v>
      </c>
      <c r="G76">
        <v>10340</v>
      </c>
    </row>
    <row r="77" spans="1:7">
      <c r="A77" t="s">
        <v>350</v>
      </c>
      <c r="B77" s="165">
        <v>41802</v>
      </c>
      <c r="C77" t="s">
        <v>359</v>
      </c>
      <c r="D77" t="s">
        <v>360</v>
      </c>
      <c r="E77">
        <v>8</v>
      </c>
      <c r="F77" s="166">
        <v>650</v>
      </c>
      <c r="G77">
        <v>5200</v>
      </c>
    </row>
    <row r="78" spans="1:7">
      <c r="A78" t="s">
        <v>350</v>
      </c>
      <c r="B78" s="165">
        <v>41802</v>
      </c>
      <c r="C78" t="s">
        <v>359</v>
      </c>
      <c r="D78" t="s">
        <v>360</v>
      </c>
      <c r="E78">
        <v>12</v>
      </c>
      <c r="F78" s="166">
        <v>650</v>
      </c>
      <c r="G78">
        <v>7800</v>
      </c>
    </row>
    <row r="79" spans="1:7">
      <c r="A79" t="s">
        <v>350</v>
      </c>
      <c r="B79" s="165">
        <v>41802</v>
      </c>
      <c r="C79" t="s">
        <v>353</v>
      </c>
      <c r="D79" t="s">
        <v>354</v>
      </c>
      <c r="E79">
        <v>5</v>
      </c>
      <c r="F79" s="166">
        <v>962</v>
      </c>
      <c r="G79">
        <v>4810</v>
      </c>
    </row>
    <row r="80" spans="1:7">
      <c r="A80" t="s">
        <v>350</v>
      </c>
      <c r="B80" s="165">
        <v>41802</v>
      </c>
      <c r="C80" t="s">
        <v>351</v>
      </c>
      <c r="D80" t="s">
        <v>352</v>
      </c>
      <c r="E80">
        <v>4</v>
      </c>
      <c r="F80" s="166">
        <v>525</v>
      </c>
      <c r="G80">
        <v>2100</v>
      </c>
    </row>
    <row r="81" spans="1:7">
      <c r="A81" t="s">
        <v>350</v>
      </c>
      <c r="B81" s="165">
        <v>41810</v>
      </c>
      <c r="C81" t="s">
        <v>355</v>
      </c>
      <c r="D81" t="s">
        <v>356</v>
      </c>
      <c r="E81">
        <v>21</v>
      </c>
      <c r="F81" s="166">
        <v>1062.3809523809523</v>
      </c>
      <c r="G81">
        <v>22310</v>
      </c>
    </row>
    <row r="82" spans="1:7">
      <c r="A82" t="s">
        <v>350</v>
      </c>
      <c r="B82" s="165">
        <v>41810</v>
      </c>
      <c r="C82" t="s">
        <v>351</v>
      </c>
      <c r="D82" t="s">
        <v>352</v>
      </c>
      <c r="E82">
        <v>1</v>
      </c>
      <c r="F82" s="166">
        <v>355</v>
      </c>
      <c r="G82">
        <v>355</v>
      </c>
    </row>
    <row r="83" spans="1:7">
      <c r="A83" t="s">
        <v>350</v>
      </c>
      <c r="B83" s="165">
        <v>41816</v>
      </c>
      <c r="C83" t="s">
        <v>359</v>
      </c>
      <c r="D83" t="s">
        <v>360</v>
      </c>
      <c r="E83">
        <v>10</v>
      </c>
      <c r="F83" s="166">
        <v>560</v>
      </c>
      <c r="G83">
        <v>5600</v>
      </c>
    </row>
    <row r="84" spans="1:7">
      <c r="A84" t="s">
        <v>350</v>
      </c>
      <c r="B84" s="165">
        <v>41816</v>
      </c>
      <c r="C84" t="s">
        <v>355</v>
      </c>
      <c r="D84" t="s">
        <v>356</v>
      </c>
      <c r="E84">
        <v>12</v>
      </c>
      <c r="F84" s="166">
        <v>320.25</v>
      </c>
      <c r="G84">
        <v>3843</v>
      </c>
    </row>
    <row r="85" spans="1:7">
      <c r="A85" t="s">
        <v>350</v>
      </c>
      <c r="B85" s="165">
        <v>41816</v>
      </c>
      <c r="C85" t="s">
        <v>355</v>
      </c>
      <c r="D85" t="s">
        <v>356</v>
      </c>
      <c r="E85">
        <v>10</v>
      </c>
      <c r="F85" s="166">
        <v>595</v>
      </c>
      <c r="G85">
        <v>5950</v>
      </c>
    </row>
    <row r="86" spans="1:7">
      <c r="A86" t="s">
        <v>350</v>
      </c>
      <c r="B86" s="165">
        <v>41816</v>
      </c>
      <c r="C86" t="s">
        <v>355</v>
      </c>
      <c r="D86" t="s">
        <v>356</v>
      </c>
      <c r="E86">
        <v>12</v>
      </c>
      <c r="F86" s="166">
        <v>501</v>
      </c>
      <c r="G86">
        <v>6012</v>
      </c>
    </row>
    <row r="87" spans="1:7">
      <c r="A87" t="s">
        <v>350</v>
      </c>
      <c r="B87" s="165">
        <v>41816</v>
      </c>
      <c r="C87" t="s">
        <v>355</v>
      </c>
      <c r="D87" t="s">
        <v>356</v>
      </c>
      <c r="E87">
        <v>16</v>
      </c>
      <c r="F87" s="166">
        <v>550</v>
      </c>
      <c r="G87">
        <v>8800</v>
      </c>
    </row>
    <row r="88" spans="1:7">
      <c r="A88" t="s">
        <v>350</v>
      </c>
      <c r="B88" s="165">
        <v>41816</v>
      </c>
      <c r="C88" t="s">
        <v>351</v>
      </c>
      <c r="D88" t="s">
        <v>352</v>
      </c>
      <c r="E88">
        <v>8</v>
      </c>
      <c r="F88" s="166">
        <v>175.375</v>
      </c>
      <c r="G88">
        <v>1403</v>
      </c>
    </row>
    <row r="89" spans="1:7">
      <c r="A89" t="s">
        <v>350</v>
      </c>
      <c r="B89" s="165">
        <v>41816</v>
      </c>
      <c r="C89" t="s">
        <v>351</v>
      </c>
      <c r="D89" t="s">
        <v>352</v>
      </c>
      <c r="E89">
        <v>2</v>
      </c>
      <c r="F89" s="166">
        <v>875</v>
      </c>
      <c r="G89">
        <v>1750</v>
      </c>
    </row>
    <row r="90" spans="1:7">
      <c r="A90" t="s">
        <v>350</v>
      </c>
      <c r="B90" s="165">
        <v>41816</v>
      </c>
      <c r="C90" t="s">
        <v>351</v>
      </c>
      <c r="D90" t="s">
        <v>352</v>
      </c>
      <c r="E90">
        <v>6</v>
      </c>
      <c r="F90" s="166">
        <v>322.66666666666669</v>
      </c>
      <c r="G90">
        <v>1936</v>
      </c>
    </row>
    <row r="91" spans="1:7">
      <c r="A91" t="s">
        <v>350</v>
      </c>
      <c r="B91" s="165">
        <v>41816</v>
      </c>
      <c r="C91" t="s">
        <v>351</v>
      </c>
      <c r="D91" t="s">
        <v>352</v>
      </c>
      <c r="E91">
        <v>5</v>
      </c>
      <c r="F91" s="166">
        <v>675</v>
      </c>
      <c r="G91">
        <v>3375</v>
      </c>
    </row>
    <row r="92" spans="1:7">
      <c r="A92" t="s">
        <v>350</v>
      </c>
      <c r="B92" s="165">
        <v>41816</v>
      </c>
      <c r="C92" t="s">
        <v>351</v>
      </c>
      <c r="D92" t="s">
        <v>352</v>
      </c>
      <c r="E92">
        <v>13</v>
      </c>
      <c r="F92" s="166">
        <v>519</v>
      </c>
      <c r="G92">
        <v>6747</v>
      </c>
    </row>
    <row r="93" spans="1:7">
      <c r="A93" t="s">
        <v>350</v>
      </c>
      <c r="B93" s="165">
        <v>41823</v>
      </c>
      <c r="C93" t="s">
        <v>359</v>
      </c>
      <c r="D93" t="s">
        <v>360</v>
      </c>
      <c r="E93">
        <v>3</v>
      </c>
      <c r="F93" s="166">
        <v>857</v>
      </c>
      <c r="G93">
        <v>2571</v>
      </c>
    </row>
    <row r="94" spans="1:7">
      <c r="A94" t="s">
        <v>350</v>
      </c>
      <c r="B94" s="165">
        <v>41823</v>
      </c>
      <c r="C94" t="s">
        <v>355</v>
      </c>
      <c r="D94" t="s">
        <v>356</v>
      </c>
      <c r="E94">
        <v>2</v>
      </c>
      <c r="F94" s="166">
        <v>480</v>
      </c>
      <c r="G94">
        <v>960</v>
      </c>
    </row>
    <row r="95" spans="1:7">
      <c r="A95" t="s">
        <v>350</v>
      </c>
      <c r="B95" s="165">
        <v>41823</v>
      </c>
      <c r="C95" t="s">
        <v>355</v>
      </c>
      <c r="D95" t="s">
        <v>356</v>
      </c>
      <c r="E95">
        <v>2</v>
      </c>
      <c r="F95" s="166">
        <v>648.5</v>
      </c>
      <c r="G95">
        <v>1297</v>
      </c>
    </row>
    <row r="96" spans="1:7">
      <c r="A96" t="s">
        <v>350</v>
      </c>
      <c r="B96" s="165">
        <v>41823</v>
      </c>
      <c r="C96" t="s">
        <v>355</v>
      </c>
      <c r="D96" t="s">
        <v>356</v>
      </c>
      <c r="E96">
        <v>6</v>
      </c>
      <c r="F96" s="166">
        <v>480</v>
      </c>
      <c r="G96">
        <v>2880</v>
      </c>
    </row>
    <row r="97" spans="1:7">
      <c r="A97" t="s">
        <v>350</v>
      </c>
      <c r="B97" s="165">
        <v>41823</v>
      </c>
      <c r="C97" t="s">
        <v>355</v>
      </c>
      <c r="D97" t="s">
        <v>356</v>
      </c>
      <c r="E97">
        <v>6</v>
      </c>
      <c r="F97" s="166">
        <v>641.66666666666663</v>
      </c>
      <c r="G97">
        <v>3850</v>
      </c>
    </row>
    <row r="98" spans="1:7">
      <c r="A98" t="s">
        <v>350</v>
      </c>
      <c r="B98" s="165">
        <v>41823</v>
      </c>
      <c r="C98" t="s">
        <v>355</v>
      </c>
      <c r="D98" t="s">
        <v>356</v>
      </c>
      <c r="E98">
        <v>6</v>
      </c>
      <c r="F98" s="166">
        <v>1034</v>
      </c>
      <c r="G98">
        <v>6204</v>
      </c>
    </row>
    <row r="99" spans="1:7">
      <c r="A99" t="s">
        <v>350</v>
      </c>
      <c r="B99" s="165">
        <v>41823</v>
      </c>
      <c r="C99" t="s">
        <v>351</v>
      </c>
      <c r="D99" t="s">
        <v>352</v>
      </c>
      <c r="E99">
        <v>1</v>
      </c>
      <c r="F99" s="166">
        <v>250</v>
      </c>
      <c r="G99">
        <v>250</v>
      </c>
    </row>
    <row r="100" spans="1:7">
      <c r="A100" t="s">
        <v>350</v>
      </c>
      <c r="B100" s="165">
        <v>41823</v>
      </c>
      <c r="C100" t="s">
        <v>351</v>
      </c>
      <c r="D100" t="s">
        <v>352</v>
      </c>
      <c r="E100">
        <v>2</v>
      </c>
      <c r="F100" s="166">
        <v>480</v>
      </c>
      <c r="G100">
        <v>960</v>
      </c>
    </row>
    <row r="101" spans="1:7">
      <c r="A101" t="s">
        <v>350</v>
      </c>
      <c r="B101" s="165">
        <v>41823</v>
      </c>
      <c r="C101" t="s">
        <v>351</v>
      </c>
      <c r="D101" t="s">
        <v>352</v>
      </c>
      <c r="E101">
        <v>2</v>
      </c>
      <c r="F101" s="166">
        <v>685</v>
      </c>
      <c r="G101">
        <v>1370</v>
      </c>
    </row>
    <row r="102" spans="1:7">
      <c r="A102" t="s">
        <v>350</v>
      </c>
      <c r="B102" s="165">
        <v>41823</v>
      </c>
      <c r="C102" t="s">
        <v>351</v>
      </c>
      <c r="D102" t="s">
        <v>352</v>
      </c>
      <c r="E102">
        <v>4</v>
      </c>
      <c r="F102" s="166">
        <v>800</v>
      </c>
      <c r="G102">
        <v>3200</v>
      </c>
    </row>
    <row r="103" spans="1:7">
      <c r="A103" t="s">
        <v>350</v>
      </c>
      <c r="B103" s="165">
        <v>41823</v>
      </c>
      <c r="C103" t="s">
        <v>351</v>
      </c>
      <c r="D103" t="s">
        <v>352</v>
      </c>
      <c r="E103">
        <v>8</v>
      </c>
      <c r="F103" s="166">
        <v>425</v>
      </c>
      <c r="G103">
        <v>3400</v>
      </c>
    </row>
    <row r="104" spans="1:7">
      <c r="A104" t="s">
        <v>350</v>
      </c>
      <c r="B104" s="165">
        <v>41823</v>
      </c>
      <c r="C104" t="s">
        <v>351</v>
      </c>
      <c r="D104" t="s">
        <v>352</v>
      </c>
      <c r="E104">
        <v>8</v>
      </c>
      <c r="F104" s="166">
        <v>494</v>
      </c>
      <c r="G104">
        <v>3952</v>
      </c>
    </row>
    <row r="105" spans="1:7">
      <c r="A105" t="s">
        <v>350</v>
      </c>
      <c r="B105" s="165">
        <v>41823</v>
      </c>
      <c r="C105" t="s">
        <v>351</v>
      </c>
      <c r="D105" t="s">
        <v>352</v>
      </c>
      <c r="E105">
        <v>19</v>
      </c>
      <c r="F105" s="166">
        <v>425</v>
      </c>
      <c r="G105">
        <v>8075</v>
      </c>
    </row>
    <row r="106" spans="1:7">
      <c r="A106" t="s">
        <v>350</v>
      </c>
      <c r="B106" s="165">
        <v>41823</v>
      </c>
      <c r="C106" t="s">
        <v>351</v>
      </c>
      <c r="D106" t="s">
        <v>352</v>
      </c>
      <c r="E106">
        <v>15</v>
      </c>
      <c r="F106" s="166">
        <v>544.20000000000005</v>
      </c>
      <c r="G106">
        <v>8163</v>
      </c>
    </row>
    <row r="107" spans="1:7">
      <c r="A107" t="s">
        <v>350</v>
      </c>
      <c r="B107" s="165">
        <v>41830</v>
      </c>
      <c r="C107" t="s">
        <v>355</v>
      </c>
      <c r="D107" t="s">
        <v>356</v>
      </c>
      <c r="E107">
        <v>10</v>
      </c>
      <c r="F107" s="166">
        <v>595</v>
      </c>
      <c r="G107">
        <v>5950</v>
      </c>
    </row>
    <row r="108" spans="1:7">
      <c r="A108" t="s">
        <v>350</v>
      </c>
      <c r="B108" s="165">
        <v>41830</v>
      </c>
      <c r="C108" t="s">
        <v>355</v>
      </c>
      <c r="D108" t="s">
        <v>356</v>
      </c>
      <c r="E108">
        <v>24</v>
      </c>
      <c r="F108" s="166">
        <v>406.33333333333331</v>
      </c>
      <c r="G108">
        <v>9752</v>
      </c>
    </row>
    <row r="109" spans="1:7">
      <c r="A109" t="s">
        <v>350</v>
      </c>
      <c r="B109" s="165">
        <v>41830</v>
      </c>
      <c r="C109" t="s">
        <v>353</v>
      </c>
      <c r="D109" t="s">
        <v>354</v>
      </c>
      <c r="E109">
        <v>5</v>
      </c>
      <c r="F109" s="166">
        <v>868</v>
      </c>
      <c r="G109">
        <v>4340</v>
      </c>
    </row>
    <row r="110" spans="1:7">
      <c r="A110" t="s">
        <v>350</v>
      </c>
      <c r="B110" s="165">
        <v>41830</v>
      </c>
      <c r="C110" t="s">
        <v>357</v>
      </c>
      <c r="D110" t="s">
        <v>358</v>
      </c>
      <c r="E110">
        <v>39</v>
      </c>
      <c r="F110" s="166">
        <v>275</v>
      </c>
      <c r="G110">
        <v>10725</v>
      </c>
    </row>
    <row r="111" spans="1:7">
      <c r="A111" t="s">
        <v>350</v>
      </c>
      <c r="B111" s="165">
        <v>41830</v>
      </c>
      <c r="C111" t="s">
        <v>351</v>
      </c>
      <c r="D111" t="s">
        <v>352</v>
      </c>
      <c r="E111">
        <v>12</v>
      </c>
      <c r="F111" s="166">
        <v>525</v>
      </c>
      <c r="G111">
        <v>6300</v>
      </c>
    </row>
    <row r="112" spans="1:7">
      <c r="A112" t="s">
        <v>350</v>
      </c>
      <c r="B112" s="165">
        <v>41837</v>
      </c>
      <c r="C112" t="s">
        <v>359</v>
      </c>
      <c r="D112" t="s">
        <v>360</v>
      </c>
      <c r="E112">
        <v>5</v>
      </c>
      <c r="F112" s="166">
        <v>531</v>
      </c>
      <c r="G112">
        <v>2655</v>
      </c>
    </row>
    <row r="113" spans="1:7">
      <c r="A113" t="s">
        <v>350</v>
      </c>
      <c r="B113" s="165">
        <v>41837</v>
      </c>
      <c r="C113" t="s">
        <v>359</v>
      </c>
      <c r="D113" t="s">
        <v>360</v>
      </c>
      <c r="E113">
        <v>10</v>
      </c>
      <c r="F113" s="166">
        <v>597.5</v>
      </c>
      <c r="G113">
        <v>5975</v>
      </c>
    </row>
    <row r="114" spans="1:7">
      <c r="A114" t="s">
        <v>350</v>
      </c>
      <c r="B114" s="165">
        <v>41837</v>
      </c>
      <c r="C114" t="s">
        <v>355</v>
      </c>
      <c r="D114" t="s">
        <v>356</v>
      </c>
      <c r="E114">
        <v>6</v>
      </c>
      <c r="F114" s="166">
        <v>699</v>
      </c>
      <c r="G114">
        <v>4194</v>
      </c>
    </row>
    <row r="115" spans="1:7">
      <c r="A115" t="s">
        <v>350</v>
      </c>
      <c r="B115" s="165">
        <v>41837</v>
      </c>
      <c r="C115" t="s">
        <v>355</v>
      </c>
      <c r="D115" t="s">
        <v>356</v>
      </c>
      <c r="E115">
        <v>17</v>
      </c>
      <c r="F115" s="166">
        <v>471.94117647058823</v>
      </c>
      <c r="G115">
        <v>8023</v>
      </c>
    </row>
    <row r="116" spans="1:7">
      <c r="A116" t="s">
        <v>350</v>
      </c>
      <c r="B116" s="165">
        <v>41837</v>
      </c>
      <c r="C116" t="s">
        <v>351</v>
      </c>
      <c r="D116" t="s">
        <v>352</v>
      </c>
      <c r="E116">
        <v>4</v>
      </c>
      <c r="F116" s="166">
        <v>534.5</v>
      </c>
      <c r="G116">
        <v>2138</v>
      </c>
    </row>
    <row r="117" spans="1:7">
      <c r="A117" t="s">
        <v>350</v>
      </c>
      <c r="B117" s="165">
        <v>41837</v>
      </c>
      <c r="C117" t="s">
        <v>351</v>
      </c>
      <c r="D117" t="s">
        <v>352</v>
      </c>
      <c r="E117">
        <v>10</v>
      </c>
      <c r="F117" s="166">
        <v>597.5</v>
      </c>
      <c r="G117">
        <v>5975</v>
      </c>
    </row>
    <row r="118" spans="1:7">
      <c r="A118" t="s">
        <v>350</v>
      </c>
      <c r="B118" s="165">
        <v>41837</v>
      </c>
      <c r="C118" t="s">
        <v>351</v>
      </c>
      <c r="D118" t="s">
        <v>352</v>
      </c>
      <c r="E118">
        <v>18</v>
      </c>
      <c r="F118" s="166">
        <v>437</v>
      </c>
      <c r="G118">
        <v>7866</v>
      </c>
    </row>
    <row r="119" spans="1:7">
      <c r="A119" t="s">
        <v>350</v>
      </c>
      <c r="B119" s="165">
        <v>41851</v>
      </c>
      <c r="C119" t="s">
        <v>359</v>
      </c>
      <c r="D119" t="s">
        <v>360</v>
      </c>
      <c r="E119">
        <v>10</v>
      </c>
      <c r="F119" s="166">
        <v>550</v>
      </c>
      <c r="G119">
        <v>5500</v>
      </c>
    </row>
    <row r="120" spans="1:7">
      <c r="A120" t="s">
        <v>350</v>
      </c>
      <c r="B120" s="165">
        <v>41851</v>
      </c>
      <c r="C120" t="s">
        <v>359</v>
      </c>
      <c r="D120" t="s">
        <v>360</v>
      </c>
      <c r="E120">
        <v>9</v>
      </c>
      <c r="F120" s="166">
        <v>1733</v>
      </c>
      <c r="G120">
        <v>15597</v>
      </c>
    </row>
    <row r="121" spans="1:7">
      <c r="A121" t="s">
        <v>350</v>
      </c>
      <c r="B121" s="165">
        <v>41851</v>
      </c>
      <c r="C121" t="s">
        <v>355</v>
      </c>
      <c r="D121" t="s">
        <v>356</v>
      </c>
      <c r="E121">
        <v>5</v>
      </c>
      <c r="F121" s="166">
        <v>570</v>
      </c>
      <c r="G121">
        <v>2850</v>
      </c>
    </row>
    <row r="122" spans="1:7">
      <c r="A122" t="s">
        <v>350</v>
      </c>
      <c r="B122" s="165">
        <v>41851</v>
      </c>
      <c r="C122" t="s">
        <v>355</v>
      </c>
      <c r="D122" t="s">
        <v>356</v>
      </c>
      <c r="E122">
        <v>8</v>
      </c>
      <c r="F122" s="166">
        <v>539.125</v>
      </c>
      <c r="G122">
        <v>4313</v>
      </c>
    </row>
    <row r="123" spans="1:7">
      <c r="A123" t="s">
        <v>350</v>
      </c>
      <c r="B123" s="165">
        <v>41851</v>
      </c>
      <c r="C123" t="s">
        <v>355</v>
      </c>
      <c r="D123" t="s">
        <v>356</v>
      </c>
      <c r="E123">
        <v>12</v>
      </c>
      <c r="F123" s="166">
        <v>439.58333333333331</v>
      </c>
      <c r="G123">
        <v>5275</v>
      </c>
    </row>
    <row r="124" spans="1:7">
      <c r="A124" t="s">
        <v>350</v>
      </c>
      <c r="B124" s="165">
        <v>41851</v>
      </c>
      <c r="C124" t="s">
        <v>355</v>
      </c>
      <c r="D124" t="s">
        <v>356</v>
      </c>
      <c r="E124">
        <v>12</v>
      </c>
      <c r="F124" s="166">
        <v>550</v>
      </c>
      <c r="G124">
        <v>6600</v>
      </c>
    </row>
    <row r="125" spans="1:7">
      <c r="A125" t="s">
        <v>350</v>
      </c>
      <c r="B125" s="165">
        <v>41851</v>
      </c>
      <c r="C125" t="s">
        <v>355</v>
      </c>
      <c r="D125" t="s">
        <v>356</v>
      </c>
      <c r="E125">
        <v>12</v>
      </c>
      <c r="F125" s="166">
        <v>554.16666666666663</v>
      </c>
      <c r="G125">
        <v>6650</v>
      </c>
    </row>
    <row r="126" spans="1:7">
      <c r="A126" t="s">
        <v>350</v>
      </c>
      <c r="B126" s="165">
        <v>41851</v>
      </c>
      <c r="C126" t="s">
        <v>355</v>
      </c>
      <c r="D126" t="s">
        <v>356</v>
      </c>
      <c r="E126">
        <v>13</v>
      </c>
      <c r="F126" s="166">
        <v>605.76923076923072</v>
      </c>
      <c r="G126">
        <v>7875</v>
      </c>
    </row>
    <row r="127" spans="1:7">
      <c r="A127" t="s">
        <v>350</v>
      </c>
      <c r="B127" s="165">
        <v>41851</v>
      </c>
      <c r="C127" t="s">
        <v>355</v>
      </c>
      <c r="D127" t="s">
        <v>356</v>
      </c>
      <c r="E127">
        <v>21</v>
      </c>
      <c r="F127" s="166">
        <v>384.76190476190476</v>
      </c>
      <c r="G127">
        <v>8080</v>
      </c>
    </row>
    <row r="128" spans="1:7">
      <c r="A128" t="s">
        <v>350</v>
      </c>
      <c r="B128" s="165">
        <v>41851</v>
      </c>
      <c r="C128" t="s">
        <v>355</v>
      </c>
      <c r="D128" t="s">
        <v>356</v>
      </c>
      <c r="E128">
        <v>13</v>
      </c>
      <c r="F128" s="166">
        <v>830</v>
      </c>
      <c r="G128">
        <v>10790</v>
      </c>
    </row>
    <row r="129" spans="1:7">
      <c r="A129" t="s">
        <v>350</v>
      </c>
      <c r="B129" s="165">
        <v>41851</v>
      </c>
      <c r="C129" t="s">
        <v>355</v>
      </c>
      <c r="D129" t="s">
        <v>356</v>
      </c>
      <c r="E129">
        <v>8</v>
      </c>
      <c r="F129" s="166">
        <v>1423.5</v>
      </c>
      <c r="G129">
        <v>11388</v>
      </c>
    </row>
    <row r="130" spans="1:7">
      <c r="A130" t="s">
        <v>350</v>
      </c>
      <c r="B130" s="165">
        <v>41851</v>
      </c>
      <c r="C130" t="s">
        <v>355</v>
      </c>
      <c r="D130" t="s">
        <v>356</v>
      </c>
      <c r="E130">
        <v>20</v>
      </c>
      <c r="F130" s="166">
        <v>595</v>
      </c>
      <c r="G130">
        <v>11900</v>
      </c>
    </row>
    <row r="131" spans="1:7">
      <c r="A131" t="s">
        <v>350</v>
      </c>
      <c r="B131" s="165">
        <v>41851</v>
      </c>
      <c r="C131" t="s">
        <v>353</v>
      </c>
      <c r="D131" t="s">
        <v>354</v>
      </c>
      <c r="E131">
        <v>4</v>
      </c>
      <c r="F131" s="166">
        <v>820.75</v>
      </c>
      <c r="G131">
        <v>3283</v>
      </c>
    </row>
    <row r="132" spans="1:7">
      <c r="A132" t="s">
        <v>350</v>
      </c>
      <c r="B132" s="165">
        <v>41851</v>
      </c>
      <c r="C132" t="s">
        <v>357</v>
      </c>
      <c r="D132" t="s">
        <v>358</v>
      </c>
      <c r="E132">
        <v>1</v>
      </c>
      <c r="F132" s="166">
        <v>201</v>
      </c>
      <c r="G132">
        <v>201</v>
      </c>
    </row>
    <row r="133" spans="1:7">
      <c r="A133" t="s">
        <v>350</v>
      </c>
      <c r="B133" s="165">
        <v>41851</v>
      </c>
      <c r="C133" t="s">
        <v>357</v>
      </c>
      <c r="D133" t="s">
        <v>358</v>
      </c>
      <c r="E133">
        <v>6</v>
      </c>
      <c r="F133" s="166">
        <v>235.83333333333334</v>
      </c>
      <c r="G133">
        <v>1415</v>
      </c>
    </row>
    <row r="134" spans="1:7">
      <c r="A134" t="s">
        <v>350</v>
      </c>
      <c r="B134" s="165">
        <v>41851</v>
      </c>
      <c r="C134" t="s">
        <v>357</v>
      </c>
      <c r="D134" t="s">
        <v>358</v>
      </c>
      <c r="E134">
        <v>13</v>
      </c>
      <c r="F134" s="166">
        <v>496.61538461538464</v>
      </c>
      <c r="G134">
        <v>6456</v>
      </c>
    </row>
    <row r="135" spans="1:7">
      <c r="A135" t="s">
        <v>350</v>
      </c>
      <c r="B135" s="165">
        <v>41851</v>
      </c>
      <c r="C135" t="s">
        <v>357</v>
      </c>
      <c r="D135" t="s">
        <v>358</v>
      </c>
      <c r="E135">
        <v>47</v>
      </c>
      <c r="F135" s="166">
        <v>270</v>
      </c>
      <c r="G135">
        <v>12690</v>
      </c>
    </row>
    <row r="136" spans="1:7">
      <c r="A136" t="s">
        <v>350</v>
      </c>
      <c r="B136" s="165">
        <v>41851</v>
      </c>
      <c r="C136" t="s">
        <v>351</v>
      </c>
      <c r="D136" t="s">
        <v>352</v>
      </c>
      <c r="E136">
        <v>1</v>
      </c>
      <c r="F136" s="166">
        <v>685</v>
      </c>
      <c r="G136">
        <v>685</v>
      </c>
    </row>
    <row r="137" spans="1:7">
      <c r="A137" t="s">
        <v>350</v>
      </c>
      <c r="B137" s="165">
        <v>41851</v>
      </c>
      <c r="C137" t="s">
        <v>351</v>
      </c>
      <c r="D137" t="s">
        <v>352</v>
      </c>
      <c r="E137">
        <v>4</v>
      </c>
      <c r="F137" s="166">
        <v>270</v>
      </c>
      <c r="G137">
        <v>1080</v>
      </c>
    </row>
    <row r="138" spans="1:7">
      <c r="A138" t="s">
        <v>350</v>
      </c>
      <c r="B138" s="165">
        <v>41851</v>
      </c>
      <c r="C138" t="s">
        <v>351</v>
      </c>
      <c r="D138" t="s">
        <v>352</v>
      </c>
      <c r="E138">
        <v>10</v>
      </c>
      <c r="F138" s="166">
        <v>272.7</v>
      </c>
      <c r="G138">
        <v>2727</v>
      </c>
    </row>
    <row r="139" spans="1:7">
      <c r="A139" t="s">
        <v>350</v>
      </c>
      <c r="B139" s="165">
        <v>41851</v>
      </c>
      <c r="C139" t="s">
        <v>351</v>
      </c>
      <c r="D139" t="s">
        <v>352</v>
      </c>
      <c r="E139">
        <v>8</v>
      </c>
      <c r="F139" s="166">
        <v>354.75</v>
      </c>
      <c r="G139">
        <v>2838</v>
      </c>
    </row>
    <row r="140" spans="1:7">
      <c r="A140" t="s">
        <v>350</v>
      </c>
      <c r="B140" s="165">
        <v>41851</v>
      </c>
      <c r="C140" t="s">
        <v>351</v>
      </c>
      <c r="D140" t="s">
        <v>352</v>
      </c>
      <c r="E140">
        <v>10</v>
      </c>
      <c r="F140" s="166">
        <v>315</v>
      </c>
      <c r="G140">
        <v>3150</v>
      </c>
    </row>
    <row r="141" spans="1:7">
      <c r="A141" t="s">
        <v>350</v>
      </c>
      <c r="B141" s="165">
        <v>41851</v>
      </c>
      <c r="C141" t="s">
        <v>351</v>
      </c>
      <c r="D141" t="s">
        <v>352</v>
      </c>
      <c r="E141">
        <v>10</v>
      </c>
      <c r="F141" s="166">
        <v>550</v>
      </c>
      <c r="G141">
        <v>5500</v>
      </c>
    </row>
    <row r="142" spans="1:7">
      <c r="A142" t="s">
        <v>350</v>
      </c>
      <c r="B142" s="165">
        <v>41851</v>
      </c>
      <c r="C142" t="s">
        <v>351</v>
      </c>
      <c r="D142" t="s">
        <v>352</v>
      </c>
      <c r="E142">
        <v>12</v>
      </c>
      <c r="F142" s="166">
        <v>558.33333333333337</v>
      </c>
      <c r="G142">
        <v>6700</v>
      </c>
    </row>
    <row r="143" spans="1:7">
      <c r="A143" t="s">
        <v>350</v>
      </c>
      <c r="B143" s="165">
        <v>41851</v>
      </c>
      <c r="C143" t="s">
        <v>351</v>
      </c>
      <c r="D143" t="s">
        <v>352</v>
      </c>
      <c r="E143">
        <v>10</v>
      </c>
      <c r="F143" s="166">
        <v>767</v>
      </c>
      <c r="G143">
        <v>7670</v>
      </c>
    </row>
    <row r="144" spans="1:7">
      <c r="A144" t="s">
        <v>350</v>
      </c>
      <c r="B144" s="165">
        <v>41858</v>
      </c>
      <c r="C144" t="s">
        <v>359</v>
      </c>
      <c r="D144" t="s">
        <v>360</v>
      </c>
      <c r="E144">
        <v>4</v>
      </c>
      <c r="F144" s="166">
        <v>341</v>
      </c>
      <c r="G144">
        <v>1364</v>
      </c>
    </row>
    <row r="145" spans="1:7">
      <c r="A145" t="s">
        <v>350</v>
      </c>
      <c r="B145" s="165">
        <v>41858</v>
      </c>
      <c r="C145" t="s">
        <v>355</v>
      </c>
      <c r="D145" t="s">
        <v>356</v>
      </c>
      <c r="E145">
        <v>10</v>
      </c>
      <c r="F145" s="166">
        <v>301</v>
      </c>
      <c r="G145">
        <v>3010</v>
      </c>
    </row>
    <row r="146" spans="1:7">
      <c r="A146" t="s">
        <v>350</v>
      </c>
      <c r="B146" s="165">
        <v>41858</v>
      </c>
      <c r="C146" t="s">
        <v>355</v>
      </c>
      <c r="D146" t="s">
        <v>356</v>
      </c>
      <c r="E146">
        <v>12</v>
      </c>
      <c r="F146" s="166">
        <v>536.08333333333337</v>
      </c>
      <c r="G146">
        <v>6433</v>
      </c>
    </row>
    <row r="147" spans="1:7">
      <c r="A147" t="s">
        <v>350</v>
      </c>
      <c r="B147" s="165">
        <v>41858</v>
      </c>
      <c r="C147" t="s">
        <v>351</v>
      </c>
      <c r="D147" t="s">
        <v>352</v>
      </c>
      <c r="E147">
        <v>4</v>
      </c>
      <c r="F147" s="166">
        <v>625</v>
      </c>
      <c r="G147">
        <v>2500</v>
      </c>
    </row>
    <row r="148" spans="1:7">
      <c r="A148" t="s">
        <v>350</v>
      </c>
      <c r="B148" s="165">
        <v>41858</v>
      </c>
      <c r="C148" t="s">
        <v>351</v>
      </c>
      <c r="D148" t="s">
        <v>352</v>
      </c>
      <c r="E148">
        <v>4</v>
      </c>
      <c r="F148" s="166">
        <v>732.5</v>
      </c>
      <c r="G148">
        <v>2930</v>
      </c>
    </row>
    <row r="149" spans="1:7">
      <c r="A149" t="s">
        <v>350</v>
      </c>
      <c r="B149" s="165">
        <v>41858</v>
      </c>
      <c r="C149" t="s">
        <v>351</v>
      </c>
      <c r="D149" t="s">
        <v>352</v>
      </c>
      <c r="E149">
        <v>8</v>
      </c>
      <c r="F149" s="166">
        <v>370</v>
      </c>
      <c r="G149">
        <v>2960</v>
      </c>
    </row>
    <row r="150" spans="1:7">
      <c r="A150" t="s">
        <v>350</v>
      </c>
      <c r="B150" s="165">
        <v>41865</v>
      </c>
      <c r="C150" t="s">
        <v>351</v>
      </c>
      <c r="D150" t="s">
        <v>352</v>
      </c>
      <c r="E150">
        <v>41</v>
      </c>
      <c r="F150" s="166">
        <v>395</v>
      </c>
      <c r="G150">
        <v>16195</v>
      </c>
    </row>
    <row r="151" spans="1:7">
      <c r="A151" t="s">
        <v>350</v>
      </c>
      <c r="B151" s="165">
        <v>41872</v>
      </c>
      <c r="C151" t="s">
        <v>359</v>
      </c>
      <c r="D151" t="s">
        <v>360</v>
      </c>
      <c r="E151">
        <v>4</v>
      </c>
      <c r="F151" s="166">
        <v>550</v>
      </c>
      <c r="G151">
        <v>2200</v>
      </c>
    </row>
    <row r="152" spans="1:7">
      <c r="A152" t="s">
        <v>350</v>
      </c>
      <c r="B152" s="165">
        <v>41872</v>
      </c>
      <c r="C152" t="s">
        <v>359</v>
      </c>
      <c r="D152" t="s">
        <v>360</v>
      </c>
      <c r="E152">
        <v>9</v>
      </c>
      <c r="F152" s="166">
        <v>475</v>
      </c>
      <c r="G152">
        <v>4275</v>
      </c>
    </row>
    <row r="153" spans="1:7">
      <c r="A153" t="s">
        <v>350</v>
      </c>
      <c r="B153" s="165">
        <v>41872</v>
      </c>
      <c r="C153" t="s">
        <v>359</v>
      </c>
      <c r="D153" t="s">
        <v>360</v>
      </c>
      <c r="E153">
        <v>8</v>
      </c>
      <c r="F153" s="166">
        <v>985</v>
      </c>
      <c r="G153">
        <v>7880</v>
      </c>
    </row>
    <row r="154" spans="1:7">
      <c r="A154" t="s">
        <v>350</v>
      </c>
      <c r="B154" s="165">
        <v>41872</v>
      </c>
      <c r="C154" t="s">
        <v>355</v>
      </c>
      <c r="D154" t="s">
        <v>356</v>
      </c>
      <c r="E154">
        <v>11</v>
      </c>
      <c r="F154" s="166">
        <v>985</v>
      </c>
      <c r="G154">
        <v>10835</v>
      </c>
    </row>
    <row r="155" spans="1:7">
      <c r="A155" t="s">
        <v>350</v>
      </c>
      <c r="B155" s="165">
        <v>41872</v>
      </c>
      <c r="C155" t="s">
        <v>355</v>
      </c>
      <c r="D155" t="s">
        <v>356</v>
      </c>
      <c r="E155">
        <v>18</v>
      </c>
      <c r="F155" s="166">
        <v>957.72222222222217</v>
      </c>
      <c r="G155">
        <v>17239</v>
      </c>
    </row>
    <row r="156" spans="1:7">
      <c r="A156" t="s">
        <v>350</v>
      </c>
      <c r="B156" s="165">
        <v>41872</v>
      </c>
      <c r="C156" t="s">
        <v>353</v>
      </c>
      <c r="D156" t="s">
        <v>354</v>
      </c>
      <c r="E156">
        <v>2</v>
      </c>
      <c r="F156" s="166">
        <v>1239</v>
      </c>
      <c r="G156">
        <v>2478</v>
      </c>
    </row>
    <row r="157" spans="1:7">
      <c r="A157" t="s">
        <v>350</v>
      </c>
      <c r="B157" s="165">
        <v>41872</v>
      </c>
      <c r="C157" t="s">
        <v>353</v>
      </c>
      <c r="D157" t="s">
        <v>354</v>
      </c>
      <c r="E157">
        <v>14</v>
      </c>
      <c r="F157" s="166">
        <v>450</v>
      </c>
      <c r="G157">
        <v>6300</v>
      </c>
    </row>
    <row r="158" spans="1:7">
      <c r="A158" t="s">
        <v>350</v>
      </c>
      <c r="B158" s="165">
        <v>41872</v>
      </c>
      <c r="C158" t="s">
        <v>357</v>
      </c>
      <c r="D158" t="s">
        <v>358</v>
      </c>
      <c r="E158">
        <v>1</v>
      </c>
      <c r="F158" s="166">
        <v>275</v>
      </c>
      <c r="G158">
        <v>275</v>
      </c>
    </row>
    <row r="159" spans="1:7">
      <c r="A159" t="s">
        <v>350</v>
      </c>
      <c r="B159" s="165">
        <v>41872</v>
      </c>
      <c r="C159" t="s">
        <v>357</v>
      </c>
      <c r="D159" t="s">
        <v>358</v>
      </c>
      <c r="E159">
        <v>7</v>
      </c>
      <c r="F159" s="166">
        <v>289.28571428571428</v>
      </c>
      <c r="G159">
        <v>2025</v>
      </c>
    </row>
    <row r="160" spans="1:7">
      <c r="A160" t="s">
        <v>350</v>
      </c>
      <c r="B160" s="165">
        <v>41872</v>
      </c>
      <c r="C160" t="s">
        <v>351</v>
      </c>
      <c r="D160" t="s">
        <v>352</v>
      </c>
      <c r="E160">
        <v>4</v>
      </c>
      <c r="F160" s="166">
        <v>525</v>
      </c>
      <c r="G160">
        <v>2100</v>
      </c>
    </row>
    <row r="161" spans="1:7">
      <c r="A161" t="s">
        <v>350</v>
      </c>
      <c r="B161" s="165">
        <v>41872</v>
      </c>
      <c r="C161" t="s">
        <v>351</v>
      </c>
      <c r="D161" t="s">
        <v>352</v>
      </c>
      <c r="E161">
        <v>4</v>
      </c>
      <c r="F161" s="166">
        <v>550</v>
      </c>
      <c r="G161">
        <v>2200</v>
      </c>
    </row>
    <row r="162" spans="1:7">
      <c r="A162" t="s">
        <v>350</v>
      </c>
      <c r="B162" s="165">
        <v>41872</v>
      </c>
      <c r="C162" t="s">
        <v>351</v>
      </c>
      <c r="D162" t="s">
        <v>352</v>
      </c>
      <c r="E162">
        <v>2</v>
      </c>
      <c r="F162" s="166">
        <v>1395</v>
      </c>
      <c r="G162">
        <v>2790</v>
      </c>
    </row>
    <row r="163" spans="1:7">
      <c r="A163" t="s">
        <v>350</v>
      </c>
      <c r="B163" s="165">
        <v>41872</v>
      </c>
      <c r="C163" t="s">
        <v>351</v>
      </c>
      <c r="D163" t="s">
        <v>352</v>
      </c>
      <c r="E163">
        <v>8</v>
      </c>
      <c r="F163" s="166">
        <v>381.875</v>
      </c>
      <c r="G163">
        <v>3055</v>
      </c>
    </row>
    <row r="164" spans="1:7">
      <c r="A164" t="s">
        <v>350</v>
      </c>
      <c r="B164" s="165">
        <v>41872</v>
      </c>
      <c r="C164" t="s">
        <v>351</v>
      </c>
      <c r="D164" t="s">
        <v>352</v>
      </c>
      <c r="E164">
        <v>9</v>
      </c>
      <c r="F164" s="166">
        <v>503.33333333333331</v>
      </c>
      <c r="G164">
        <v>4530</v>
      </c>
    </row>
    <row r="165" spans="1:7">
      <c r="A165" t="s">
        <v>350</v>
      </c>
      <c r="B165" s="165">
        <v>41872</v>
      </c>
      <c r="C165" t="s">
        <v>351</v>
      </c>
      <c r="D165" t="s">
        <v>352</v>
      </c>
      <c r="E165">
        <v>10</v>
      </c>
      <c r="F165" s="166">
        <v>480.3</v>
      </c>
      <c r="G165">
        <v>4803</v>
      </c>
    </row>
    <row r="166" spans="1:7">
      <c r="A166" t="s">
        <v>350</v>
      </c>
      <c r="B166" s="165">
        <v>41879</v>
      </c>
      <c r="C166" t="s">
        <v>355</v>
      </c>
      <c r="D166" t="s">
        <v>356</v>
      </c>
      <c r="E166">
        <v>20</v>
      </c>
      <c r="F166" s="166">
        <v>497</v>
      </c>
      <c r="G166">
        <v>9940</v>
      </c>
    </row>
    <row r="167" spans="1:7">
      <c r="A167" t="s">
        <v>350</v>
      </c>
      <c r="B167" s="165">
        <v>41879</v>
      </c>
      <c r="C167" t="s">
        <v>357</v>
      </c>
      <c r="D167" t="s">
        <v>358</v>
      </c>
      <c r="E167">
        <v>2</v>
      </c>
      <c r="F167" s="166">
        <v>275</v>
      </c>
      <c r="G167">
        <v>550</v>
      </c>
    </row>
    <row r="168" spans="1:7">
      <c r="A168" t="s">
        <v>350</v>
      </c>
      <c r="B168" s="165">
        <v>41879</v>
      </c>
      <c r="C168" t="s">
        <v>357</v>
      </c>
      <c r="D168" t="s">
        <v>358</v>
      </c>
      <c r="E168">
        <v>2</v>
      </c>
      <c r="F168" s="166">
        <v>316</v>
      </c>
      <c r="G168">
        <v>632</v>
      </c>
    </row>
    <row r="169" spans="1:7">
      <c r="A169" t="s">
        <v>350</v>
      </c>
      <c r="B169" s="165">
        <v>41879</v>
      </c>
      <c r="C169" t="s">
        <v>357</v>
      </c>
      <c r="D169" t="s">
        <v>358</v>
      </c>
      <c r="E169">
        <v>8</v>
      </c>
      <c r="F169" s="166">
        <v>276.25</v>
      </c>
      <c r="G169">
        <v>2210</v>
      </c>
    </row>
    <row r="170" spans="1:7">
      <c r="A170" t="s">
        <v>350</v>
      </c>
      <c r="B170" s="165">
        <v>41879</v>
      </c>
      <c r="C170" t="s">
        <v>357</v>
      </c>
      <c r="D170" t="s">
        <v>358</v>
      </c>
      <c r="E170">
        <v>24</v>
      </c>
      <c r="F170" s="166">
        <v>190</v>
      </c>
      <c r="G170">
        <v>4560</v>
      </c>
    </row>
    <row r="171" spans="1:7">
      <c r="A171" t="s">
        <v>350</v>
      </c>
      <c r="B171" s="165">
        <v>41879</v>
      </c>
      <c r="C171" t="s">
        <v>351</v>
      </c>
      <c r="D171" t="s">
        <v>352</v>
      </c>
      <c r="E171">
        <v>7</v>
      </c>
      <c r="F171" s="166">
        <v>411.28571428571428</v>
      </c>
      <c r="G171">
        <v>2879</v>
      </c>
    </row>
    <row r="172" spans="1:7">
      <c r="A172" t="s">
        <v>350</v>
      </c>
      <c r="B172" s="165">
        <v>41879</v>
      </c>
      <c r="C172" t="s">
        <v>351</v>
      </c>
      <c r="D172" t="s">
        <v>352</v>
      </c>
      <c r="E172">
        <v>15</v>
      </c>
      <c r="F172" s="166">
        <v>375.66666666666669</v>
      </c>
      <c r="G172">
        <v>5635</v>
      </c>
    </row>
    <row r="173" spans="1:7">
      <c r="A173" t="s">
        <v>350</v>
      </c>
      <c r="B173" s="165">
        <v>41893</v>
      </c>
      <c r="C173" t="s">
        <v>351</v>
      </c>
      <c r="D173" t="s">
        <v>352</v>
      </c>
      <c r="E173">
        <v>8</v>
      </c>
      <c r="F173" s="166">
        <v>334.875</v>
      </c>
      <c r="G173">
        <v>2679</v>
      </c>
    </row>
    <row r="174" spans="1:7">
      <c r="A174" t="s">
        <v>350</v>
      </c>
      <c r="B174" s="165">
        <v>41900</v>
      </c>
      <c r="C174" t="s">
        <v>359</v>
      </c>
      <c r="D174" t="s">
        <v>360</v>
      </c>
      <c r="E174">
        <v>5</v>
      </c>
      <c r="F174" s="166">
        <v>510.8</v>
      </c>
      <c r="G174">
        <v>2554</v>
      </c>
    </row>
    <row r="175" spans="1:7">
      <c r="A175" t="s">
        <v>350</v>
      </c>
      <c r="B175" s="165">
        <v>41900</v>
      </c>
      <c r="C175" t="s">
        <v>359</v>
      </c>
      <c r="D175" t="s">
        <v>360</v>
      </c>
      <c r="E175">
        <v>11</v>
      </c>
      <c r="F175" s="166">
        <v>386.90909090909093</v>
      </c>
      <c r="G175">
        <v>4256</v>
      </c>
    </row>
    <row r="176" spans="1:7">
      <c r="A176" t="s">
        <v>350</v>
      </c>
      <c r="B176" s="165">
        <v>41900</v>
      </c>
      <c r="C176" t="s">
        <v>359</v>
      </c>
      <c r="D176" t="s">
        <v>360</v>
      </c>
      <c r="E176">
        <v>17</v>
      </c>
      <c r="F176" s="166">
        <v>928.82352941176475</v>
      </c>
      <c r="G176">
        <v>15790</v>
      </c>
    </row>
    <row r="177" spans="1:7">
      <c r="A177" t="s">
        <v>350</v>
      </c>
      <c r="B177" s="165">
        <v>41900</v>
      </c>
      <c r="C177" t="s">
        <v>355</v>
      </c>
      <c r="D177" t="s">
        <v>356</v>
      </c>
      <c r="E177">
        <v>5</v>
      </c>
      <c r="F177" s="166">
        <v>1245</v>
      </c>
      <c r="G177">
        <v>6225</v>
      </c>
    </row>
    <row r="178" spans="1:7">
      <c r="A178" t="s">
        <v>350</v>
      </c>
      <c r="B178" s="165">
        <v>41900</v>
      </c>
      <c r="C178" t="s">
        <v>355</v>
      </c>
      <c r="D178" t="s">
        <v>356</v>
      </c>
      <c r="E178">
        <v>15</v>
      </c>
      <c r="F178" s="166">
        <v>536.33333333333337</v>
      </c>
      <c r="G178">
        <v>8045</v>
      </c>
    </row>
    <row r="179" spans="1:7">
      <c r="A179" t="s">
        <v>350</v>
      </c>
      <c r="B179" s="165">
        <v>41900</v>
      </c>
      <c r="C179" t="s">
        <v>355</v>
      </c>
      <c r="D179" t="s">
        <v>356</v>
      </c>
      <c r="E179">
        <v>7</v>
      </c>
      <c r="F179" s="166">
        <v>1245</v>
      </c>
      <c r="G179">
        <v>8715</v>
      </c>
    </row>
    <row r="180" spans="1:7">
      <c r="A180" t="s">
        <v>350</v>
      </c>
      <c r="B180" s="165">
        <v>41900</v>
      </c>
      <c r="C180" t="s">
        <v>355</v>
      </c>
      <c r="D180" t="s">
        <v>356</v>
      </c>
      <c r="E180">
        <v>10</v>
      </c>
      <c r="F180" s="166">
        <v>1169.0999999999999</v>
      </c>
      <c r="G180">
        <v>11691</v>
      </c>
    </row>
    <row r="181" spans="1:7">
      <c r="A181" t="s">
        <v>350</v>
      </c>
      <c r="B181" s="165">
        <v>41900</v>
      </c>
      <c r="C181" t="s">
        <v>355</v>
      </c>
      <c r="D181" t="s">
        <v>356</v>
      </c>
      <c r="E181">
        <v>20</v>
      </c>
      <c r="F181" s="166">
        <v>610</v>
      </c>
      <c r="G181">
        <v>12200</v>
      </c>
    </row>
    <row r="182" spans="1:7">
      <c r="A182" t="s">
        <v>350</v>
      </c>
      <c r="B182" s="165">
        <v>41900</v>
      </c>
      <c r="C182" t="s">
        <v>353</v>
      </c>
      <c r="D182" t="s">
        <v>354</v>
      </c>
      <c r="E182">
        <v>3</v>
      </c>
      <c r="F182" s="166">
        <v>598</v>
      </c>
      <c r="G182">
        <v>1794</v>
      </c>
    </row>
    <row r="183" spans="1:7">
      <c r="A183" t="s">
        <v>350</v>
      </c>
      <c r="B183" s="165">
        <v>41900</v>
      </c>
      <c r="C183" t="s">
        <v>357</v>
      </c>
      <c r="D183" t="s">
        <v>358</v>
      </c>
      <c r="E183">
        <v>3</v>
      </c>
      <c r="F183" s="166">
        <v>192.66666666666666</v>
      </c>
      <c r="G183">
        <v>578</v>
      </c>
    </row>
    <row r="184" spans="1:7">
      <c r="A184" t="s">
        <v>350</v>
      </c>
      <c r="B184" s="165">
        <v>41900</v>
      </c>
      <c r="C184" t="s">
        <v>351</v>
      </c>
      <c r="D184" t="s">
        <v>352</v>
      </c>
      <c r="E184">
        <v>1</v>
      </c>
      <c r="F184" s="166">
        <v>600</v>
      </c>
      <c r="G184">
        <v>600</v>
      </c>
    </row>
    <row r="185" spans="1:7">
      <c r="A185" t="s">
        <v>350</v>
      </c>
      <c r="B185" s="165">
        <v>41900</v>
      </c>
      <c r="C185" t="s">
        <v>351</v>
      </c>
      <c r="D185" t="s">
        <v>352</v>
      </c>
      <c r="E185">
        <v>3</v>
      </c>
      <c r="F185" s="166">
        <v>495</v>
      </c>
      <c r="G185">
        <v>1485</v>
      </c>
    </row>
    <row r="186" spans="1:7">
      <c r="A186" t="s">
        <v>350</v>
      </c>
      <c r="B186" s="165">
        <v>41900</v>
      </c>
      <c r="C186" t="s">
        <v>351</v>
      </c>
      <c r="D186" t="s">
        <v>352</v>
      </c>
      <c r="E186">
        <v>3</v>
      </c>
      <c r="F186" s="166">
        <v>555</v>
      </c>
      <c r="G186">
        <v>1665</v>
      </c>
    </row>
    <row r="187" spans="1:7">
      <c r="A187" t="s">
        <v>350</v>
      </c>
      <c r="B187" s="165">
        <v>41900</v>
      </c>
      <c r="C187" t="s">
        <v>351</v>
      </c>
      <c r="D187" t="s">
        <v>352</v>
      </c>
      <c r="E187">
        <v>5</v>
      </c>
      <c r="F187" s="166">
        <v>384</v>
      </c>
      <c r="G187">
        <v>1920</v>
      </c>
    </row>
    <row r="188" spans="1:7">
      <c r="A188" t="s">
        <v>350</v>
      </c>
      <c r="B188" s="165">
        <v>41900</v>
      </c>
      <c r="C188" t="s">
        <v>351</v>
      </c>
      <c r="D188" t="s">
        <v>352</v>
      </c>
      <c r="E188">
        <v>9</v>
      </c>
      <c r="F188" s="166">
        <v>720</v>
      </c>
      <c r="G188">
        <v>6480</v>
      </c>
    </row>
    <row r="189" spans="1:7">
      <c r="A189" t="s">
        <v>350</v>
      </c>
      <c r="B189" s="165">
        <v>41900</v>
      </c>
      <c r="C189" t="s">
        <v>351</v>
      </c>
      <c r="D189" t="s">
        <v>352</v>
      </c>
      <c r="E189">
        <v>12</v>
      </c>
      <c r="F189" s="166">
        <v>566.66666666666663</v>
      </c>
      <c r="G189">
        <v>6800</v>
      </c>
    </row>
    <row r="190" spans="1:7">
      <c r="A190" t="s">
        <v>350</v>
      </c>
      <c r="B190" s="165">
        <v>41907</v>
      </c>
      <c r="C190" t="s">
        <v>359</v>
      </c>
      <c r="D190" t="s">
        <v>360</v>
      </c>
      <c r="E190">
        <v>1</v>
      </c>
      <c r="F190" s="166">
        <v>552</v>
      </c>
      <c r="G190">
        <v>552</v>
      </c>
    </row>
    <row r="191" spans="1:7">
      <c r="A191" t="s">
        <v>350</v>
      </c>
      <c r="B191" s="165">
        <v>41907</v>
      </c>
      <c r="C191" t="s">
        <v>359</v>
      </c>
      <c r="D191" t="s">
        <v>360</v>
      </c>
      <c r="E191">
        <v>4</v>
      </c>
      <c r="F191" s="166">
        <v>585</v>
      </c>
      <c r="G191">
        <v>2340</v>
      </c>
    </row>
    <row r="192" spans="1:7">
      <c r="A192" t="s">
        <v>350</v>
      </c>
      <c r="B192" s="165">
        <v>41907</v>
      </c>
      <c r="C192" t="s">
        <v>359</v>
      </c>
      <c r="D192" t="s">
        <v>360</v>
      </c>
      <c r="E192">
        <v>10</v>
      </c>
      <c r="F192" s="166">
        <v>420.2</v>
      </c>
      <c r="G192">
        <v>4202</v>
      </c>
    </row>
    <row r="193" spans="1:7">
      <c r="A193" t="s">
        <v>350</v>
      </c>
      <c r="B193" s="165">
        <v>41907</v>
      </c>
      <c r="C193" t="s">
        <v>359</v>
      </c>
      <c r="D193" t="s">
        <v>360</v>
      </c>
      <c r="E193">
        <v>12</v>
      </c>
      <c r="F193" s="166">
        <v>815</v>
      </c>
      <c r="G193">
        <v>9780</v>
      </c>
    </row>
    <row r="194" spans="1:7">
      <c r="A194" t="s">
        <v>350</v>
      </c>
      <c r="B194" s="165">
        <v>41907</v>
      </c>
      <c r="C194" t="s">
        <v>355</v>
      </c>
      <c r="D194" t="s">
        <v>356</v>
      </c>
      <c r="E194">
        <v>4</v>
      </c>
      <c r="F194" s="166">
        <v>445</v>
      </c>
      <c r="G194">
        <v>1780</v>
      </c>
    </row>
    <row r="195" spans="1:7">
      <c r="A195" t="s">
        <v>350</v>
      </c>
      <c r="B195" s="165">
        <v>41907</v>
      </c>
      <c r="C195" t="s">
        <v>355</v>
      </c>
      <c r="D195" t="s">
        <v>356</v>
      </c>
      <c r="E195">
        <v>4</v>
      </c>
      <c r="F195" s="166">
        <v>700</v>
      </c>
      <c r="G195">
        <v>2800</v>
      </c>
    </row>
    <row r="196" spans="1:7">
      <c r="A196" t="s">
        <v>350</v>
      </c>
      <c r="B196" s="165">
        <v>41907</v>
      </c>
      <c r="C196" t="s">
        <v>355</v>
      </c>
      <c r="D196" t="s">
        <v>356</v>
      </c>
      <c r="E196">
        <v>6</v>
      </c>
      <c r="F196" s="166">
        <v>680</v>
      </c>
      <c r="G196">
        <v>4080</v>
      </c>
    </row>
    <row r="197" spans="1:7">
      <c r="A197" t="s">
        <v>350</v>
      </c>
      <c r="B197" s="165">
        <v>41907</v>
      </c>
      <c r="C197" t="s">
        <v>355</v>
      </c>
      <c r="D197" t="s">
        <v>356</v>
      </c>
      <c r="E197">
        <v>4</v>
      </c>
      <c r="F197" s="166">
        <v>1245</v>
      </c>
      <c r="G197">
        <v>4980</v>
      </c>
    </row>
    <row r="198" spans="1:7">
      <c r="A198" t="s">
        <v>350</v>
      </c>
      <c r="B198" s="165">
        <v>41907</v>
      </c>
      <c r="C198" t="s">
        <v>355</v>
      </c>
      <c r="D198" t="s">
        <v>356</v>
      </c>
      <c r="E198">
        <v>17</v>
      </c>
      <c r="F198" s="166">
        <v>486.76470588235293</v>
      </c>
      <c r="G198">
        <v>8275</v>
      </c>
    </row>
    <row r="199" spans="1:7">
      <c r="A199" t="s">
        <v>350</v>
      </c>
      <c r="B199" s="165">
        <v>41907</v>
      </c>
      <c r="C199" t="s">
        <v>353</v>
      </c>
      <c r="D199" t="s">
        <v>354</v>
      </c>
      <c r="E199">
        <v>6</v>
      </c>
      <c r="F199" s="166">
        <v>975</v>
      </c>
      <c r="G199">
        <v>5850</v>
      </c>
    </row>
    <row r="200" spans="1:7">
      <c r="A200" t="s">
        <v>350</v>
      </c>
      <c r="B200" s="165">
        <v>41907</v>
      </c>
      <c r="C200" t="s">
        <v>357</v>
      </c>
      <c r="D200" t="s">
        <v>358</v>
      </c>
      <c r="E200">
        <v>1</v>
      </c>
      <c r="F200" s="166">
        <v>300</v>
      </c>
      <c r="G200">
        <v>300</v>
      </c>
    </row>
    <row r="201" spans="1:7">
      <c r="A201" t="s">
        <v>350</v>
      </c>
      <c r="B201" s="165">
        <v>41907</v>
      </c>
      <c r="C201" t="s">
        <v>357</v>
      </c>
      <c r="D201" t="s">
        <v>358</v>
      </c>
      <c r="E201">
        <v>1</v>
      </c>
      <c r="F201" s="166">
        <v>450</v>
      </c>
      <c r="G201">
        <v>450</v>
      </c>
    </row>
    <row r="202" spans="1:7">
      <c r="A202" t="s">
        <v>350</v>
      </c>
      <c r="B202" s="165">
        <v>41907</v>
      </c>
      <c r="C202" t="s">
        <v>357</v>
      </c>
      <c r="D202" t="s">
        <v>358</v>
      </c>
      <c r="E202">
        <v>6</v>
      </c>
      <c r="F202" s="166">
        <v>176.5</v>
      </c>
      <c r="G202">
        <v>1059</v>
      </c>
    </row>
    <row r="203" spans="1:7">
      <c r="A203" t="s">
        <v>350</v>
      </c>
      <c r="B203" s="165">
        <v>41907</v>
      </c>
      <c r="C203" t="s">
        <v>357</v>
      </c>
      <c r="D203" t="s">
        <v>358</v>
      </c>
      <c r="E203">
        <v>6</v>
      </c>
      <c r="F203" s="166">
        <v>187</v>
      </c>
      <c r="G203">
        <v>1122</v>
      </c>
    </row>
    <row r="204" spans="1:7">
      <c r="A204" t="s">
        <v>350</v>
      </c>
      <c r="B204" s="165">
        <v>41907</v>
      </c>
      <c r="C204" t="s">
        <v>357</v>
      </c>
      <c r="D204" t="s">
        <v>358</v>
      </c>
      <c r="E204">
        <v>3</v>
      </c>
      <c r="F204" s="166">
        <v>385.33333333333331</v>
      </c>
      <c r="G204">
        <v>1156</v>
      </c>
    </row>
    <row r="205" spans="1:7">
      <c r="A205" t="s">
        <v>350</v>
      </c>
      <c r="B205" s="165">
        <v>41907</v>
      </c>
      <c r="C205" t="s">
        <v>357</v>
      </c>
      <c r="D205" t="s">
        <v>358</v>
      </c>
      <c r="E205">
        <v>21</v>
      </c>
      <c r="F205" s="166">
        <v>226.28571428571428</v>
      </c>
      <c r="G205">
        <v>4752</v>
      </c>
    </row>
    <row r="206" spans="1:7">
      <c r="A206" t="s">
        <v>350</v>
      </c>
      <c r="B206" s="165">
        <v>41907</v>
      </c>
      <c r="C206" t="s">
        <v>357</v>
      </c>
      <c r="D206" t="s">
        <v>358</v>
      </c>
      <c r="E206">
        <v>13</v>
      </c>
      <c r="F206" s="166">
        <v>386</v>
      </c>
      <c r="G206">
        <v>5018</v>
      </c>
    </row>
    <row r="207" spans="1:7">
      <c r="A207" t="s">
        <v>350</v>
      </c>
      <c r="B207" s="165">
        <v>41907</v>
      </c>
      <c r="C207" t="s">
        <v>357</v>
      </c>
      <c r="D207" t="s">
        <v>358</v>
      </c>
      <c r="E207">
        <v>52</v>
      </c>
      <c r="F207" s="166">
        <v>500</v>
      </c>
      <c r="G207">
        <v>26000</v>
      </c>
    </row>
    <row r="208" spans="1:7">
      <c r="A208" t="s">
        <v>350</v>
      </c>
      <c r="B208" s="165">
        <v>41907</v>
      </c>
      <c r="C208" t="s">
        <v>351</v>
      </c>
      <c r="D208" t="s">
        <v>352</v>
      </c>
      <c r="E208">
        <v>9</v>
      </c>
      <c r="F208" s="166">
        <v>200</v>
      </c>
      <c r="G208">
        <v>1800</v>
      </c>
    </row>
    <row r="209" spans="1:7">
      <c r="A209" t="s">
        <v>350</v>
      </c>
      <c r="B209" s="165">
        <v>41907</v>
      </c>
      <c r="C209" t="s">
        <v>351</v>
      </c>
      <c r="D209" t="s">
        <v>352</v>
      </c>
      <c r="E209">
        <v>11</v>
      </c>
      <c r="F209" s="166">
        <v>590.90909090909088</v>
      </c>
      <c r="G209">
        <v>6500</v>
      </c>
    </row>
    <row r="210" spans="1:7">
      <c r="A210" t="s">
        <v>350</v>
      </c>
      <c r="B210" s="165">
        <v>41907</v>
      </c>
      <c r="C210" t="s">
        <v>351</v>
      </c>
      <c r="D210" t="s">
        <v>352</v>
      </c>
      <c r="E210">
        <v>17</v>
      </c>
      <c r="F210" s="166">
        <v>560</v>
      </c>
      <c r="G210">
        <v>9520</v>
      </c>
    </row>
    <row r="211" spans="1:7">
      <c r="A211" t="s">
        <v>350</v>
      </c>
      <c r="B211" s="165">
        <v>41921</v>
      </c>
      <c r="C211" t="s">
        <v>359</v>
      </c>
      <c r="D211" t="s">
        <v>360</v>
      </c>
      <c r="E211">
        <v>2</v>
      </c>
      <c r="F211" s="166">
        <v>544</v>
      </c>
      <c r="G211">
        <v>1088</v>
      </c>
    </row>
    <row r="212" spans="1:7">
      <c r="A212" t="s">
        <v>350</v>
      </c>
      <c r="B212" s="165">
        <v>41921</v>
      </c>
      <c r="C212" t="s">
        <v>355</v>
      </c>
      <c r="D212" t="s">
        <v>356</v>
      </c>
      <c r="E212">
        <v>3</v>
      </c>
      <c r="F212" s="166">
        <v>544</v>
      </c>
      <c r="G212">
        <v>1632</v>
      </c>
    </row>
    <row r="213" spans="1:7">
      <c r="A213" t="s">
        <v>350</v>
      </c>
      <c r="B213" s="165">
        <v>41921</v>
      </c>
      <c r="C213" t="s">
        <v>355</v>
      </c>
      <c r="D213" t="s">
        <v>356</v>
      </c>
      <c r="E213">
        <v>7</v>
      </c>
      <c r="F213" s="166">
        <v>1245</v>
      </c>
      <c r="G213">
        <v>8715</v>
      </c>
    </row>
    <row r="214" spans="1:7">
      <c r="A214" t="s">
        <v>350</v>
      </c>
      <c r="B214" s="165">
        <v>41921</v>
      </c>
      <c r="C214" t="s">
        <v>353</v>
      </c>
      <c r="D214" t="s">
        <v>354</v>
      </c>
      <c r="E214">
        <v>11</v>
      </c>
      <c r="F214" s="166">
        <v>915.90909090909088</v>
      </c>
      <c r="G214">
        <v>10075</v>
      </c>
    </row>
    <row r="215" spans="1:7">
      <c r="A215" t="s">
        <v>350</v>
      </c>
      <c r="B215" s="165">
        <v>41921</v>
      </c>
      <c r="C215" t="s">
        <v>353</v>
      </c>
      <c r="D215" t="s">
        <v>354</v>
      </c>
      <c r="E215">
        <v>20</v>
      </c>
      <c r="F215" s="166">
        <v>1733</v>
      </c>
      <c r="G215">
        <v>34660</v>
      </c>
    </row>
    <row r="216" spans="1:7">
      <c r="A216" t="s">
        <v>350</v>
      </c>
      <c r="B216" s="165">
        <v>41921</v>
      </c>
      <c r="C216" t="s">
        <v>357</v>
      </c>
      <c r="D216" t="s">
        <v>358</v>
      </c>
      <c r="E216">
        <v>1</v>
      </c>
      <c r="F216" s="166">
        <v>250</v>
      </c>
      <c r="G216">
        <v>250</v>
      </c>
    </row>
    <row r="217" spans="1:7">
      <c r="A217" t="s">
        <v>350</v>
      </c>
      <c r="B217" s="165">
        <v>41921</v>
      </c>
      <c r="C217" t="s">
        <v>351</v>
      </c>
      <c r="D217" t="s">
        <v>352</v>
      </c>
      <c r="E217">
        <v>9</v>
      </c>
      <c r="F217" s="166">
        <v>561.11111111111109</v>
      </c>
      <c r="G217">
        <v>5050</v>
      </c>
    </row>
    <row r="218" spans="1:7">
      <c r="A218" t="s">
        <v>350</v>
      </c>
      <c r="B218" s="165">
        <v>41921</v>
      </c>
      <c r="C218" t="s">
        <v>351</v>
      </c>
      <c r="D218" t="s">
        <v>352</v>
      </c>
      <c r="E218">
        <v>14</v>
      </c>
      <c r="F218" s="166">
        <v>696.42857142857144</v>
      </c>
      <c r="G218">
        <v>9750</v>
      </c>
    </row>
    <row r="219" spans="1:7">
      <c r="A219" t="s">
        <v>350</v>
      </c>
      <c r="B219" s="165">
        <v>41928</v>
      </c>
      <c r="C219" t="s">
        <v>351</v>
      </c>
      <c r="D219" t="s">
        <v>352</v>
      </c>
      <c r="E219">
        <v>7</v>
      </c>
      <c r="F219" s="166">
        <v>359.28571428571428</v>
      </c>
      <c r="G219">
        <v>2515</v>
      </c>
    </row>
    <row r="220" spans="1:7">
      <c r="A220" t="s">
        <v>350</v>
      </c>
      <c r="B220" s="165">
        <v>41936</v>
      </c>
      <c r="C220" t="s">
        <v>359</v>
      </c>
      <c r="D220" t="s">
        <v>360</v>
      </c>
      <c r="E220">
        <v>1</v>
      </c>
      <c r="F220" s="166">
        <v>441</v>
      </c>
      <c r="G220">
        <v>441</v>
      </c>
    </row>
    <row r="221" spans="1:7">
      <c r="A221" t="s">
        <v>350</v>
      </c>
      <c r="B221" s="165">
        <v>41936</v>
      </c>
      <c r="C221" t="s">
        <v>355</v>
      </c>
      <c r="D221" t="s">
        <v>356</v>
      </c>
      <c r="E221">
        <v>4</v>
      </c>
      <c r="F221" s="166">
        <v>750</v>
      </c>
      <c r="G221">
        <v>3000</v>
      </c>
    </row>
    <row r="222" spans="1:7">
      <c r="A222" t="s">
        <v>350</v>
      </c>
      <c r="B222" s="165">
        <v>41936</v>
      </c>
      <c r="C222" t="s">
        <v>355</v>
      </c>
      <c r="D222" t="s">
        <v>356</v>
      </c>
      <c r="E222">
        <v>8</v>
      </c>
      <c r="F222" s="166">
        <v>381.375</v>
      </c>
      <c r="G222">
        <v>3051</v>
      </c>
    </row>
    <row r="223" spans="1:7">
      <c r="A223" t="s">
        <v>350</v>
      </c>
      <c r="B223" s="165">
        <v>41936</v>
      </c>
      <c r="C223" t="s">
        <v>355</v>
      </c>
      <c r="D223" t="s">
        <v>356</v>
      </c>
      <c r="E223">
        <v>11</v>
      </c>
      <c r="F223" s="166">
        <v>412</v>
      </c>
      <c r="G223">
        <v>4532</v>
      </c>
    </row>
    <row r="224" spans="1:7">
      <c r="A224" t="s">
        <v>350</v>
      </c>
      <c r="B224" s="165">
        <v>41936</v>
      </c>
      <c r="C224" t="s">
        <v>355</v>
      </c>
      <c r="D224" t="s">
        <v>356</v>
      </c>
      <c r="E224">
        <v>12</v>
      </c>
      <c r="F224" s="166">
        <v>414.41666666666669</v>
      </c>
      <c r="G224">
        <v>4973</v>
      </c>
    </row>
    <row r="225" spans="1:7">
      <c r="A225" t="s">
        <v>350</v>
      </c>
      <c r="B225" s="165">
        <v>41936</v>
      </c>
      <c r="C225" t="s">
        <v>355</v>
      </c>
      <c r="D225" t="s">
        <v>356</v>
      </c>
      <c r="E225">
        <v>12</v>
      </c>
      <c r="F225" s="166">
        <v>414.41666666666669</v>
      </c>
      <c r="G225">
        <v>4973</v>
      </c>
    </row>
    <row r="226" spans="1:7">
      <c r="A226" t="s">
        <v>350</v>
      </c>
      <c r="B226" s="165">
        <v>41936</v>
      </c>
      <c r="C226" t="s">
        <v>353</v>
      </c>
      <c r="D226" t="s">
        <v>354</v>
      </c>
      <c r="E226">
        <v>4</v>
      </c>
      <c r="F226" s="166">
        <v>1070</v>
      </c>
      <c r="G226">
        <v>4280</v>
      </c>
    </row>
    <row r="227" spans="1:7">
      <c r="A227" t="s">
        <v>350</v>
      </c>
      <c r="B227" s="165">
        <v>41936</v>
      </c>
      <c r="C227" t="s">
        <v>353</v>
      </c>
      <c r="D227" t="s">
        <v>354</v>
      </c>
      <c r="E227">
        <v>14</v>
      </c>
      <c r="F227" s="166">
        <v>1094.7857142857142</v>
      </c>
      <c r="G227">
        <v>15327</v>
      </c>
    </row>
    <row r="228" spans="1:7">
      <c r="A228" t="s">
        <v>350</v>
      </c>
      <c r="B228" s="165">
        <v>41936</v>
      </c>
      <c r="C228" t="s">
        <v>357</v>
      </c>
      <c r="D228" t="s">
        <v>358</v>
      </c>
      <c r="E228">
        <v>1</v>
      </c>
      <c r="F228" s="166">
        <v>479</v>
      </c>
      <c r="G228">
        <v>479</v>
      </c>
    </row>
    <row r="229" spans="1:7">
      <c r="A229" t="s">
        <v>350</v>
      </c>
      <c r="B229" s="165">
        <v>41936</v>
      </c>
      <c r="C229" t="s">
        <v>351</v>
      </c>
      <c r="D229" t="s">
        <v>352</v>
      </c>
      <c r="E229">
        <v>3</v>
      </c>
      <c r="F229" s="166">
        <v>200</v>
      </c>
      <c r="G229">
        <v>600</v>
      </c>
    </row>
    <row r="230" spans="1:7">
      <c r="A230" t="s">
        <v>350</v>
      </c>
      <c r="B230" s="165">
        <v>41936</v>
      </c>
      <c r="C230" t="s">
        <v>351</v>
      </c>
      <c r="D230" t="s">
        <v>352</v>
      </c>
      <c r="E230">
        <v>2</v>
      </c>
      <c r="F230" s="166">
        <v>323</v>
      </c>
      <c r="G230">
        <v>646</v>
      </c>
    </row>
    <row r="231" spans="1:7">
      <c r="A231" t="s">
        <v>350</v>
      </c>
      <c r="B231" s="165">
        <v>41936</v>
      </c>
      <c r="C231" t="s">
        <v>351</v>
      </c>
      <c r="D231" t="s">
        <v>352</v>
      </c>
      <c r="E231">
        <v>5</v>
      </c>
      <c r="F231" s="166">
        <v>600</v>
      </c>
      <c r="G231">
        <v>3000</v>
      </c>
    </row>
    <row r="232" spans="1:7">
      <c r="A232" t="s">
        <v>350</v>
      </c>
      <c r="B232" s="165">
        <v>41936</v>
      </c>
      <c r="C232" t="s">
        <v>351</v>
      </c>
      <c r="D232" t="s">
        <v>352</v>
      </c>
      <c r="E232">
        <v>12</v>
      </c>
      <c r="F232" s="166">
        <v>489</v>
      </c>
      <c r="G232">
        <v>5868</v>
      </c>
    </row>
    <row r="233" spans="1:7">
      <c r="A233" t="s">
        <v>350</v>
      </c>
      <c r="B233" s="165">
        <v>41936</v>
      </c>
      <c r="C233" t="s">
        <v>351</v>
      </c>
      <c r="D233" t="s">
        <v>352</v>
      </c>
      <c r="E233">
        <v>8</v>
      </c>
      <c r="F233" s="166">
        <v>787.875</v>
      </c>
      <c r="G233">
        <v>6303</v>
      </c>
    </row>
    <row r="234" spans="1:7">
      <c r="A234" t="s">
        <v>350</v>
      </c>
      <c r="B234" s="165">
        <v>41936</v>
      </c>
      <c r="C234" t="s">
        <v>351</v>
      </c>
      <c r="D234" t="s">
        <v>352</v>
      </c>
      <c r="E234">
        <v>10</v>
      </c>
      <c r="F234" s="166">
        <v>637</v>
      </c>
      <c r="G234">
        <v>6370</v>
      </c>
    </row>
    <row r="235" spans="1:7">
      <c r="A235" t="s">
        <v>350</v>
      </c>
      <c r="B235" s="165">
        <v>41943</v>
      </c>
      <c r="C235" t="s">
        <v>359</v>
      </c>
      <c r="D235" t="s">
        <v>360</v>
      </c>
      <c r="E235">
        <v>3</v>
      </c>
      <c r="F235" s="166">
        <v>722</v>
      </c>
      <c r="G235">
        <v>2166</v>
      </c>
    </row>
    <row r="236" spans="1:7">
      <c r="A236" t="s">
        <v>350</v>
      </c>
      <c r="B236" s="165">
        <v>41943</v>
      </c>
      <c r="C236" t="s">
        <v>359</v>
      </c>
      <c r="D236" t="s">
        <v>360</v>
      </c>
      <c r="E236">
        <v>10</v>
      </c>
      <c r="F236" s="166">
        <v>675</v>
      </c>
      <c r="G236">
        <v>6750</v>
      </c>
    </row>
    <row r="237" spans="1:7">
      <c r="A237" t="s">
        <v>350</v>
      </c>
      <c r="B237" s="165">
        <v>41943</v>
      </c>
      <c r="C237" t="s">
        <v>355</v>
      </c>
      <c r="D237" t="s">
        <v>356</v>
      </c>
      <c r="E237">
        <v>2</v>
      </c>
      <c r="F237" s="166">
        <v>815</v>
      </c>
      <c r="G237">
        <v>1630</v>
      </c>
    </row>
    <row r="238" spans="1:7">
      <c r="A238" t="s">
        <v>350</v>
      </c>
      <c r="B238" s="165">
        <v>41943</v>
      </c>
      <c r="C238" t="s">
        <v>355</v>
      </c>
      <c r="D238" t="s">
        <v>356</v>
      </c>
      <c r="E238">
        <v>15</v>
      </c>
      <c r="F238" s="166">
        <v>299</v>
      </c>
      <c r="G238">
        <v>4485</v>
      </c>
    </row>
    <row r="239" spans="1:7">
      <c r="A239" t="s">
        <v>350</v>
      </c>
      <c r="B239" s="165">
        <v>41943</v>
      </c>
      <c r="C239" t="s">
        <v>355</v>
      </c>
      <c r="D239" t="s">
        <v>356</v>
      </c>
      <c r="E239">
        <v>12</v>
      </c>
      <c r="F239" s="166">
        <v>434.58333333333331</v>
      </c>
      <c r="G239">
        <v>5215</v>
      </c>
    </row>
    <row r="240" spans="1:7">
      <c r="A240" t="s">
        <v>350</v>
      </c>
      <c r="B240" s="165">
        <v>41943</v>
      </c>
      <c r="C240" t="s">
        <v>355</v>
      </c>
      <c r="D240" t="s">
        <v>356</v>
      </c>
      <c r="E240">
        <v>12</v>
      </c>
      <c r="F240" s="166">
        <v>445.08333333333331</v>
      </c>
      <c r="G240">
        <v>5341</v>
      </c>
    </row>
    <row r="241" spans="1:7">
      <c r="A241" t="s">
        <v>350</v>
      </c>
      <c r="B241" s="165">
        <v>41943</v>
      </c>
      <c r="C241" t="s">
        <v>355</v>
      </c>
      <c r="D241" t="s">
        <v>356</v>
      </c>
      <c r="E241">
        <v>16</v>
      </c>
      <c r="F241" s="166">
        <v>446.4375</v>
      </c>
      <c r="G241">
        <v>7143</v>
      </c>
    </row>
    <row r="242" spans="1:7">
      <c r="A242" t="s">
        <v>350</v>
      </c>
      <c r="B242" s="165">
        <v>41943</v>
      </c>
      <c r="C242" t="s">
        <v>355</v>
      </c>
      <c r="D242" t="s">
        <v>356</v>
      </c>
      <c r="E242">
        <v>24</v>
      </c>
      <c r="F242" s="166">
        <v>438.70833333333331</v>
      </c>
      <c r="G242">
        <v>10529</v>
      </c>
    </row>
    <row r="243" spans="1:7">
      <c r="A243" t="s">
        <v>350</v>
      </c>
      <c r="B243" s="165">
        <v>41943</v>
      </c>
      <c r="C243" t="s">
        <v>355</v>
      </c>
      <c r="D243" t="s">
        <v>356</v>
      </c>
      <c r="E243">
        <v>24</v>
      </c>
      <c r="F243" s="166">
        <v>445</v>
      </c>
      <c r="G243">
        <v>10680</v>
      </c>
    </row>
    <row r="244" spans="1:7">
      <c r="A244" t="s">
        <v>350</v>
      </c>
      <c r="B244" s="165">
        <v>41943</v>
      </c>
      <c r="C244" t="s">
        <v>353</v>
      </c>
      <c r="D244" t="s">
        <v>354</v>
      </c>
      <c r="E244">
        <v>2</v>
      </c>
      <c r="F244" s="166">
        <v>880</v>
      </c>
      <c r="G244">
        <v>1760</v>
      </c>
    </row>
    <row r="245" spans="1:7">
      <c r="A245" t="s">
        <v>350</v>
      </c>
      <c r="B245" s="165">
        <v>41943</v>
      </c>
      <c r="C245" t="s">
        <v>353</v>
      </c>
      <c r="D245" t="s">
        <v>354</v>
      </c>
      <c r="E245">
        <v>2</v>
      </c>
      <c r="F245" s="166">
        <v>880</v>
      </c>
      <c r="G245">
        <v>1760</v>
      </c>
    </row>
    <row r="246" spans="1:7">
      <c r="A246" t="s">
        <v>350</v>
      </c>
      <c r="B246" s="165">
        <v>41943</v>
      </c>
      <c r="C246" t="s">
        <v>353</v>
      </c>
      <c r="D246" t="s">
        <v>354</v>
      </c>
      <c r="E246">
        <v>4</v>
      </c>
      <c r="F246" s="166">
        <v>497</v>
      </c>
      <c r="G246">
        <v>1988</v>
      </c>
    </row>
    <row r="247" spans="1:7">
      <c r="A247" t="s">
        <v>350</v>
      </c>
      <c r="B247" s="165">
        <v>41943</v>
      </c>
      <c r="C247" t="s">
        <v>353</v>
      </c>
      <c r="D247" t="s">
        <v>354</v>
      </c>
      <c r="E247">
        <v>5</v>
      </c>
      <c r="F247" s="166">
        <v>880</v>
      </c>
      <c r="G247">
        <v>4400</v>
      </c>
    </row>
    <row r="248" spans="1:7">
      <c r="A248" t="s">
        <v>350</v>
      </c>
      <c r="B248" s="165">
        <v>41943</v>
      </c>
      <c r="C248" t="s">
        <v>353</v>
      </c>
      <c r="D248" t="s">
        <v>354</v>
      </c>
      <c r="E248">
        <v>5</v>
      </c>
      <c r="F248" s="166">
        <v>1750</v>
      </c>
      <c r="G248">
        <v>8750</v>
      </c>
    </row>
    <row r="249" spans="1:7">
      <c r="A249" t="s">
        <v>350</v>
      </c>
      <c r="B249" s="165">
        <v>41943</v>
      </c>
      <c r="C249" t="s">
        <v>353</v>
      </c>
      <c r="D249" t="s">
        <v>354</v>
      </c>
      <c r="E249">
        <v>49</v>
      </c>
      <c r="F249" s="166">
        <v>1704.9795918367347</v>
      </c>
      <c r="G249">
        <v>83544</v>
      </c>
    </row>
    <row r="250" spans="1:7">
      <c r="A250" t="s">
        <v>350</v>
      </c>
      <c r="B250" s="165">
        <v>41943</v>
      </c>
      <c r="C250" t="s">
        <v>357</v>
      </c>
      <c r="D250" t="s">
        <v>358</v>
      </c>
      <c r="E250">
        <v>2</v>
      </c>
      <c r="F250" s="166">
        <v>200</v>
      </c>
      <c r="G250">
        <v>400</v>
      </c>
    </row>
    <row r="251" spans="1:7">
      <c r="A251" t="s">
        <v>350</v>
      </c>
      <c r="B251" s="165">
        <v>41943</v>
      </c>
      <c r="C251" t="s">
        <v>357</v>
      </c>
      <c r="D251" t="s">
        <v>358</v>
      </c>
      <c r="E251">
        <v>3</v>
      </c>
      <c r="F251" s="166">
        <v>260</v>
      </c>
      <c r="G251">
        <v>780</v>
      </c>
    </row>
    <row r="252" spans="1:7">
      <c r="A252" t="s">
        <v>350</v>
      </c>
      <c r="B252" s="165">
        <v>41943</v>
      </c>
      <c r="C252" t="s">
        <v>357</v>
      </c>
      <c r="D252" t="s">
        <v>358</v>
      </c>
      <c r="E252">
        <v>21</v>
      </c>
      <c r="F252" s="166">
        <v>265.66666666666669</v>
      </c>
      <c r="G252">
        <v>5579</v>
      </c>
    </row>
    <row r="253" spans="1:7">
      <c r="A253" t="s">
        <v>350</v>
      </c>
      <c r="B253" s="165">
        <v>41943</v>
      </c>
      <c r="C253" t="s">
        <v>351</v>
      </c>
      <c r="D253" t="s">
        <v>352</v>
      </c>
      <c r="E253">
        <v>2</v>
      </c>
      <c r="F253" s="166">
        <v>198.5</v>
      </c>
      <c r="G253">
        <v>397</v>
      </c>
    </row>
    <row r="254" spans="1:7">
      <c r="A254" t="s">
        <v>350</v>
      </c>
      <c r="B254" s="165">
        <v>41943</v>
      </c>
      <c r="C254" t="s">
        <v>351</v>
      </c>
      <c r="D254" t="s">
        <v>352</v>
      </c>
      <c r="E254">
        <v>3</v>
      </c>
      <c r="F254" s="166">
        <v>399</v>
      </c>
      <c r="G254">
        <v>1197</v>
      </c>
    </row>
    <row r="255" spans="1:7">
      <c r="A255" t="s">
        <v>350</v>
      </c>
      <c r="B255" s="165">
        <v>41943</v>
      </c>
      <c r="C255" t="s">
        <v>351</v>
      </c>
      <c r="D255" t="s">
        <v>352</v>
      </c>
      <c r="E255">
        <v>9</v>
      </c>
      <c r="F255" s="166">
        <v>227.33333333333334</v>
      </c>
      <c r="G255">
        <v>2046</v>
      </c>
    </row>
    <row r="256" spans="1:7">
      <c r="A256" t="s">
        <v>350</v>
      </c>
      <c r="B256" s="165">
        <v>41943</v>
      </c>
      <c r="C256" t="s">
        <v>351</v>
      </c>
      <c r="D256" t="s">
        <v>352</v>
      </c>
      <c r="E256">
        <v>6</v>
      </c>
      <c r="F256" s="166">
        <v>650</v>
      </c>
      <c r="G256">
        <v>3900</v>
      </c>
    </row>
    <row r="257" spans="1:7">
      <c r="A257" t="s">
        <v>350</v>
      </c>
      <c r="B257" s="165">
        <v>41943</v>
      </c>
      <c r="C257" t="s">
        <v>351</v>
      </c>
      <c r="D257" t="s">
        <v>352</v>
      </c>
      <c r="E257">
        <v>15</v>
      </c>
      <c r="F257" s="166">
        <v>722</v>
      </c>
      <c r="G257">
        <v>10830</v>
      </c>
    </row>
    <row r="258" spans="1:7">
      <c r="A258" t="s">
        <v>350</v>
      </c>
      <c r="B258" s="165">
        <v>41949</v>
      </c>
      <c r="C258" t="s">
        <v>359</v>
      </c>
      <c r="D258" t="s">
        <v>360</v>
      </c>
      <c r="E258">
        <v>2</v>
      </c>
      <c r="F258" s="166">
        <v>757</v>
      </c>
      <c r="G258">
        <v>1514</v>
      </c>
    </row>
    <row r="259" spans="1:7">
      <c r="A259" t="s">
        <v>350</v>
      </c>
      <c r="B259" s="165">
        <v>41949</v>
      </c>
      <c r="C259" t="s">
        <v>359</v>
      </c>
      <c r="D259" t="s">
        <v>360</v>
      </c>
      <c r="E259">
        <v>16</v>
      </c>
      <c r="F259" s="166">
        <v>482.5</v>
      </c>
      <c r="G259">
        <v>7720</v>
      </c>
    </row>
    <row r="260" spans="1:7">
      <c r="A260" t="s">
        <v>350</v>
      </c>
      <c r="B260" s="165">
        <v>41949</v>
      </c>
      <c r="C260" t="s">
        <v>355</v>
      </c>
      <c r="D260" t="s">
        <v>356</v>
      </c>
      <c r="E260">
        <v>11</v>
      </c>
      <c r="F260" s="166">
        <v>402.27272727272725</v>
      </c>
      <c r="G260">
        <v>4425</v>
      </c>
    </row>
    <row r="261" spans="1:7">
      <c r="A261" t="s">
        <v>350</v>
      </c>
      <c r="B261" s="165">
        <v>41949</v>
      </c>
      <c r="C261" t="s">
        <v>355</v>
      </c>
      <c r="D261" t="s">
        <v>356</v>
      </c>
      <c r="E261">
        <v>12</v>
      </c>
      <c r="F261" s="166">
        <v>446.41666666666669</v>
      </c>
      <c r="G261">
        <v>5357</v>
      </c>
    </row>
    <row r="262" spans="1:7">
      <c r="A262" t="s">
        <v>350</v>
      </c>
      <c r="B262" s="165">
        <v>41949</v>
      </c>
      <c r="C262" t="s">
        <v>355</v>
      </c>
      <c r="D262" t="s">
        <v>356</v>
      </c>
      <c r="E262">
        <v>7</v>
      </c>
      <c r="F262" s="166">
        <v>1245</v>
      </c>
      <c r="G262">
        <v>8715</v>
      </c>
    </row>
    <row r="263" spans="1:7">
      <c r="A263" t="s">
        <v>350</v>
      </c>
      <c r="B263" s="165">
        <v>41949</v>
      </c>
      <c r="C263" t="s">
        <v>355</v>
      </c>
      <c r="D263" t="s">
        <v>356</v>
      </c>
      <c r="E263">
        <v>33</v>
      </c>
      <c r="F263" s="166">
        <v>912.39393939393938</v>
      </c>
      <c r="G263">
        <v>30109</v>
      </c>
    </row>
    <row r="264" spans="1:7">
      <c r="A264" t="s">
        <v>350</v>
      </c>
      <c r="B264" s="165">
        <v>41949</v>
      </c>
      <c r="C264" t="s">
        <v>353</v>
      </c>
      <c r="D264" t="s">
        <v>354</v>
      </c>
      <c r="E264">
        <v>5</v>
      </c>
      <c r="F264" s="166">
        <v>872.2</v>
      </c>
      <c r="G264">
        <v>4361</v>
      </c>
    </row>
    <row r="265" spans="1:7">
      <c r="A265" t="s">
        <v>350</v>
      </c>
      <c r="B265" s="165">
        <v>41949</v>
      </c>
      <c r="C265" t="s">
        <v>357</v>
      </c>
      <c r="D265" t="s">
        <v>358</v>
      </c>
      <c r="E265">
        <v>2</v>
      </c>
      <c r="F265" s="166">
        <v>350</v>
      </c>
      <c r="G265">
        <v>700</v>
      </c>
    </row>
    <row r="266" spans="1:7">
      <c r="A266" t="s">
        <v>350</v>
      </c>
      <c r="B266" s="165">
        <v>41949</v>
      </c>
      <c r="C266" t="s">
        <v>357</v>
      </c>
      <c r="D266" t="s">
        <v>358</v>
      </c>
      <c r="E266">
        <v>9</v>
      </c>
      <c r="F266" s="166">
        <v>295.11111111111109</v>
      </c>
      <c r="G266">
        <v>2656</v>
      </c>
    </row>
    <row r="267" spans="1:7">
      <c r="A267" t="s">
        <v>350</v>
      </c>
      <c r="B267" s="165">
        <v>41949</v>
      </c>
      <c r="C267" t="s">
        <v>357</v>
      </c>
      <c r="D267" t="s">
        <v>358</v>
      </c>
      <c r="E267">
        <v>10</v>
      </c>
      <c r="F267" s="166">
        <v>320.2</v>
      </c>
      <c r="G267">
        <v>3202</v>
      </c>
    </row>
    <row r="268" spans="1:7">
      <c r="A268" t="s">
        <v>350</v>
      </c>
      <c r="B268" s="165">
        <v>41949</v>
      </c>
      <c r="C268" t="s">
        <v>357</v>
      </c>
      <c r="D268" t="s">
        <v>358</v>
      </c>
      <c r="E268">
        <v>18</v>
      </c>
      <c r="F268" s="166">
        <v>353.33333333333331</v>
      </c>
      <c r="G268">
        <v>6360</v>
      </c>
    </row>
    <row r="269" spans="1:7">
      <c r="A269" t="s">
        <v>350</v>
      </c>
      <c r="B269" s="165">
        <v>41949</v>
      </c>
      <c r="C269" t="s">
        <v>357</v>
      </c>
      <c r="D269" t="s">
        <v>358</v>
      </c>
      <c r="E269">
        <v>27</v>
      </c>
      <c r="F269" s="166">
        <v>452</v>
      </c>
      <c r="G269">
        <v>12204</v>
      </c>
    </row>
    <row r="270" spans="1:7">
      <c r="A270" t="s">
        <v>350</v>
      </c>
      <c r="B270" s="165">
        <v>41949</v>
      </c>
      <c r="C270" t="s">
        <v>351</v>
      </c>
      <c r="D270" t="s">
        <v>352</v>
      </c>
      <c r="E270">
        <v>1</v>
      </c>
      <c r="F270" s="166">
        <v>330</v>
      </c>
      <c r="G270">
        <v>330</v>
      </c>
    </row>
    <row r="271" spans="1:7">
      <c r="A271" t="s">
        <v>350</v>
      </c>
      <c r="B271" s="165">
        <v>41949</v>
      </c>
      <c r="C271" t="s">
        <v>351</v>
      </c>
      <c r="D271" t="s">
        <v>352</v>
      </c>
      <c r="E271">
        <v>2</v>
      </c>
      <c r="F271" s="166">
        <v>350</v>
      </c>
      <c r="G271">
        <v>700</v>
      </c>
    </row>
    <row r="272" spans="1:7">
      <c r="A272" t="s">
        <v>350</v>
      </c>
      <c r="B272" s="165">
        <v>41949</v>
      </c>
      <c r="C272" t="s">
        <v>351</v>
      </c>
      <c r="D272" t="s">
        <v>352</v>
      </c>
      <c r="E272">
        <v>1</v>
      </c>
      <c r="F272" s="166">
        <v>795</v>
      </c>
      <c r="G272">
        <v>795</v>
      </c>
    </row>
    <row r="273" spans="1:7">
      <c r="A273" t="s">
        <v>350</v>
      </c>
      <c r="B273" s="165">
        <v>41949</v>
      </c>
      <c r="C273" t="s">
        <v>351</v>
      </c>
      <c r="D273" t="s">
        <v>352</v>
      </c>
      <c r="E273">
        <v>2</v>
      </c>
      <c r="F273" s="166">
        <v>422.5</v>
      </c>
      <c r="G273">
        <v>845</v>
      </c>
    </row>
    <row r="274" spans="1:7">
      <c r="A274" t="s">
        <v>350</v>
      </c>
      <c r="B274" s="165">
        <v>41949</v>
      </c>
      <c r="C274" t="s">
        <v>351</v>
      </c>
      <c r="D274" t="s">
        <v>352</v>
      </c>
      <c r="E274">
        <v>4</v>
      </c>
      <c r="F274" s="166">
        <v>615</v>
      </c>
      <c r="G274">
        <v>2460</v>
      </c>
    </row>
    <row r="275" spans="1:7">
      <c r="A275" t="s">
        <v>350</v>
      </c>
      <c r="B275" s="165">
        <v>41949</v>
      </c>
      <c r="C275" t="s">
        <v>351</v>
      </c>
      <c r="D275" t="s">
        <v>352</v>
      </c>
      <c r="E275">
        <v>8</v>
      </c>
      <c r="F275" s="166">
        <v>550</v>
      </c>
      <c r="G275">
        <v>4400</v>
      </c>
    </row>
    <row r="276" spans="1:7">
      <c r="A276" t="s">
        <v>350</v>
      </c>
      <c r="B276" s="165">
        <v>41949</v>
      </c>
      <c r="C276" t="s">
        <v>351</v>
      </c>
      <c r="D276" t="s">
        <v>352</v>
      </c>
      <c r="E276">
        <v>13</v>
      </c>
      <c r="F276" s="166">
        <v>392.30769230769232</v>
      </c>
      <c r="G276">
        <v>5100</v>
      </c>
    </row>
    <row r="277" spans="1:7">
      <c r="A277" t="s">
        <v>350</v>
      </c>
      <c r="B277" s="165">
        <v>41949</v>
      </c>
      <c r="C277" t="s">
        <v>351</v>
      </c>
      <c r="D277" t="s">
        <v>352</v>
      </c>
      <c r="E277">
        <v>15</v>
      </c>
      <c r="F277" s="166">
        <v>705.6</v>
      </c>
      <c r="G277">
        <v>10584</v>
      </c>
    </row>
    <row r="278" spans="1:7">
      <c r="A278" t="s">
        <v>350</v>
      </c>
      <c r="B278" s="165">
        <v>41957</v>
      </c>
      <c r="C278" t="s">
        <v>355</v>
      </c>
      <c r="D278" t="s">
        <v>356</v>
      </c>
      <c r="E278">
        <v>2</v>
      </c>
      <c r="F278" s="166">
        <v>360</v>
      </c>
      <c r="G278">
        <v>720</v>
      </c>
    </row>
    <row r="279" spans="1:7">
      <c r="A279" t="s">
        <v>350</v>
      </c>
      <c r="B279" s="165">
        <v>41957</v>
      </c>
      <c r="C279" t="s">
        <v>355</v>
      </c>
      <c r="D279" t="s">
        <v>356</v>
      </c>
      <c r="E279">
        <v>4</v>
      </c>
      <c r="F279" s="166">
        <v>556.75</v>
      </c>
      <c r="G279">
        <v>2227</v>
      </c>
    </row>
    <row r="280" spans="1:7">
      <c r="A280" t="s">
        <v>350</v>
      </c>
      <c r="B280" s="165">
        <v>41957</v>
      </c>
      <c r="C280" t="s">
        <v>355</v>
      </c>
      <c r="D280" t="s">
        <v>356</v>
      </c>
      <c r="E280">
        <v>8</v>
      </c>
      <c r="F280" s="166">
        <v>556.625</v>
      </c>
      <c r="G280">
        <v>4453</v>
      </c>
    </row>
    <row r="281" spans="1:7">
      <c r="A281" t="s">
        <v>350</v>
      </c>
      <c r="B281" s="165">
        <v>41957</v>
      </c>
      <c r="C281" t="s">
        <v>355</v>
      </c>
      <c r="D281" t="s">
        <v>356</v>
      </c>
      <c r="E281">
        <v>8</v>
      </c>
      <c r="F281" s="166">
        <v>556.625</v>
      </c>
      <c r="G281">
        <v>4453</v>
      </c>
    </row>
    <row r="282" spans="1:7">
      <c r="A282" t="s">
        <v>350</v>
      </c>
      <c r="B282" s="165">
        <v>41957</v>
      </c>
      <c r="C282" t="s">
        <v>355</v>
      </c>
      <c r="D282" t="s">
        <v>356</v>
      </c>
      <c r="E282">
        <v>8</v>
      </c>
      <c r="F282" s="166">
        <v>556.625</v>
      </c>
      <c r="G282">
        <v>4453</v>
      </c>
    </row>
    <row r="283" spans="1:7">
      <c r="A283" t="s">
        <v>350</v>
      </c>
      <c r="B283" s="165">
        <v>41957</v>
      </c>
      <c r="C283" t="s">
        <v>355</v>
      </c>
      <c r="D283" t="s">
        <v>356</v>
      </c>
      <c r="E283">
        <v>16</v>
      </c>
      <c r="F283" s="166">
        <v>550</v>
      </c>
      <c r="G283">
        <v>8800</v>
      </c>
    </row>
    <row r="284" spans="1:7">
      <c r="A284" t="s">
        <v>350</v>
      </c>
      <c r="B284" s="165">
        <v>41957</v>
      </c>
      <c r="C284" t="s">
        <v>353</v>
      </c>
      <c r="D284" t="s">
        <v>354</v>
      </c>
      <c r="E284">
        <v>3</v>
      </c>
      <c r="F284" s="166">
        <v>875</v>
      </c>
      <c r="G284">
        <v>2625</v>
      </c>
    </row>
    <row r="285" spans="1:7">
      <c r="A285" t="s">
        <v>350</v>
      </c>
      <c r="B285" s="165">
        <v>41957</v>
      </c>
      <c r="C285" t="s">
        <v>353</v>
      </c>
      <c r="D285" t="s">
        <v>354</v>
      </c>
      <c r="E285">
        <v>4</v>
      </c>
      <c r="F285" s="166">
        <v>846.5</v>
      </c>
      <c r="G285">
        <v>3386</v>
      </c>
    </row>
    <row r="286" spans="1:7">
      <c r="A286" t="s">
        <v>350</v>
      </c>
      <c r="B286" s="165">
        <v>41957</v>
      </c>
      <c r="C286" t="s">
        <v>353</v>
      </c>
      <c r="D286" t="s">
        <v>354</v>
      </c>
      <c r="E286">
        <v>5</v>
      </c>
      <c r="F286" s="166">
        <v>836</v>
      </c>
      <c r="G286">
        <v>4180</v>
      </c>
    </row>
    <row r="287" spans="1:7">
      <c r="A287" t="s">
        <v>350</v>
      </c>
      <c r="B287" s="165">
        <v>41957</v>
      </c>
      <c r="C287" t="s">
        <v>353</v>
      </c>
      <c r="D287" t="s">
        <v>354</v>
      </c>
      <c r="E287">
        <v>6</v>
      </c>
      <c r="F287" s="166">
        <v>828.16666666666663</v>
      </c>
      <c r="G287">
        <v>4969</v>
      </c>
    </row>
    <row r="288" spans="1:7">
      <c r="A288" t="s">
        <v>350</v>
      </c>
      <c r="B288" s="165">
        <v>41957</v>
      </c>
      <c r="C288" t="s">
        <v>353</v>
      </c>
      <c r="D288" t="s">
        <v>354</v>
      </c>
      <c r="E288">
        <v>6</v>
      </c>
      <c r="F288" s="166">
        <v>828.16666666666663</v>
      </c>
      <c r="G288">
        <v>4969</v>
      </c>
    </row>
    <row r="289" spans="1:7">
      <c r="A289" t="s">
        <v>350</v>
      </c>
      <c r="B289" s="165">
        <v>41957</v>
      </c>
      <c r="C289" t="s">
        <v>353</v>
      </c>
      <c r="D289" t="s">
        <v>354</v>
      </c>
      <c r="E289">
        <v>8</v>
      </c>
      <c r="F289" s="166">
        <v>802.875</v>
      </c>
      <c r="G289">
        <v>6423</v>
      </c>
    </row>
    <row r="290" spans="1:7">
      <c r="A290" t="s">
        <v>350</v>
      </c>
      <c r="B290" s="165">
        <v>41957</v>
      </c>
      <c r="C290" t="s">
        <v>353</v>
      </c>
      <c r="D290" t="s">
        <v>354</v>
      </c>
      <c r="E290">
        <v>8</v>
      </c>
      <c r="F290" s="166">
        <v>802.875</v>
      </c>
      <c r="G290">
        <v>6423</v>
      </c>
    </row>
    <row r="291" spans="1:7">
      <c r="A291" t="s">
        <v>350</v>
      </c>
      <c r="B291" s="165">
        <v>41957</v>
      </c>
      <c r="C291" t="s">
        <v>353</v>
      </c>
      <c r="D291" t="s">
        <v>354</v>
      </c>
      <c r="E291">
        <v>9</v>
      </c>
      <c r="F291" s="166">
        <v>794.55555555555554</v>
      </c>
      <c r="G291">
        <v>7151</v>
      </c>
    </row>
    <row r="292" spans="1:7">
      <c r="A292" t="s">
        <v>350</v>
      </c>
      <c r="B292" s="165">
        <v>41957</v>
      </c>
      <c r="C292" t="s">
        <v>353</v>
      </c>
      <c r="D292" t="s">
        <v>354</v>
      </c>
      <c r="E292">
        <v>9</v>
      </c>
      <c r="F292" s="166">
        <v>794.55555555555554</v>
      </c>
      <c r="G292">
        <v>7151</v>
      </c>
    </row>
    <row r="293" spans="1:7">
      <c r="A293" t="s">
        <v>350</v>
      </c>
      <c r="B293" s="165">
        <v>41957</v>
      </c>
      <c r="C293" t="s">
        <v>353</v>
      </c>
      <c r="D293" t="s">
        <v>354</v>
      </c>
      <c r="E293">
        <v>9</v>
      </c>
      <c r="F293" s="166">
        <v>794.55555555555554</v>
      </c>
      <c r="G293">
        <v>7151</v>
      </c>
    </row>
    <row r="294" spans="1:7">
      <c r="A294" t="s">
        <v>350</v>
      </c>
      <c r="B294" s="165">
        <v>41957</v>
      </c>
      <c r="C294" t="s">
        <v>353</v>
      </c>
      <c r="D294" t="s">
        <v>354</v>
      </c>
      <c r="E294">
        <v>11</v>
      </c>
      <c r="F294" s="166">
        <v>782.18181818181813</v>
      </c>
      <c r="G294">
        <v>8604</v>
      </c>
    </row>
    <row r="295" spans="1:7">
      <c r="A295" t="s">
        <v>350</v>
      </c>
      <c r="B295" s="165">
        <v>41957</v>
      </c>
      <c r="C295" t="s">
        <v>353</v>
      </c>
      <c r="D295" t="s">
        <v>354</v>
      </c>
      <c r="E295">
        <v>8</v>
      </c>
      <c r="F295" s="166">
        <v>2400</v>
      </c>
      <c r="G295">
        <v>19200</v>
      </c>
    </row>
    <row r="296" spans="1:7">
      <c r="A296" t="s">
        <v>350</v>
      </c>
      <c r="B296" s="165">
        <v>41957</v>
      </c>
      <c r="C296" t="s">
        <v>357</v>
      </c>
      <c r="D296" t="s">
        <v>358</v>
      </c>
      <c r="E296">
        <v>1</v>
      </c>
      <c r="F296" s="166">
        <v>350</v>
      </c>
      <c r="G296">
        <v>350</v>
      </c>
    </row>
    <row r="297" spans="1:7">
      <c r="A297" t="s">
        <v>350</v>
      </c>
      <c r="B297" s="165">
        <v>41957</v>
      </c>
      <c r="C297" t="s">
        <v>357</v>
      </c>
      <c r="D297" t="s">
        <v>358</v>
      </c>
      <c r="E297">
        <v>1</v>
      </c>
      <c r="F297" s="166">
        <v>370</v>
      </c>
      <c r="G297">
        <v>370</v>
      </c>
    </row>
    <row r="298" spans="1:7">
      <c r="A298" t="s">
        <v>350</v>
      </c>
      <c r="B298" s="165">
        <v>41957</v>
      </c>
      <c r="C298" t="s">
        <v>357</v>
      </c>
      <c r="D298" t="s">
        <v>358</v>
      </c>
      <c r="E298">
        <v>7</v>
      </c>
      <c r="F298" s="166">
        <v>303.28571428571428</v>
      </c>
      <c r="G298">
        <v>2123</v>
      </c>
    </row>
    <row r="299" spans="1:7">
      <c r="A299" t="s">
        <v>350</v>
      </c>
      <c r="B299" s="165">
        <v>41963</v>
      </c>
      <c r="C299" t="s">
        <v>359</v>
      </c>
      <c r="D299" t="s">
        <v>360</v>
      </c>
      <c r="E299">
        <v>1</v>
      </c>
      <c r="F299" s="166">
        <v>385</v>
      </c>
      <c r="G299">
        <v>385</v>
      </c>
    </row>
    <row r="300" spans="1:7">
      <c r="A300" t="s">
        <v>350</v>
      </c>
      <c r="B300" s="165">
        <v>41963</v>
      </c>
      <c r="C300" t="s">
        <v>359</v>
      </c>
      <c r="D300" t="s">
        <v>360</v>
      </c>
      <c r="E300">
        <v>6</v>
      </c>
      <c r="F300" s="166">
        <v>485</v>
      </c>
      <c r="G300">
        <v>2910</v>
      </c>
    </row>
    <row r="301" spans="1:7">
      <c r="A301" t="s">
        <v>350</v>
      </c>
      <c r="B301" s="165">
        <v>41963</v>
      </c>
      <c r="C301" t="s">
        <v>359</v>
      </c>
      <c r="D301" t="s">
        <v>360</v>
      </c>
      <c r="E301">
        <v>5</v>
      </c>
      <c r="F301" s="166">
        <v>650</v>
      </c>
      <c r="G301">
        <v>3250</v>
      </c>
    </row>
    <row r="302" spans="1:7">
      <c r="A302" t="s">
        <v>350</v>
      </c>
      <c r="B302" s="165">
        <v>41963</v>
      </c>
      <c r="C302" t="s">
        <v>359</v>
      </c>
      <c r="D302" t="s">
        <v>360</v>
      </c>
      <c r="E302">
        <v>6</v>
      </c>
      <c r="F302" s="166">
        <v>1100</v>
      </c>
      <c r="G302">
        <v>6600</v>
      </c>
    </row>
    <row r="303" spans="1:7">
      <c r="A303" t="s">
        <v>350</v>
      </c>
      <c r="B303" s="165">
        <v>41963</v>
      </c>
      <c r="C303" t="s">
        <v>355</v>
      </c>
      <c r="D303" t="s">
        <v>356</v>
      </c>
      <c r="E303">
        <v>1</v>
      </c>
      <c r="F303" s="166">
        <v>500</v>
      </c>
      <c r="G303">
        <v>500</v>
      </c>
    </row>
    <row r="304" spans="1:7">
      <c r="A304" t="s">
        <v>350</v>
      </c>
      <c r="B304" s="165">
        <v>41963</v>
      </c>
      <c r="C304" t="s">
        <v>355</v>
      </c>
      <c r="D304" t="s">
        <v>356</v>
      </c>
      <c r="E304">
        <v>2</v>
      </c>
      <c r="F304" s="166">
        <v>650</v>
      </c>
      <c r="G304">
        <v>1300</v>
      </c>
    </row>
    <row r="305" spans="1:7">
      <c r="A305" t="s">
        <v>350</v>
      </c>
      <c r="B305" s="165">
        <v>41963</v>
      </c>
      <c r="C305" t="s">
        <v>355</v>
      </c>
      <c r="D305" t="s">
        <v>356</v>
      </c>
      <c r="E305">
        <v>6</v>
      </c>
      <c r="F305" s="166">
        <v>390</v>
      </c>
      <c r="G305">
        <v>2340</v>
      </c>
    </row>
    <row r="306" spans="1:7">
      <c r="A306" t="s">
        <v>350</v>
      </c>
      <c r="B306" s="165">
        <v>41963</v>
      </c>
      <c r="C306" t="s">
        <v>355</v>
      </c>
      <c r="D306" t="s">
        <v>356</v>
      </c>
      <c r="E306">
        <v>7</v>
      </c>
      <c r="F306" s="166">
        <v>482.71428571428572</v>
      </c>
      <c r="G306">
        <v>3379</v>
      </c>
    </row>
    <row r="307" spans="1:7">
      <c r="A307" t="s">
        <v>350</v>
      </c>
      <c r="B307" s="165">
        <v>41963</v>
      </c>
      <c r="C307" t="s">
        <v>355</v>
      </c>
      <c r="D307" t="s">
        <v>356</v>
      </c>
      <c r="E307">
        <v>16</v>
      </c>
      <c r="F307" s="166">
        <v>385</v>
      </c>
      <c r="G307">
        <v>6160</v>
      </c>
    </row>
    <row r="308" spans="1:7">
      <c r="A308" t="s">
        <v>350</v>
      </c>
      <c r="B308" s="165">
        <v>41963</v>
      </c>
      <c r="C308" t="s">
        <v>355</v>
      </c>
      <c r="D308" t="s">
        <v>356</v>
      </c>
      <c r="E308">
        <v>16</v>
      </c>
      <c r="F308" s="166">
        <v>466</v>
      </c>
      <c r="G308">
        <v>7456</v>
      </c>
    </row>
    <row r="309" spans="1:7">
      <c r="A309" t="s">
        <v>350</v>
      </c>
      <c r="B309" s="165">
        <v>41963</v>
      </c>
      <c r="C309" t="s">
        <v>353</v>
      </c>
      <c r="D309" t="s">
        <v>354</v>
      </c>
      <c r="E309">
        <v>4</v>
      </c>
      <c r="F309" s="166">
        <v>999</v>
      </c>
      <c r="G309">
        <v>3996</v>
      </c>
    </row>
    <row r="310" spans="1:7">
      <c r="A310" t="s">
        <v>350</v>
      </c>
      <c r="B310" s="165">
        <v>41963</v>
      </c>
      <c r="C310" t="s">
        <v>353</v>
      </c>
      <c r="D310" t="s">
        <v>354</v>
      </c>
      <c r="E310">
        <v>11</v>
      </c>
      <c r="F310" s="166">
        <v>390</v>
      </c>
      <c r="G310">
        <v>4290</v>
      </c>
    </row>
    <row r="311" spans="1:7">
      <c r="A311" t="s">
        <v>350</v>
      </c>
      <c r="B311" s="165">
        <v>41963</v>
      </c>
      <c r="C311" t="s">
        <v>353</v>
      </c>
      <c r="D311" t="s">
        <v>354</v>
      </c>
      <c r="E311">
        <v>62</v>
      </c>
      <c r="F311" s="166">
        <v>1250</v>
      </c>
      <c r="G311">
        <v>77500</v>
      </c>
    </row>
    <row r="312" spans="1:7">
      <c r="A312" t="s">
        <v>350</v>
      </c>
      <c r="B312" s="165">
        <v>41963</v>
      </c>
      <c r="C312" t="s">
        <v>357</v>
      </c>
      <c r="D312" t="s">
        <v>358</v>
      </c>
      <c r="E312">
        <v>1</v>
      </c>
      <c r="F312" s="166">
        <v>237</v>
      </c>
      <c r="G312">
        <v>237</v>
      </c>
    </row>
    <row r="313" spans="1:7">
      <c r="A313" t="s">
        <v>350</v>
      </c>
      <c r="B313" s="165">
        <v>41963</v>
      </c>
      <c r="C313" t="s">
        <v>357</v>
      </c>
      <c r="D313" t="s">
        <v>358</v>
      </c>
      <c r="E313">
        <v>7</v>
      </c>
      <c r="F313" s="166">
        <v>287</v>
      </c>
      <c r="G313">
        <v>2009</v>
      </c>
    </row>
    <row r="314" spans="1:7">
      <c r="A314" t="s">
        <v>350</v>
      </c>
      <c r="B314" s="165">
        <v>41963</v>
      </c>
      <c r="C314" t="s">
        <v>357</v>
      </c>
      <c r="D314" t="s">
        <v>358</v>
      </c>
      <c r="E314">
        <v>29</v>
      </c>
      <c r="F314" s="166">
        <v>155</v>
      </c>
      <c r="G314">
        <v>4495</v>
      </c>
    </row>
    <row r="315" spans="1:7">
      <c r="A315" t="s">
        <v>350</v>
      </c>
      <c r="B315" s="165">
        <v>41963</v>
      </c>
      <c r="C315" t="s">
        <v>351</v>
      </c>
      <c r="D315" t="s">
        <v>352</v>
      </c>
      <c r="E315">
        <v>1</v>
      </c>
      <c r="F315" s="166">
        <v>385</v>
      </c>
      <c r="G315">
        <v>385</v>
      </c>
    </row>
    <row r="316" spans="1:7">
      <c r="A316" t="s">
        <v>350</v>
      </c>
      <c r="B316" s="165">
        <v>41963</v>
      </c>
      <c r="C316" t="s">
        <v>351</v>
      </c>
      <c r="D316" t="s">
        <v>352</v>
      </c>
      <c r="E316">
        <v>2</v>
      </c>
      <c r="F316" s="166">
        <v>510</v>
      </c>
      <c r="G316">
        <v>1020</v>
      </c>
    </row>
    <row r="317" spans="1:7">
      <c r="A317" t="s">
        <v>350</v>
      </c>
      <c r="B317" s="165">
        <v>41963</v>
      </c>
      <c r="C317" t="s">
        <v>351</v>
      </c>
      <c r="D317" t="s">
        <v>352</v>
      </c>
      <c r="E317">
        <v>2</v>
      </c>
      <c r="F317" s="166">
        <v>552</v>
      </c>
      <c r="G317">
        <v>1104</v>
      </c>
    </row>
    <row r="318" spans="1:7">
      <c r="A318" t="s">
        <v>350</v>
      </c>
      <c r="B318" s="165">
        <v>41963</v>
      </c>
      <c r="C318" t="s">
        <v>351</v>
      </c>
      <c r="D318" t="s">
        <v>352</v>
      </c>
      <c r="E318">
        <v>5</v>
      </c>
      <c r="F318" s="166">
        <v>300</v>
      </c>
      <c r="G318">
        <v>1500</v>
      </c>
    </row>
    <row r="319" spans="1:7">
      <c r="A319" t="s">
        <v>350</v>
      </c>
      <c r="B319" s="165">
        <v>41963</v>
      </c>
      <c r="C319" t="s">
        <v>351</v>
      </c>
      <c r="D319" t="s">
        <v>352</v>
      </c>
      <c r="E319">
        <v>2</v>
      </c>
      <c r="F319" s="166">
        <v>916.5</v>
      </c>
      <c r="G319">
        <v>1833</v>
      </c>
    </row>
    <row r="320" spans="1:7">
      <c r="A320" t="s">
        <v>350</v>
      </c>
      <c r="B320" s="165">
        <v>41963</v>
      </c>
      <c r="C320" t="s">
        <v>351</v>
      </c>
      <c r="D320" t="s">
        <v>352</v>
      </c>
      <c r="E320">
        <v>16</v>
      </c>
      <c r="F320" s="166">
        <v>217.5</v>
      </c>
      <c r="G320">
        <v>3480</v>
      </c>
    </row>
    <row r="321" spans="1:7">
      <c r="A321" t="s">
        <v>350</v>
      </c>
      <c r="B321" s="165">
        <v>41963</v>
      </c>
      <c r="C321" t="s">
        <v>351</v>
      </c>
      <c r="D321" t="s">
        <v>352</v>
      </c>
      <c r="E321">
        <v>13</v>
      </c>
      <c r="F321" s="166">
        <v>366.69230769230768</v>
      </c>
      <c r="G321">
        <v>4767</v>
      </c>
    </row>
    <row r="322" spans="1:7">
      <c r="A322" t="s">
        <v>350</v>
      </c>
      <c r="B322" s="165">
        <v>41963</v>
      </c>
      <c r="C322" t="s">
        <v>351</v>
      </c>
      <c r="D322" t="s">
        <v>352</v>
      </c>
      <c r="E322">
        <v>11</v>
      </c>
      <c r="F322" s="166">
        <v>654.5454545454545</v>
      </c>
      <c r="G322">
        <v>7200</v>
      </c>
    </row>
    <row r="323" spans="1:7">
      <c r="A323" t="s">
        <v>350</v>
      </c>
      <c r="B323" s="165">
        <v>41963</v>
      </c>
      <c r="C323" t="s">
        <v>351</v>
      </c>
      <c r="D323" t="s">
        <v>352</v>
      </c>
      <c r="E323">
        <v>13</v>
      </c>
      <c r="F323" s="166">
        <v>714</v>
      </c>
      <c r="G323">
        <v>9282</v>
      </c>
    </row>
    <row r="324" spans="1:7">
      <c r="A324" t="s">
        <v>350</v>
      </c>
      <c r="B324" s="165">
        <v>41963</v>
      </c>
      <c r="C324" t="s">
        <v>351</v>
      </c>
      <c r="D324" t="s">
        <v>352</v>
      </c>
      <c r="E324">
        <v>17</v>
      </c>
      <c r="F324" s="166">
        <v>733.35294117647061</v>
      </c>
      <c r="G324">
        <v>12467</v>
      </c>
    </row>
    <row r="325" spans="1:7">
      <c r="A325" t="s">
        <v>350</v>
      </c>
      <c r="B325" s="165">
        <v>41971</v>
      </c>
      <c r="C325" t="s">
        <v>359</v>
      </c>
      <c r="D325" t="s">
        <v>360</v>
      </c>
      <c r="E325">
        <v>2</v>
      </c>
      <c r="F325" s="166">
        <v>448</v>
      </c>
      <c r="G325">
        <v>896</v>
      </c>
    </row>
    <row r="326" spans="1:7">
      <c r="A326" t="s">
        <v>350</v>
      </c>
      <c r="B326" s="165">
        <v>41971</v>
      </c>
      <c r="C326" t="s">
        <v>359</v>
      </c>
      <c r="D326" t="s">
        <v>360</v>
      </c>
      <c r="E326">
        <v>11</v>
      </c>
      <c r="F326" s="166">
        <v>680</v>
      </c>
      <c r="G326">
        <v>7480</v>
      </c>
    </row>
    <row r="327" spans="1:7">
      <c r="A327" t="s">
        <v>350</v>
      </c>
      <c r="B327" s="165">
        <v>41971</v>
      </c>
      <c r="C327" t="s">
        <v>357</v>
      </c>
      <c r="D327" t="s">
        <v>358</v>
      </c>
      <c r="E327">
        <v>1</v>
      </c>
      <c r="F327" s="166">
        <v>420</v>
      </c>
      <c r="G327">
        <v>420</v>
      </c>
    </row>
    <row r="328" spans="1:7">
      <c r="A328" t="s">
        <v>350</v>
      </c>
      <c r="B328" s="165">
        <v>41971</v>
      </c>
      <c r="C328" t="s">
        <v>357</v>
      </c>
      <c r="D328" t="s">
        <v>358</v>
      </c>
      <c r="E328">
        <v>5</v>
      </c>
      <c r="F328" s="166">
        <v>175</v>
      </c>
      <c r="G328">
        <v>875</v>
      </c>
    </row>
    <row r="329" spans="1:7">
      <c r="A329" t="s">
        <v>350</v>
      </c>
      <c r="B329" s="165">
        <v>41971</v>
      </c>
      <c r="C329" t="s">
        <v>351</v>
      </c>
      <c r="D329" t="s">
        <v>352</v>
      </c>
      <c r="E329">
        <v>1</v>
      </c>
      <c r="F329" s="166">
        <v>685</v>
      </c>
      <c r="G329">
        <v>685</v>
      </c>
    </row>
    <row r="330" spans="1:7">
      <c r="A330" t="s">
        <v>350</v>
      </c>
      <c r="B330" s="165">
        <v>41971</v>
      </c>
      <c r="C330" t="s">
        <v>351</v>
      </c>
      <c r="D330" t="s">
        <v>352</v>
      </c>
      <c r="E330">
        <v>8</v>
      </c>
      <c r="F330" s="166">
        <v>306</v>
      </c>
      <c r="G330">
        <v>2448</v>
      </c>
    </row>
    <row r="331" spans="1:7">
      <c r="A331" t="s">
        <v>350</v>
      </c>
      <c r="B331" s="165">
        <v>41971</v>
      </c>
      <c r="C331" t="s">
        <v>351</v>
      </c>
      <c r="D331" t="s">
        <v>352</v>
      </c>
      <c r="E331">
        <v>9</v>
      </c>
      <c r="F331" s="166">
        <v>448</v>
      </c>
      <c r="G331">
        <v>4032</v>
      </c>
    </row>
    <row r="332" spans="1:7">
      <c r="A332" t="s">
        <v>350</v>
      </c>
      <c r="B332" s="165">
        <v>41977</v>
      </c>
      <c r="C332" t="s">
        <v>355</v>
      </c>
      <c r="D332" t="s">
        <v>356</v>
      </c>
      <c r="E332">
        <v>9</v>
      </c>
      <c r="F332" s="166">
        <v>1144.4444444444443</v>
      </c>
      <c r="G332">
        <v>10300</v>
      </c>
    </row>
    <row r="333" spans="1:7">
      <c r="A333" t="s">
        <v>350</v>
      </c>
      <c r="B333" s="165">
        <v>41977</v>
      </c>
      <c r="C333" t="s">
        <v>353</v>
      </c>
      <c r="D333" t="s">
        <v>354</v>
      </c>
      <c r="E333">
        <v>9</v>
      </c>
      <c r="F333" s="166">
        <v>794.55555555555554</v>
      </c>
      <c r="G333">
        <v>7151</v>
      </c>
    </row>
    <row r="334" spans="1:7">
      <c r="A334" t="s">
        <v>350</v>
      </c>
      <c r="B334" s="165">
        <v>41977</v>
      </c>
      <c r="C334" t="s">
        <v>361</v>
      </c>
      <c r="D334" t="s">
        <v>362</v>
      </c>
      <c r="E334">
        <v>5</v>
      </c>
      <c r="F334" s="166">
        <v>975</v>
      </c>
      <c r="G334">
        <v>4875</v>
      </c>
    </row>
    <row r="335" spans="1:7">
      <c r="A335" t="s">
        <v>350</v>
      </c>
      <c r="B335" s="165">
        <v>41977</v>
      </c>
      <c r="C335" t="s">
        <v>357</v>
      </c>
      <c r="D335" t="s">
        <v>358</v>
      </c>
      <c r="E335">
        <v>2</v>
      </c>
      <c r="F335" s="166">
        <v>132.5</v>
      </c>
      <c r="G335">
        <v>265</v>
      </c>
    </row>
    <row r="336" spans="1:7">
      <c r="A336" t="s">
        <v>350</v>
      </c>
      <c r="B336" s="165">
        <v>41977</v>
      </c>
      <c r="C336" t="s">
        <v>357</v>
      </c>
      <c r="D336" t="s">
        <v>358</v>
      </c>
      <c r="E336">
        <v>4</v>
      </c>
      <c r="F336" s="166">
        <v>375</v>
      </c>
      <c r="G336">
        <v>1500</v>
      </c>
    </row>
    <row r="337" spans="1:7">
      <c r="A337" t="s">
        <v>350</v>
      </c>
      <c r="B337" s="165">
        <v>41977</v>
      </c>
      <c r="C337" t="s">
        <v>357</v>
      </c>
      <c r="D337" t="s">
        <v>358</v>
      </c>
      <c r="E337">
        <v>6</v>
      </c>
      <c r="F337" s="166">
        <v>400.16666666666669</v>
      </c>
      <c r="G337">
        <v>2401</v>
      </c>
    </row>
    <row r="338" spans="1:7">
      <c r="A338" t="s">
        <v>350</v>
      </c>
      <c r="B338" s="165">
        <v>41977</v>
      </c>
      <c r="C338" t="s">
        <v>351</v>
      </c>
      <c r="D338" t="s">
        <v>352</v>
      </c>
      <c r="E338">
        <v>4</v>
      </c>
      <c r="F338" s="166">
        <v>296</v>
      </c>
      <c r="G338">
        <v>1184</v>
      </c>
    </row>
    <row r="339" spans="1:7">
      <c r="A339" t="s">
        <v>350</v>
      </c>
      <c r="B339" s="165">
        <v>41977</v>
      </c>
      <c r="C339" t="s">
        <v>351</v>
      </c>
      <c r="D339" t="s">
        <v>352</v>
      </c>
      <c r="E339">
        <v>14</v>
      </c>
      <c r="F339" s="166">
        <v>450</v>
      </c>
      <c r="G339">
        <v>6300</v>
      </c>
    </row>
    <row r="340" spans="1:7">
      <c r="A340" t="s">
        <v>350</v>
      </c>
      <c r="B340" s="165">
        <v>41984</v>
      </c>
      <c r="C340" t="s">
        <v>357</v>
      </c>
      <c r="D340" t="s">
        <v>358</v>
      </c>
      <c r="E340">
        <v>3</v>
      </c>
      <c r="F340" s="166">
        <v>176.33333333333334</v>
      </c>
      <c r="G340">
        <v>529</v>
      </c>
    </row>
    <row r="341" spans="1:7">
      <c r="A341" t="s">
        <v>350</v>
      </c>
      <c r="B341" s="165">
        <v>41984</v>
      </c>
      <c r="C341" t="s">
        <v>357</v>
      </c>
      <c r="D341" t="s">
        <v>358</v>
      </c>
      <c r="E341">
        <v>4</v>
      </c>
      <c r="F341" s="166">
        <v>238.75</v>
      </c>
      <c r="G341">
        <v>955</v>
      </c>
    </row>
    <row r="342" spans="1:7">
      <c r="A342" t="s">
        <v>350</v>
      </c>
      <c r="B342" s="165">
        <v>41984</v>
      </c>
      <c r="C342" t="s">
        <v>351</v>
      </c>
      <c r="D342" t="s">
        <v>352</v>
      </c>
      <c r="E342">
        <v>4</v>
      </c>
      <c r="F342" s="166">
        <v>675</v>
      </c>
      <c r="G342">
        <v>2700</v>
      </c>
    </row>
    <row r="343" spans="1:7">
      <c r="A343" t="s">
        <v>350</v>
      </c>
      <c r="B343" s="165">
        <v>41984</v>
      </c>
      <c r="C343" t="s">
        <v>351</v>
      </c>
      <c r="D343" t="s">
        <v>352</v>
      </c>
      <c r="E343">
        <v>6</v>
      </c>
      <c r="F343" s="166">
        <v>630</v>
      </c>
      <c r="G343">
        <v>3780</v>
      </c>
    </row>
    <row r="344" spans="1:7">
      <c r="A344" t="s">
        <v>350</v>
      </c>
      <c r="B344" s="165">
        <v>41991</v>
      </c>
      <c r="C344" t="s">
        <v>359</v>
      </c>
      <c r="D344" t="s">
        <v>360</v>
      </c>
      <c r="E344">
        <v>7</v>
      </c>
      <c r="F344" s="166">
        <v>575</v>
      </c>
      <c r="G344">
        <v>4025</v>
      </c>
    </row>
    <row r="345" spans="1:7">
      <c r="A345" t="s">
        <v>350</v>
      </c>
      <c r="B345" s="165">
        <v>41991</v>
      </c>
      <c r="C345" t="s">
        <v>359</v>
      </c>
      <c r="D345" t="s">
        <v>360</v>
      </c>
      <c r="E345">
        <v>4</v>
      </c>
      <c r="F345" s="166">
        <v>1730</v>
      </c>
      <c r="G345">
        <v>6920</v>
      </c>
    </row>
    <row r="346" spans="1:7">
      <c r="A346" t="s">
        <v>350</v>
      </c>
      <c r="B346" s="165">
        <v>41991</v>
      </c>
      <c r="C346" t="s">
        <v>355</v>
      </c>
      <c r="D346" t="s">
        <v>356</v>
      </c>
      <c r="E346">
        <v>3</v>
      </c>
      <c r="F346" s="166">
        <v>815</v>
      </c>
      <c r="G346">
        <v>2445</v>
      </c>
    </row>
    <row r="347" spans="1:7">
      <c r="A347" t="s">
        <v>350</v>
      </c>
      <c r="B347" s="165">
        <v>41991</v>
      </c>
      <c r="C347" t="s">
        <v>355</v>
      </c>
      <c r="D347" t="s">
        <v>356</v>
      </c>
      <c r="E347">
        <v>6</v>
      </c>
      <c r="F347" s="166">
        <v>839.16666666666663</v>
      </c>
      <c r="G347">
        <v>5035</v>
      </c>
    </row>
    <row r="348" spans="1:7">
      <c r="A348" t="s">
        <v>350</v>
      </c>
      <c r="B348" s="165">
        <v>41991</v>
      </c>
      <c r="C348" t="s">
        <v>353</v>
      </c>
      <c r="D348" t="s">
        <v>354</v>
      </c>
      <c r="E348">
        <v>2</v>
      </c>
      <c r="F348" s="166">
        <v>575</v>
      </c>
      <c r="G348">
        <v>1150</v>
      </c>
    </row>
    <row r="349" spans="1:7">
      <c r="A349" t="s">
        <v>350</v>
      </c>
      <c r="B349" s="165">
        <v>41991</v>
      </c>
      <c r="C349" t="s">
        <v>357</v>
      </c>
      <c r="D349" t="s">
        <v>358</v>
      </c>
      <c r="E349">
        <v>3</v>
      </c>
      <c r="F349" s="166">
        <v>275.33333333333331</v>
      </c>
      <c r="G349">
        <v>826</v>
      </c>
    </row>
    <row r="350" spans="1:7">
      <c r="A350" t="s">
        <v>350</v>
      </c>
      <c r="B350" s="165">
        <v>41991</v>
      </c>
      <c r="C350" t="s">
        <v>351</v>
      </c>
      <c r="D350" t="s">
        <v>352</v>
      </c>
      <c r="E350">
        <v>4</v>
      </c>
      <c r="F350" s="166">
        <v>1460.5</v>
      </c>
      <c r="G350">
        <v>5842</v>
      </c>
    </row>
    <row r="351" spans="1:7">
      <c r="A351" t="s">
        <v>350</v>
      </c>
      <c r="B351" s="165">
        <v>41991</v>
      </c>
      <c r="C351" t="s">
        <v>351</v>
      </c>
      <c r="D351" t="s">
        <v>352</v>
      </c>
      <c r="E351">
        <v>31</v>
      </c>
      <c r="F351" s="166">
        <v>321.25806451612902</v>
      </c>
      <c r="G351">
        <v>9959</v>
      </c>
    </row>
    <row r="352" spans="1:7">
      <c r="A352" t="s">
        <v>350</v>
      </c>
      <c r="B352" s="165">
        <v>41991</v>
      </c>
      <c r="C352" t="s">
        <v>351</v>
      </c>
      <c r="D352" t="s">
        <v>352</v>
      </c>
      <c r="E352">
        <v>18</v>
      </c>
      <c r="F352" s="166">
        <v>613.22222222222217</v>
      </c>
      <c r="G352">
        <v>11038</v>
      </c>
    </row>
    <row r="353" spans="1:7">
      <c r="A353" t="s">
        <v>350</v>
      </c>
      <c r="B353" s="165">
        <v>41991</v>
      </c>
      <c r="C353" t="s">
        <v>351</v>
      </c>
      <c r="D353" t="s">
        <v>352</v>
      </c>
      <c r="E353">
        <v>37</v>
      </c>
      <c r="F353" s="166">
        <v>300</v>
      </c>
      <c r="G353">
        <v>11100</v>
      </c>
    </row>
    <row r="354" spans="1:7">
      <c r="A354" t="s">
        <v>350</v>
      </c>
      <c r="B354" s="165">
        <v>41999</v>
      </c>
      <c r="C354" t="s">
        <v>359</v>
      </c>
      <c r="D354" t="s">
        <v>360</v>
      </c>
      <c r="E354">
        <v>1</v>
      </c>
      <c r="F354" s="166">
        <v>537</v>
      </c>
      <c r="G354">
        <v>537</v>
      </c>
    </row>
    <row r="355" spans="1:7">
      <c r="A355" t="s">
        <v>350</v>
      </c>
      <c r="B355" s="165">
        <v>41999</v>
      </c>
      <c r="C355" t="s">
        <v>359</v>
      </c>
      <c r="D355" t="s">
        <v>360</v>
      </c>
      <c r="E355">
        <v>1</v>
      </c>
      <c r="F355" s="166">
        <v>724</v>
      </c>
      <c r="G355">
        <v>724</v>
      </c>
    </row>
    <row r="356" spans="1:7">
      <c r="A356" t="s">
        <v>350</v>
      </c>
      <c r="B356" s="165">
        <v>41999</v>
      </c>
      <c r="C356" t="s">
        <v>359</v>
      </c>
      <c r="D356" t="s">
        <v>360</v>
      </c>
      <c r="E356">
        <v>3</v>
      </c>
      <c r="F356" s="166">
        <v>418.33333333333331</v>
      </c>
      <c r="G356">
        <v>1255</v>
      </c>
    </row>
    <row r="357" spans="1:7">
      <c r="A357" t="s">
        <v>350</v>
      </c>
      <c r="B357" s="165">
        <v>41999</v>
      </c>
      <c r="C357" t="s">
        <v>355</v>
      </c>
      <c r="D357" t="s">
        <v>356</v>
      </c>
      <c r="E357">
        <v>3</v>
      </c>
      <c r="F357" s="166">
        <v>700</v>
      </c>
      <c r="G357">
        <v>2100</v>
      </c>
    </row>
    <row r="358" spans="1:7">
      <c r="A358" t="s">
        <v>350</v>
      </c>
      <c r="B358" s="165">
        <v>41999</v>
      </c>
      <c r="C358" t="s">
        <v>355</v>
      </c>
      <c r="D358" t="s">
        <v>356</v>
      </c>
      <c r="E358">
        <v>4</v>
      </c>
      <c r="F358" s="166">
        <v>642</v>
      </c>
      <c r="G358">
        <v>2568</v>
      </c>
    </row>
    <row r="359" spans="1:7">
      <c r="A359" t="s">
        <v>350</v>
      </c>
      <c r="B359" s="165">
        <v>41999</v>
      </c>
      <c r="C359" t="s">
        <v>355</v>
      </c>
      <c r="D359" t="s">
        <v>356</v>
      </c>
      <c r="E359">
        <v>6</v>
      </c>
      <c r="F359" s="166">
        <v>528</v>
      </c>
      <c r="G359">
        <v>3168</v>
      </c>
    </row>
    <row r="360" spans="1:7">
      <c r="A360" t="s">
        <v>350</v>
      </c>
      <c r="B360" s="165">
        <v>41999</v>
      </c>
      <c r="C360" t="s">
        <v>355</v>
      </c>
      <c r="D360" t="s">
        <v>356</v>
      </c>
      <c r="E360">
        <v>13</v>
      </c>
      <c r="F360" s="166">
        <v>666.46153846153845</v>
      </c>
      <c r="G360">
        <v>8664</v>
      </c>
    </row>
    <row r="361" spans="1:7">
      <c r="A361" t="s">
        <v>350</v>
      </c>
      <c r="B361" s="165">
        <v>41999</v>
      </c>
      <c r="C361" t="s">
        <v>357</v>
      </c>
      <c r="D361" t="s">
        <v>358</v>
      </c>
      <c r="E361">
        <v>2</v>
      </c>
      <c r="F361" s="166">
        <v>585</v>
      </c>
      <c r="G361">
        <v>1170</v>
      </c>
    </row>
    <row r="362" spans="1:7">
      <c r="A362" t="s">
        <v>350</v>
      </c>
      <c r="B362" s="165">
        <v>41999</v>
      </c>
      <c r="C362" t="s">
        <v>357</v>
      </c>
      <c r="D362" t="s">
        <v>358</v>
      </c>
      <c r="E362">
        <v>15</v>
      </c>
      <c r="F362" s="166">
        <v>304.39999999999998</v>
      </c>
      <c r="G362">
        <v>4566</v>
      </c>
    </row>
    <row r="363" spans="1:7">
      <c r="A363" t="s">
        <v>350</v>
      </c>
      <c r="B363" s="165">
        <v>41999</v>
      </c>
      <c r="C363" t="s">
        <v>357</v>
      </c>
      <c r="D363" t="s">
        <v>358</v>
      </c>
      <c r="E363">
        <v>43</v>
      </c>
      <c r="F363" s="166">
        <v>154</v>
      </c>
      <c r="G363">
        <v>6622</v>
      </c>
    </row>
    <row r="364" spans="1:7">
      <c r="A364" t="s">
        <v>350</v>
      </c>
      <c r="B364" s="165">
        <v>41999</v>
      </c>
      <c r="C364" t="s">
        <v>357</v>
      </c>
      <c r="D364" t="s">
        <v>358</v>
      </c>
      <c r="E364">
        <v>18</v>
      </c>
      <c r="F364" s="166">
        <v>389.27777777777777</v>
      </c>
      <c r="G364">
        <v>7007</v>
      </c>
    </row>
    <row r="365" spans="1:7">
      <c r="A365" t="s">
        <v>350</v>
      </c>
      <c r="B365" s="165">
        <v>41999</v>
      </c>
      <c r="C365" t="s">
        <v>351</v>
      </c>
      <c r="D365" t="s">
        <v>352</v>
      </c>
      <c r="E365">
        <v>2</v>
      </c>
      <c r="F365" s="166">
        <v>357</v>
      </c>
      <c r="G365">
        <v>714</v>
      </c>
    </row>
    <row r="366" spans="1:7">
      <c r="A366" t="s">
        <v>350</v>
      </c>
      <c r="B366" s="165">
        <v>41999</v>
      </c>
      <c r="C366" t="s">
        <v>351</v>
      </c>
      <c r="D366" t="s">
        <v>352</v>
      </c>
      <c r="E366">
        <v>4</v>
      </c>
      <c r="F366" s="166">
        <v>270</v>
      </c>
      <c r="G366">
        <v>1080</v>
      </c>
    </row>
    <row r="367" spans="1:7">
      <c r="A367" t="s">
        <v>350</v>
      </c>
      <c r="B367" s="165">
        <v>41999</v>
      </c>
      <c r="C367" t="s">
        <v>351</v>
      </c>
      <c r="D367" t="s">
        <v>352</v>
      </c>
      <c r="E367">
        <v>23</v>
      </c>
      <c r="F367" s="166">
        <v>532.52173913043475</v>
      </c>
      <c r="G367">
        <v>12248</v>
      </c>
    </row>
    <row r="368" spans="1:7">
      <c r="A368" t="s">
        <v>350</v>
      </c>
      <c r="B368" s="165">
        <v>41999</v>
      </c>
      <c r="C368" t="s">
        <v>351</v>
      </c>
      <c r="D368" t="s">
        <v>352</v>
      </c>
      <c r="E368">
        <v>39</v>
      </c>
      <c r="F368" s="166">
        <v>381.89743589743591</v>
      </c>
      <c r="G368">
        <v>14894</v>
      </c>
    </row>
    <row r="369" spans="1:7">
      <c r="A369" t="s">
        <v>350</v>
      </c>
      <c r="B369" s="165">
        <v>42004</v>
      </c>
      <c r="C369" t="s">
        <v>359</v>
      </c>
      <c r="D369" t="s">
        <v>360</v>
      </c>
      <c r="E369">
        <v>2</v>
      </c>
      <c r="F369" s="166">
        <v>537</v>
      </c>
      <c r="G369">
        <v>1074</v>
      </c>
    </row>
    <row r="370" spans="1:7">
      <c r="A370" t="s">
        <v>350</v>
      </c>
      <c r="B370" s="165">
        <v>42004</v>
      </c>
      <c r="C370" t="s">
        <v>359</v>
      </c>
      <c r="D370" t="s">
        <v>360</v>
      </c>
      <c r="E370">
        <v>4</v>
      </c>
      <c r="F370" s="166">
        <v>1190</v>
      </c>
      <c r="G370">
        <v>4760</v>
      </c>
    </row>
    <row r="371" spans="1:7">
      <c r="A371" t="s">
        <v>350</v>
      </c>
      <c r="B371" s="165">
        <v>42004</v>
      </c>
      <c r="C371" t="s">
        <v>359</v>
      </c>
      <c r="D371" t="s">
        <v>360</v>
      </c>
      <c r="E371">
        <v>16</v>
      </c>
      <c r="F371" s="166">
        <v>485</v>
      </c>
      <c r="G371">
        <v>7760</v>
      </c>
    </row>
    <row r="372" spans="1:7">
      <c r="A372" t="s">
        <v>350</v>
      </c>
      <c r="B372" s="165">
        <v>42004</v>
      </c>
      <c r="C372" t="s">
        <v>359</v>
      </c>
      <c r="D372" t="s">
        <v>360</v>
      </c>
      <c r="E372">
        <v>14</v>
      </c>
      <c r="F372" s="166">
        <v>750.21428571428567</v>
      </c>
      <c r="G372">
        <v>10503</v>
      </c>
    </row>
    <row r="373" spans="1:7">
      <c r="A373" t="s">
        <v>350</v>
      </c>
      <c r="B373" s="165">
        <v>42004</v>
      </c>
      <c r="C373" t="s">
        <v>355</v>
      </c>
      <c r="D373" t="s">
        <v>356</v>
      </c>
      <c r="E373">
        <v>2</v>
      </c>
      <c r="F373" s="166">
        <v>596</v>
      </c>
      <c r="G373">
        <v>1192</v>
      </c>
    </row>
    <row r="374" spans="1:7">
      <c r="A374" t="s">
        <v>350</v>
      </c>
      <c r="B374" s="165">
        <v>42004</v>
      </c>
      <c r="C374" t="s">
        <v>355</v>
      </c>
      <c r="D374" t="s">
        <v>356</v>
      </c>
      <c r="E374">
        <v>3</v>
      </c>
      <c r="F374" s="166">
        <v>798</v>
      </c>
      <c r="G374">
        <v>2394</v>
      </c>
    </row>
    <row r="375" spans="1:7">
      <c r="A375" t="s">
        <v>350</v>
      </c>
      <c r="B375" s="165">
        <v>42004</v>
      </c>
      <c r="C375" t="s">
        <v>355</v>
      </c>
      <c r="D375" t="s">
        <v>356</v>
      </c>
      <c r="E375">
        <v>4</v>
      </c>
      <c r="F375" s="166">
        <v>910</v>
      </c>
      <c r="G375">
        <v>3640</v>
      </c>
    </row>
    <row r="376" spans="1:7">
      <c r="A376" t="s">
        <v>350</v>
      </c>
      <c r="B376" s="165">
        <v>42004</v>
      </c>
      <c r="C376" t="s">
        <v>355</v>
      </c>
      <c r="D376" t="s">
        <v>356</v>
      </c>
      <c r="E376">
        <v>6</v>
      </c>
      <c r="F376" s="166">
        <v>620</v>
      </c>
      <c r="G376">
        <v>3720</v>
      </c>
    </row>
    <row r="377" spans="1:7">
      <c r="A377" t="s">
        <v>350</v>
      </c>
      <c r="B377" s="165">
        <v>42004</v>
      </c>
      <c r="C377" t="s">
        <v>355</v>
      </c>
      <c r="D377" t="s">
        <v>356</v>
      </c>
      <c r="E377">
        <v>9</v>
      </c>
      <c r="F377" s="166">
        <v>486</v>
      </c>
      <c r="G377">
        <v>4374</v>
      </c>
    </row>
    <row r="378" spans="1:7">
      <c r="A378" t="s">
        <v>350</v>
      </c>
      <c r="B378" s="165">
        <v>42004</v>
      </c>
      <c r="C378" t="s">
        <v>355</v>
      </c>
      <c r="D378" t="s">
        <v>356</v>
      </c>
      <c r="E378">
        <v>5</v>
      </c>
      <c r="F378" s="166">
        <v>1200</v>
      </c>
      <c r="G378">
        <v>6000</v>
      </c>
    </row>
    <row r="379" spans="1:7">
      <c r="A379" t="s">
        <v>350</v>
      </c>
      <c r="B379" s="165">
        <v>42004</v>
      </c>
      <c r="C379" t="s">
        <v>355</v>
      </c>
      <c r="D379" t="s">
        <v>356</v>
      </c>
      <c r="E379">
        <v>7</v>
      </c>
      <c r="F379" s="166">
        <v>865</v>
      </c>
      <c r="G379">
        <v>6055</v>
      </c>
    </row>
    <row r="380" spans="1:7">
      <c r="A380" t="s">
        <v>350</v>
      </c>
      <c r="B380" s="165">
        <v>42004</v>
      </c>
      <c r="C380" t="s">
        <v>355</v>
      </c>
      <c r="D380" t="s">
        <v>356</v>
      </c>
      <c r="E380">
        <v>4</v>
      </c>
      <c r="F380" s="166">
        <v>1547</v>
      </c>
      <c r="G380">
        <v>6188</v>
      </c>
    </row>
    <row r="381" spans="1:7">
      <c r="A381" t="s">
        <v>350</v>
      </c>
      <c r="B381" s="165">
        <v>42004</v>
      </c>
      <c r="C381" t="s">
        <v>355</v>
      </c>
      <c r="D381" t="s">
        <v>356</v>
      </c>
      <c r="E381">
        <v>7</v>
      </c>
      <c r="F381" s="166">
        <v>995.71428571428567</v>
      </c>
      <c r="G381">
        <v>6970</v>
      </c>
    </row>
    <row r="382" spans="1:7">
      <c r="A382" t="s">
        <v>350</v>
      </c>
      <c r="B382" s="165">
        <v>42004</v>
      </c>
      <c r="C382" t="s">
        <v>355</v>
      </c>
      <c r="D382" t="s">
        <v>356</v>
      </c>
      <c r="E382">
        <v>9</v>
      </c>
      <c r="F382" s="166">
        <v>989</v>
      </c>
      <c r="G382">
        <v>8901</v>
      </c>
    </row>
    <row r="383" spans="1:7">
      <c r="A383" t="s">
        <v>350</v>
      </c>
      <c r="B383" s="165">
        <v>42004</v>
      </c>
      <c r="C383" t="s">
        <v>355</v>
      </c>
      <c r="D383" t="s">
        <v>356</v>
      </c>
      <c r="E383">
        <v>24</v>
      </c>
      <c r="F383" s="166">
        <v>995</v>
      </c>
      <c r="G383">
        <v>23880</v>
      </c>
    </row>
    <row r="384" spans="1:7">
      <c r="A384" t="s">
        <v>350</v>
      </c>
      <c r="B384" s="165">
        <v>42004</v>
      </c>
      <c r="C384" t="s">
        <v>355</v>
      </c>
      <c r="D384" t="s">
        <v>356</v>
      </c>
      <c r="E384">
        <v>19</v>
      </c>
      <c r="F384" s="166">
        <v>1376.578947368421</v>
      </c>
      <c r="G384">
        <v>26155</v>
      </c>
    </row>
    <row r="385" spans="1:7">
      <c r="A385" t="s">
        <v>350</v>
      </c>
      <c r="B385" s="165">
        <v>42004</v>
      </c>
      <c r="C385" t="s">
        <v>355</v>
      </c>
      <c r="D385" t="s">
        <v>356</v>
      </c>
      <c r="E385">
        <v>93</v>
      </c>
      <c r="F385" s="166">
        <v>520</v>
      </c>
      <c r="G385">
        <v>48360</v>
      </c>
    </row>
    <row r="386" spans="1:7">
      <c r="A386" t="s">
        <v>350</v>
      </c>
      <c r="B386" s="165">
        <v>42004</v>
      </c>
      <c r="C386" t="s">
        <v>353</v>
      </c>
      <c r="D386" t="s">
        <v>354</v>
      </c>
      <c r="E386">
        <v>42</v>
      </c>
      <c r="F386" s="166">
        <v>1085</v>
      </c>
      <c r="G386">
        <v>45570</v>
      </c>
    </row>
    <row r="387" spans="1:7">
      <c r="A387" t="s">
        <v>350</v>
      </c>
      <c r="B387" s="165">
        <v>42004</v>
      </c>
      <c r="C387" t="s">
        <v>353</v>
      </c>
      <c r="D387" t="s">
        <v>354</v>
      </c>
      <c r="E387">
        <v>55</v>
      </c>
      <c r="F387" s="166">
        <v>1192.090909090909</v>
      </c>
      <c r="G387">
        <v>65565</v>
      </c>
    </row>
    <row r="388" spans="1:7">
      <c r="A388" t="s">
        <v>350</v>
      </c>
      <c r="B388" s="165">
        <v>42004</v>
      </c>
      <c r="C388" t="s">
        <v>353</v>
      </c>
      <c r="D388" t="s">
        <v>354</v>
      </c>
      <c r="E388">
        <v>81</v>
      </c>
      <c r="F388" s="166">
        <v>1200</v>
      </c>
      <c r="G388">
        <v>97200</v>
      </c>
    </row>
    <row r="389" spans="1:7">
      <c r="A389" t="s">
        <v>350</v>
      </c>
      <c r="B389" s="165">
        <v>42004</v>
      </c>
      <c r="C389" t="s">
        <v>361</v>
      </c>
      <c r="D389" t="s">
        <v>362</v>
      </c>
      <c r="E389">
        <v>8</v>
      </c>
      <c r="F389" s="166">
        <v>1502</v>
      </c>
      <c r="G389">
        <v>12016</v>
      </c>
    </row>
    <row r="390" spans="1:7">
      <c r="A390" t="s">
        <v>350</v>
      </c>
      <c r="B390" s="165">
        <v>42004</v>
      </c>
      <c r="C390" t="s">
        <v>361</v>
      </c>
      <c r="D390" t="s">
        <v>362</v>
      </c>
      <c r="E390">
        <v>23</v>
      </c>
      <c r="F390" s="166">
        <v>1502</v>
      </c>
      <c r="G390">
        <v>34546</v>
      </c>
    </row>
    <row r="391" spans="1:7">
      <c r="A391" t="s">
        <v>350</v>
      </c>
      <c r="B391" s="165">
        <v>42004</v>
      </c>
      <c r="C391" t="s">
        <v>357</v>
      </c>
      <c r="D391" t="s">
        <v>358</v>
      </c>
      <c r="E391">
        <v>2</v>
      </c>
      <c r="F391" s="166">
        <v>385</v>
      </c>
      <c r="G391">
        <v>770</v>
      </c>
    </row>
    <row r="392" spans="1:7">
      <c r="A392" t="s">
        <v>350</v>
      </c>
      <c r="B392" s="165">
        <v>42004</v>
      </c>
      <c r="C392" t="s">
        <v>357</v>
      </c>
      <c r="D392" t="s">
        <v>358</v>
      </c>
      <c r="E392">
        <v>4</v>
      </c>
      <c r="F392" s="166">
        <v>250</v>
      </c>
      <c r="G392">
        <v>1000</v>
      </c>
    </row>
    <row r="393" spans="1:7">
      <c r="A393" t="s">
        <v>350</v>
      </c>
      <c r="B393" s="165">
        <v>42004</v>
      </c>
      <c r="C393" t="s">
        <v>357</v>
      </c>
      <c r="D393" t="s">
        <v>358</v>
      </c>
      <c r="E393">
        <v>4</v>
      </c>
      <c r="F393" s="166">
        <v>264.75</v>
      </c>
      <c r="G393">
        <v>1059</v>
      </c>
    </row>
    <row r="394" spans="1:7">
      <c r="A394" t="s">
        <v>350</v>
      </c>
      <c r="B394" s="165">
        <v>42004</v>
      </c>
      <c r="C394" t="s">
        <v>351</v>
      </c>
      <c r="D394" t="s">
        <v>352</v>
      </c>
      <c r="E394">
        <v>1</v>
      </c>
      <c r="F394" s="166">
        <v>250</v>
      </c>
      <c r="G394">
        <v>250</v>
      </c>
    </row>
    <row r="395" spans="1:7">
      <c r="A395" t="s">
        <v>350</v>
      </c>
      <c r="B395" s="165">
        <v>42004</v>
      </c>
      <c r="C395" t="s">
        <v>351</v>
      </c>
      <c r="D395" t="s">
        <v>352</v>
      </c>
      <c r="E395">
        <v>2</v>
      </c>
      <c r="F395" s="166">
        <v>257</v>
      </c>
      <c r="G395">
        <v>514</v>
      </c>
    </row>
    <row r="396" spans="1:7">
      <c r="A396" t="s">
        <v>350</v>
      </c>
      <c r="B396" s="165">
        <v>42004</v>
      </c>
      <c r="C396" t="s">
        <v>351</v>
      </c>
      <c r="D396" t="s">
        <v>352</v>
      </c>
      <c r="E396">
        <v>1</v>
      </c>
      <c r="F396" s="166">
        <v>550</v>
      </c>
      <c r="G396">
        <v>550</v>
      </c>
    </row>
    <row r="397" spans="1:7">
      <c r="A397" t="s">
        <v>350</v>
      </c>
      <c r="B397" s="165">
        <v>42004</v>
      </c>
      <c r="C397" t="s">
        <v>351</v>
      </c>
      <c r="D397" t="s">
        <v>352</v>
      </c>
      <c r="E397">
        <v>2</v>
      </c>
      <c r="F397" s="166">
        <v>396</v>
      </c>
      <c r="G397">
        <v>792</v>
      </c>
    </row>
    <row r="398" spans="1:7">
      <c r="A398" t="s">
        <v>350</v>
      </c>
      <c r="B398" s="165">
        <v>42004</v>
      </c>
      <c r="C398" t="s">
        <v>351</v>
      </c>
      <c r="D398" t="s">
        <v>352</v>
      </c>
      <c r="E398">
        <v>1</v>
      </c>
      <c r="F398" s="166">
        <v>865</v>
      </c>
      <c r="G398">
        <v>865</v>
      </c>
    </row>
    <row r="399" spans="1:7">
      <c r="A399" t="s">
        <v>350</v>
      </c>
      <c r="B399" s="165">
        <v>42004</v>
      </c>
      <c r="C399" t="s">
        <v>351</v>
      </c>
      <c r="D399" t="s">
        <v>352</v>
      </c>
      <c r="E399">
        <v>1</v>
      </c>
      <c r="F399" s="166">
        <v>1190</v>
      </c>
      <c r="G399">
        <v>1190</v>
      </c>
    </row>
    <row r="400" spans="1:7">
      <c r="A400" t="s">
        <v>350</v>
      </c>
      <c r="B400" s="165">
        <v>42004</v>
      </c>
      <c r="C400" t="s">
        <v>351</v>
      </c>
      <c r="D400" t="s">
        <v>352</v>
      </c>
      <c r="E400">
        <v>2</v>
      </c>
      <c r="F400" s="166">
        <v>750</v>
      </c>
      <c r="G400">
        <v>1500</v>
      </c>
    </row>
    <row r="401" spans="1:7">
      <c r="A401" t="s">
        <v>350</v>
      </c>
      <c r="B401" s="165">
        <v>42004</v>
      </c>
      <c r="C401" t="s">
        <v>351</v>
      </c>
      <c r="D401" t="s">
        <v>352</v>
      </c>
      <c r="E401">
        <v>10</v>
      </c>
      <c r="F401" s="166">
        <v>570</v>
      </c>
      <c r="G401">
        <v>5700</v>
      </c>
    </row>
    <row r="402" spans="1:7">
      <c r="A402" t="s">
        <v>350</v>
      </c>
      <c r="B402" s="165">
        <v>42004</v>
      </c>
      <c r="C402" t="s">
        <v>351</v>
      </c>
      <c r="D402" t="s">
        <v>352</v>
      </c>
      <c r="E402">
        <v>10</v>
      </c>
      <c r="F402" s="166">
        <v>570</v>
      </c>
      <c r="G402">
        <v>5700</v>
      </c>
    </row>
    <row r="403" spans="1:7">
      <c r="A403" t="s">
        <v>350</v>
      </c>
      <c r="B403" s="165">
        <v>42004</v>
      </c>
      <c r="C403" t="s">
        <v>351</v>
      </c>
      <c r="D403" t="s">
        <v>352</v>
      </c>
      <c r="E403">
        <v>15</v>
      </c>
      <c r="F403" s="166">
        <v>388</v>
      </c>
      <c r="G403">
        <v>5820</v>
      </c>
    </row>
    <row r="404" spans="1:7">
      <c r="A404" t="s">
        <v>350</v>
      </c>
      <c r="B404" s="165">
        <v>42004</v>
      </c>
      <c r="C404" t="s">
        <v>351</v>
      </c>
      <c r="D404" t="s">
        <v>352</v>
      </c>
      <c r="E404">
        <v>26</v>
      </c>
      <c r="F404" s="166">
        <v>891.84615384615381</v>
      </c>
      <c r="G404">
        <v>23188</v>
      </c>
    </row>
    <row r="405" spans="1:7">
      <c r="A405" t="s">
        <v>350</v>
      </c>
      <c r="B405" s="165">
        <v>42004</v>
      </c>
      <c r="C405" t="s">
        <v>351</v>
      </c>
      <c r="D405" t="s">
        <v>352</v>
      </c>
      <c r="E405">
        <v>120</v>
      </c>
      <c r="F405" s="166">
        <v>346</v>
      </c>
      <c r="G405">
        <v>41520</v>
      </c>
    </row>
    <row r="406" spans="1:7">
      <c r="A406" t="s">
        <v>363</v>
      </c>
      <c r="B406" s="165">
        <v>41690</v>
      </c>
      <c r="C406" t="s">
        <v>351</v>
      </c>
      <c r="D406" t="s">
        <v>352</v>
      </c>
      <c r="E406">
        <v>15</v>
      </c>
      <c r="F406" s="166">
        <v>697.66666666666663</v>
      </c>
      <c r="G406">
        <v>10465</v>
      </c>
    </row>
    <row r="407" spans="1:7">
      <c r="A407" t="s">
        <v>363</v>
      </c>
      <c r="B407" s="165">
        <v>41697</v>
      </c>
      <c r="C407" t="s">
        <v>355</v>
      </c>
      <c r="D407" t="s">
        <v>356</v>
      </c>
      <c r="E407">
        <v>4</v>
      </c>
      <c r="F407" s="166">
        <v>638</v>
      </c>
      <c r="G407">
        <v>2552</v>
      </c>
    </row>
    <row r="408" spans="1:7">
      <c r="A408" t="s">
        <v>363</v>
      </c>
      <c r="B408" s="165">
        <v>41697</v>
      </c>
      <c r="C408" t="s">
        <v>357</v>
      </c>
      <c r="D408" t="s">
        <v>358</v>
      </c>
      <c r="E408">
        <v>37</v>
      </c>
      <c r="F408" s="166">
        <v>275.24324324324323</v>
      </c>
      <c r="G408">
        <v>10184</v>
      </c>
    </row>
    <row r="409" spans="1:7">
      <c r="A409" t="s">
        <v>363</v>
      </c>
      <c r="B409" s="165">
        <v>41704</v>
      </c>
      <c r="C409" t="s">
        <v>357</v>
      </c>
      <c r="D409" t="s">
        <v>358</v>
      </c>
      <c r="E409">
        <v>20</v>
      </c>
      <c r="F409" s="166">
        <v>597</v>
      </c>
      <c r="G409">
        <v>11940</v>
      </c>
    </row>
    <row r="410" spans="1:7">
      <c r="A410" t="s">
        <v>363</v>
      </c>
      <c r="B410" s="165">
        <v>41704</v>
      </c>
      <c r="C410" t="s">
        <v>357</v>
      </c>
      <c r="D410" t="s">
        <v>358</v>
      </c>
      <c r="E410">
        <v>92</v>
      </c>
      <c r="F410" s="166">
        <v>415.76086956521738</v>
      </c>
      <c r="G410">
        <v>38250</v>
      </c>
    </row>
    <row r="411" spans="1:7">
      <c r="A411" t="s">
        <v>363</v>
      </c>
      <c r="B411" s="165">
        <v>41711</v>
      </c>
      <c r="C411" t="s">
        <v>357</v>
      </c>
      <c r="D411" t="s">
        <v>358</v>
      </c>
      <c r="E411">
        <v>8</v>
      </c>
      <c r="F411" s="166">
        <v>364</v>
      </c>
      <c r="G411">
        <v>2912</v>
      </c>
    </row>
    <row r="412" spans="1:7">
      <c r="A412" t="s">
        <v>363</v>
      </c>
      <c r="B412" s="165">
        <v>41732</v>
      </c>
      <c r="C412" t="s">
        <v>357</v>
      </c>
      <c r="D412" t="s">
        <v>358</v>
      </c>
      <c r="E412">
        <v>5</v>
      </c>
      <c r="F412" s="166">
        <v>495</v>
      </c>
      <c r="G412">
        <v>2475</v>
      </c>
    </row>
    <row r="413" spans="1:7">
      <c r="A413" t="s">
        <v>363</v>
      </c>
      <c r="B413" s="165">
        <v>41732</v>
      </c>
      <c r="C413" t="s">
        <v>357</v>
      </c>
      <c r="D413" t="s">
        <v>358</v>
      </c>
      <c r="E413">
        <v>8</v>
      </c>
      <c r="F413" s="166">
        <v>330.75</v>
      </c>
      <c r="G413">
        <v>2646</v>
      </c>
    </row>
    <row r="414" spans="1:7">
      <c r="A414" t="s">
        <v>363</v>
      </c>
      <c r="B414" s="165">
        <v>41732</v>
      </c>
      <c r="C414" t="s">
        <v>351</v>
      </c>
      <c r="D414" t="s">
        <v>352</v>
      </c>
      <c r="E414">
        <v>5</v>
      </c>
      <c r="F414" s="166">
        <v>485.4</v>
      </c>
      <c r="G414">
        <v>2427</v>
      </c>
    </row>
    <row r="415" spans="1:7">
      <c r="A415" t="s">
        <v>363</v>
      </c>
      <c r="B415" s="165">
        <v>41732</v>
      </c>
      <c r="C415" t="s">
        <v>351</v>
      </c>
      <c r="D415" t="s">
        <v>352</v>
      </c>
      <c r="E415">
        <v>9</v>
      </c>
      <c r="F415" s="166">
        <v>362.44444444444446</v>
      </c>
      <c r="G415">
        <v>3262</v>
      </c>
    </row>
    <row r="416" spans="1:7">
      <c r="A416" t="s">
        <v>363</v>
      </c>
      <c r="B416" s="165">
        <v>41732</v>
      </c>
      <c r="C416" t="s">
        <v>351</v>
      </c>
      <c r="D416" t="s">
        <v>352</v>
      </c>
      <c r="E416">
        <v>8</v>
      </c>
      <c r="F416" s="166">
        <v>664.375</v>
      </c>
      <c r="G416">
        <v>5315</v>
      </c>
    </row>
    <row r="417" spans="1:7">
      <c r="A417" t="s">
        <v>363</v>
      </c>
      <c r="B417" s="165">
        <v>41760</v>
      </c>
      <c r="C417" t="s">
        <v>357</v>
      </c>
      <c r="D417" t="s">
        <v>358</v>
      </c>
      <c r="E417">
        <v>37</v>
      </c>
      <c r="F417" s="166">
        <v>159</v>
      </c>
      <c r="G417">
        <v>5883</v>
      </c>
    </row>
    <row r="418" spans="1:7">
      <c r="A418" t="s">
        <v>363</v>
      </c>
      <c r="B418" s="165">
        <v>41760</v>
      </c>
      <c r="C418" t="s">
        <v>357</v>
      </c>
      <c r="D418" t="s">
        <v>358</v>
      </c>
      <c r="E418">
        <v>65</v>
      </c>
      <c r="F418" s="166">
        <v>302</v>
      </c>
      <c r="G418">
        <v>19630</v>
      </c>
    </row>
    <row r="419" spans="1:7">
      <c r="A419" t="s">
        <v>363</v>
      </c>
      <c r="B419" s="165">
        <v>41767</v>
      </c>
      <c r="C419" t="s">
        <v>351</v>
      </c>
      <c r="D419" t="s">
        <v>352</v>
      </c>
      <c r="E419">
        <v>27</v>
      </c>
      <c r="F419" s="166">
        <v>250</v>
      </c>
      <c r="G419">
        <v>6750</v>
      </c>
    </row>
    <row r="420" spans="1:7">
      <c r="A420" t="s">
        <v>363</v>
      </c>
      <c r="B420" s="165">
        <v>41788</v>
      </c>
      <c r="C420" t="s">
        <v>359</v>
      </c>
      <c r="D420" t="s">
        <v>360</v>
      </c>
      <c r="E420">
        <v>4</v>
      </c>
      <c r="F420" s="166">
        <v>528</v>
      </c>
      <c r="G420">
        <v>2112</v>
      </c>
    </row>
    <row r="421" spans="1:7">
      <c r="A421" t="s">
        <v>363</v>
      </c>
      <c r="B421" s="165">
        <v>41788</v>
      </c>
      <c r="C421" t="s">
        <v>359</v>
      </c>
      <c r="D421" t="s">
        <v>360</v>
      </c>
      <c r="E421">
        <v>48</v>
      </c>
      <c r="F421" s="166">
        <v>299</v>
      </c>
      <c r="G421">
        <v>14352</v>
      </c>
    </row>
    <row r="422" spans="1:7">
      <c r="A422" t="s">
        <v>363</v>
      </c>
      <c r="B422" s="165">
        <v>41788</v>
      </c>
      <c r="C422" t="s">
        <v>357</v>
      </c>
      <c r="D422" t="s">
        <v>358</v>
      </c>
      <c r="E422">
        <v>4</v>
      </c>
      <c r="F422" s="166">
        <v>263</v>
      </c>
      <c r="G422">
        <v>1052</v>
      </c>
    </row>
    <row r="423" spans="1:7">
      <c r="A423" t="s">
        <v>363</v>
      </c>
      <c r="B423" s="165">
        <v>41788</v>
      </c>
      <c r="C423" t="s">
        <v>357</v>
      </c>
      <c r="D423" t="s">
        <v>358</v>
      </c>
      <c r="E423">
        <v>4</v>
      </c>
      <c r="F423" s="166">
        <v>292</v>
      </c>
      <c r="G423">
        <v>1168</v>
      </c>
    </row>
    <row r="424" spans="1:7">
      <c r="A424" t="s">
        <v>363</v>
      </c>
      <c r="B424" s="165">
        <v>41788</v>
      </c>
      <c r="C424" t="s">
        <v>357</v>
      </c>
      <c r="D424" t="s">
        <v>358</v>
      </c>
      <c r="E424">
        <v>12</v>
      </c>
      <c r="F424" s="166">
        <v>264.83333333333331</v>
      </c>
      <c r="G424">
        <v>3178</v>
      </c>
    </row>
    <row r="425" spans="1:7">
      <c r="A425" t="s">
        <v>363</v>
      </c>
      <c r="B425" s="165">
        <v>41788</v>
      </c>
      <c r="C425" t="s">
        <v>357</v>
      </c>
      <c r="D425" t="s">
        <v>358</v>
      </c>
      <c r="E425">
        <v>22</v>
      </c>
      <c r="F425" s="166">
        <v>222</v>
      </c>
      <c r="G425">
        <v>4884</v>
      </c>
    </row>
    <row r="426" spans="1:7">
      <c r="A426" t="s">
        <v>363</v>
      </c>
      <c r="B426" s="165">
        <v>41788</v>
      </c>
      <c r="C426" t="s">
        <v>351</v>
      </c>
      <c r="D426" t="s">
        <v>352</v>
      </c>
      <c r="E426">
        <v>1</v>
      </c>
      <c r="F426" s="166">
        <v>249</v>
      </c>
      <c r="G426">
        <v>249</v>
      </c>
    </row>
    <row r="427" spans="1:7">
      <c r="A427" t="s">
        <v>363</v>
      </c>
      <c r="B427" s="165">
        <v>41788</v>
      </c>
      <c r="C427" t="s">
        <v>351</v>
      </c>
      <c r="D427" t="s">
        <v>352</v>
      </c>
      <c r="E427">
        <v>11</v>
      </c>
      <c r="F427" s="166">
        <v>282</v>
      </c>
      <c r="G427">
        <v>3102</v>
      </c>
    </row>
    <row r="428" spans="1:7">
      <c r="A428" t="s">
        <v>363</v>
      </c>
      <c r="B428" s="165">
        <v>41788</v>
      </c>
      <c r="C428" t="s">
        <v>351</v>
      </c>
      <c r="D428" t="s">
        <v>352</v>
      </c>
      <c r="E428">
        <v>20</v>
      </c>
      <c r="F428" s="166">
        <v>299</v>
      </c>
      <c r="G428">
        <v>5980</v>
      </c>
    </row>
    <row r="429" spans="1:7">
      <c r="A429" t="s">
        <v>363</v>
      </c>
      <c r="B429" s="165">
        <v>41795</v>
      </c>
      <c r="C429" t="s">
        <v>351</v>
      </c>
      <c r="D429" t="s">
        <v>352</v>
      </c>
      <c r="E429">
        <v>10</v>
      </c>
      <c r="F429" s="166">
        <v>302</v>
      </c>
      <c r="G429">
        <v>3020</v>
      </c>
    </row>
    <row r="430" spans="1:7">
      <c r="A430" t="s">
        <v>363</v>
      </c>
      <c r="B430" s="165">
        <v>41810</v>
      </c>
      <c r="C430" t="s">
        <v>355</v>
      </c>
      <c r="D430" t="s">
        <v>356</v>
      </c>
      <c r="E430">
        <v>4</v>
      </c>
      <c r="F430" s="166">
        <v>387.5</v>
      </c>
      <c r="G430">
        <v>1550</v>
      </c>
    </row>
    <row r="431" spans="1:7">
      <c r="A431" t="s">
        <v>363</v>
      </c>
      <c r="B431" s="165">
        <v>41810</v>
      </c>
      <c r="C431" t="s">
        <v>357</v>
      </c>
      <c r="D431" t="s">
        <v>358</v>
      </c>
      <c r="E431">
        <v>37</v>
      </c>
      <c r="F431" s="166">
        <v>188.24324324324326</v>
      </c>
      <c r="G431">
        <v>6965</v>
      </c>
    </row>
    <row r="432" spans="1:7">
      <c r="A432" t="s">
        <v>363</v>
      </c>
      <c r="B432" s="165">
        <v>41858</v>
      </c>
      <c r="C432" t="s">
        <v>351</v>
      </c>
      <c r="D432" t="s">
        <v>352</v>
      </c>
      <c r="E432">
        <v>22</v>
      </c>
      <c r="F432" s="166">
        <v>1435</v>
      </c>
      <c r="G432">
        <v>31570</v>
      </c>
    </row>
    <row r="433" spans="1:7">
      <c r="A433" t="s">
        <v>363</v>
      </c>
      <c r="B433" s="165">
        <v>41865</v>
      </c>
      <c r="C433" t="s">
        <v>353</v>
      </c>
      <c r="D433" t="s">
        <v>354</v>
      </c>
      <c r="E433">
        <v>12</v>
      </c>
      <c r="F433" s="166">
        <v>787.5</v>
      </c>
      <c r="G433">
        <v>9450</v>
      </c>
    </row>
    <row r="434" spans="1:7">
      <c r="A434" t="s">
        <v>363</v>
      </c>
      <c r="B434" s="165">
        <v>41865</v>
      </c>
      <c r="C434" t="s">
        <v>357</v>
      </c>
      <c r="D434" t="s">
        <v>358</v>
      </c>
      <c r="E434">
        <v>19</v>
      </c>
      <c r="F434" s="166">
        <v>316</v>
      </c>
      <c r="G434">
        <v>6004</v>
      </c>
    </row>
    <row r="435" spans="1:7">
      <c r="A435" t="s">
        <v>363</v>
      </c>
      <c r="B435" s="165">
        <v>41872</v>
      </c>
      <c r="C435" t="s">
        <v>353</v>
      </c>
      <c r="D435" t="s">
        <v>354</v>
      </c>
      <c r="E435">
        <v>3</v>
      </c>
      <c r="F435" s="166">
        <v>835</v>
      </c>
      <c r="G435">
        <v>2505</v>
      </c>
    </row>
    <row r="436" spans="1:7">
      <c r="A436" t="s">
        <v>363</v>
      </c>
      <c r="B436" s="165">
        <v>41879</v>
      </c>
      <c r="C436" t="s">
        <v>351</v>
      </c>
      <c r="D436" t="s">
        <v>352</v>
      </c>
      <c r="E436">
        <v>3</v>
      </c>
      <c r="F436" s="166">
        <v>571.25</v>
      </c>
      <c r="G436">
        <v>1713.75</v>
      </c>
    </row>
    <row r="437" spans="1:7">
      <c r="A437" t="s">
        <v>363</v>
      </c>
      <c r="B437" s="165">
        <v>41879</v>
      </c>
      <c r="C437" t="s">
        <v>351</v>
      </c>
      <c r="D437" t="s">
        <v>352</v>
      </c>
      <c r="E437">
        <v>3</v>
      </c>
      <c r="F437" s="166">
        <v>2103</v>
      </c>
      <c r="G437">
        <v>6309</v>
      </c>
    </row>
    <row r="438" spans="1:7">
      <c r="A438" t="s">
        <v>363</v>
      </c>
      <c r="B438" s="165">
        <v>41928</v>
      </c>
      <c r="C438" t="s">
        <v>357</v>
      </c>
      <c r="D438" t="s">
        <v>358</v>
      </c>
      <c r="E438">
        <v>2</v>
      </c>
      <c r="F438" s="166">
        <v>295</v>
      </c>
      <c r="G438">
        <v>590</v>
      </c>
    </row>
    <row r="439" spans="1:7">
      <c r="A439" t="s">
        <v>363</v>
      </c>
      <c r="B439" s="165">
        <v>41928</v>
      </c>
      <c r="C439" t="s">
        <v>357</v>
      </c>
      <c r="D439" t="s">
        <v>358</v>
      </c>
      <c r="E439">
        <v>2</v>
      </c>
      <c r="F439" s="166">
        <v>405.5</v>
      </c>
      <c r="G439">
        <v>811</v>
      </c>
    </row>
    <row r="440" spans="1:7">
      <c r="A440" t="s">
        <v>363</v>
      </c>
      <c r="B440" s="165">
        <v>41928</v>
      </c>
      <c r="C440" t="s">
        <v>357</v>
      </c>
      <c r="D440" t="s">
        <v>358</v>
      </c>
      <c r="E440">
        <v>3</v>
      </c>
      <c r="F440" s="166">
        <v>295</v>
      </c>
      <c r="G440">
        <v>885</v>
      </c>
    </row>
    <row r="441" spans="1:7">
      <c r="A441" t="s">
        <v>363</v>
      </c>
      <c r="B441" s="165">
        <v>41928</v>
      </c>
      <c r="C441" t="s">
        <v>357</v>
      </c>
      <c r="D441" t="s">
        <v>358</v>
      </c>
      <c r="E441">
        <v>5</v>
      </c>
      <c r="F441" s="166">
        <v>234.2</v>
      </c>
      <c r="G441">
        <v>1171</v>
      </c>
    </row>
    <row r="442" spans="1:7">
      <c r="A442" t="s">
        <v>363</v>
      </c>
      <c r="B442" s="165">
        <v>41928</v>
      </c>
      <c r="C442" t="s">
        <v>357</v>
      </c>
      <c r="D442" t="s">
        <v>358</v>
      </c>
      <c r="E442">
        <v>4</v>
      </c>
      <c r="F442" s="166">
        <v>328</v>
      </c>
      <c r="G442">
        <v>1312</v>
      </c>
    </row>
    <row r="443" spans="1:7">
      <c r="A443" t="s">
        <v>363</v>
      </c>
      <c r="B443" s="165">
        <v>41928</v>
      </c>
      <c r="C443" t="s">
        <v>357</v>
      </c>
      <c r="D443" t="s">
        <v>358</v>
      </c>
      <c r="E443">
        <v>5</v>
      </c>
      <c r="F443" s="166">
        <v>315</v>
      </c>
      <c r="G443">
        <v>1575</v>
      </c>
    </row>
    <row r="444" spans="1:7">
      <c r="A444" t="s">
        <v>363</v>
      </c>
      <c r="B444" s="165">
        <v>41928</v>
      </c>
      <c r="C444" t="s">
        <v>357</v>
      </c>
      <c r="D444" t="s">
        <v>358</v>
      </c>
      <c r="E444">
        <v>5</v>
      </c>
      <c r="F444" s="166">
        <v>321</v>
      </c>
      <c r="G444">
        <v>1605</v>
      </c>
    </row>
    <row r="445" spans="1:7">
      <c r="A445" t="s">
        <v>363</v>
      </c>
      <c r="B445" s="165">
        <v>41928</v>
      </c>
      <c r="C445" t="s">
        <v>357</v>
      </c>
      <c r="D445" t="s">
        <v>358</v>
      </c>
      <c r="E445">
        <v>6</v>
      </c>
      <c r="F445" s="166">
        <v>317.5</v>
      </c>
      <c r="G445">
        <v>1905</v>
      </c>
    </row>
    <row r="446" spans="1:7">
      <c r="A446" t="s">
        <v>363</v>
      </c>
      <c r="B446" s="165">
        <v>41928</v>
      </c>
      <c r="C446" t="s">
        <v>357</v>
      </c>
      <c r="D446" t="s">
        <v>358</v>
      </c>
      <c r="E446">
        <v>9</v>
      </c>
      <c r="F446" s="166">
        <v>280.88888888888891</v>
      </c>
      <c r="G446">
        <v>2528</v>
      </c>
    </row>
    <row r="447" spans="1:7">
      <c r="A447" t="s">
        <v>363</v>
      </c>
      <c r="B447" s="165">
        <v>41928</v>
      </c>
      <c r="C447" t="s">
        <v>357</v>
      </c>
      <c r="D447" t="s">
        <v>358</v>
      </c>
      <c r="E447">
        <v>23</v>
      </c>
      <c r="F447" s="166">
        <v>263</v>
      </c>
      <c r="G447">
        <v>6049</v>
      </c>
    </row>
    <row r="448" spans="1:7">
      <c r="A448" t="s">
        <v>363</v>
      </c>
      <c r="B448" s="165">
        <v>41928</v>
      </c>
      <c r="C448" t="s">
        <v>351</v>
      </c>
      <c r="D448" t="s">
        <v>352</v>
      </c>
      <c r="E448">
        <v>1</v>
      </c>
      <c r="F448" s="166">
        <v>328</v>
      </c>
      <c r="G448">
        <v>328</v>
      </c>
    </row>
    <row r="449" spans="1:7">
      <c r="A449" t="s">
        <v>363</v>
      </c>
      <c r="B449" s="165">
        <v>41928</v>
      </c>
      <c r="C449" t="s">
        <v>351</v>
      </c>
      <c r="D449" t="s">
        <v>352</v>
      </c>
      <c r="E449">
        <v>1</v>
      </c>
      <c r="F449" s="166">
        <v>886</v>
      </c>
      <c r="G449">
        <v>886</v>
      </c>
    </row>
    <row r="450" spans="1:7">
      <c r="A450" t="s">
        <v>363</v>
      </c>
      <c r="B450" s="165">
        <v>41936</v>
      </c>
      <c r="C450" t="s">
        <v>359</v>
      </c>
      <c r="D450" t="s">
        <v>360</v>
      </c>
      <c r="E450">
        <v>147</v>
      </c>
      <c r="F450" s="166">
        <v>997.03401360544217</v>
      </c>
      <c r="G450">
        <v>146564</v>
      </c>
    </row>
    <row r="451" spans="1:7">
      <c r="A451" t="s">
        <v>363</v>
      </c>
      <c r="B451" s="165">
        <v>41936</v>
      </c>
      <c r="C451" t="s">
        <v>351</v>
      </c>
      <c r="D451" t="s">
        <v>352</v>
      </c>
      <c r="E451">
        <v>104</v>
      </c>
      <c r="F451" s="166">
        <v>732.42307692307691</v>
      </c>
      <c r="G451">
        <v>76172</v>
      </c>
    </row>
    <row r="452" spans="1:7">
      <c r="A452" t="s">
        <v>363</v>
      </c>
      <c r="B452" s="165">
        <v>41943</v>
      </c>
      <c r="C452" t="s">
        <v>357</v>
      </c>
      <c r="D452" t="s">
        <v>358</v>
      </c>
      <c r="E452">
        <v>1</v>
      </c>
      <c r="F452" s="166">
        <v>287</v>
      </c>
      <c r="G452">
        <v>287</v>
      </c>
    </row>
    <row r="453" spans="1:7">
      <c r="A453" t="s">
        <v>363</v>
      </c>
      <c r="B453" s="165">
        <v>41943</v>
      </c>
      <c r="C453" t="s">
        <v>357</v>
      </c>
      <c r="D453" t="s">
        <v>358</v>
      </c>
      <c r="E453">
        <v>9</v>
      </c>
      <c r="F453" s="166">
        <v>269.22222222222223</v>
      </c>
      <c r="G453">
        <v>2423</v>
      </c>
    </row>
    <row r="454" spans="1:7">
      <c r="A454" t="s">
        <v>363</v>
      </c>
      <c r="B454" s="165">
        <v>41943</v>
      </c>
      <c r="C454" t="s">
        <v>357</v>
      </c>
      <c r="D454" t="s">
        <v>358</v>
      </c>
      <c r="E454">
        <v>15</v>
      </c>
      <c r="F454" s="166">
        <v>285</v>
      </c>
      <c r="G454">
        <v>4275</v>
      </c>
    </row>
    <row r="455" spans="1:7">
      <c r="A455" t="s">
        <v>363</v>
      </c>
      <c r="B455" s="165">
        <v>41943</v>
      </c>
      <c r="C455" t="s">
        <v>351</v>
      </c>
      <c r="D455" t="s">
        <v>352</v>
      </c>
      <c r="E455">
        <v>1</v>
      </c>
      <c r="F455" s="166">
        <v>526</v>
      </c>
      <c r="G455">
        <v>526</v>
      </c>
    </row>
    <row r="456" spans="1:7">
      <c r="A456" t="s">
        <v>363</v>
      </c>
      <c r="B456" s="165">
        <v>41943</v>
      </c>
      <c r="C456" t="s">
        <v>351</v>
      </c>
      <c r="D456" t="s">
        <v>352</v>
      </c>
      <c r="E456">
        <v>6</v>
      </c>
      <c r="F456" s="166">
        <v>345</v>
      </c>
      <c r="G456">
        <v>2070</v>
      </c>
    </row>
    <row r="457" spans="1:7">
      <c r="A457" t="s">
        <v>363</v>
      </c>
      <c r="B457" s="165">
        <v>41943</v>
      </c>
      <c r="C457" t="s">
        <v>351</v>
      </c>
      <c r="D457" t="s">
        <v>352</v>
      </c>
      <c r="E457">
        <v>6</v>
      </c>
      <c r="F457" s="166">
        <v>459</v>
      </c>
      <c r="G457">
        <v>2754</v>
      </c>
    </row>
    <row r="458" spans="1:7">
      <c r="A458" t="s">
        <v>363</v>
      </c>
      <c r="B458" s="165">
        <v>41943</v>
      </c>
      <c r="C458" t="s">
        <v>351</v>
      </c>
      <c r="D458" t="s">
        <v>352</v>
      </c>
      <c r="E458">
        <v>11</v>
      </c>
      <c r="F458" s="166">
        <v>336</v>
      </c>
      <c r="G458">
        <v>3696</v>
      </c>
    </row>
    <row r="459" spans="1:7">
      <c r="A459" t="s">
        <v>363</v>
      </c>
      <c r="B459" s="165">
        <v>41949</v>
      </c>
      <c r="C459" t="s">
        <v>357</v>
      </c>
      <c r="D459" t="s">
        <v>358</v>
      </c>
      <c r="E459">
        <v>4</v>
      </c>
      <c r="F459" s="166">
        <v>506.75</v>
      </c>
      <c r="G459">
        <v>2027</v>
      </c>
    </row>
    <row r="460" spans="1:7">
      <c r="A460" t="s">
        <v>363</v>
      </c>
      <c r="B460" s="165">
        <v>41963</v>
      </c>
      <c r="C460" t="s">
        <v>357</v>
      </c>
      <c r="D460" t="s">
        <v>358</v>
      </c>
      <c r="E460">
        <v>11</v>
      </c>
      <c r="F460" s="166">
        <v>195</v>
      </c>
      <c r="G460">
        <v>2145</v>
      </c>
    </row>
    <row r="461" spans="1:7">
      <c r="A461" t="s">
        <v>363</v>
      </c>
      <c r="B461" s="165">
        <v>41977</v>
      </c>
      <c r="C461" t="s">
        <v>357</v>
      </c>
      <c r="D461" t="s">
        <v>358</v>
      </c>
      <c r="E461">
        <v>1</v>
      </c>
      <c r="F461" s="166">
        <v>400</v>
      </c>
      <c r="G461">
        <v>400</v>
      </c>
    </row>
    <row r="462" spans="1:7">
      <c r="A462" t="s">
        <v>363</v>
      </c>
      <c r="B462" s="165">
        <v>42004</v>
      </c>
      <c r="C462" t="s">
        <v>357</v>
      </c>
      <c r="D462" t="s">
        <v>358</v>
      </c>
      <c r="E462">
        <v>2</v>
      </c>
      <c r="F462" s="166">
        <v>292.5</v>
      </c>
      <c r="G462">
        <v>585</v>
      </c>
    </row>
    <row r="463" spans="1:7">
      <c r="A463" t="s">
        <v>363</v>
      </c>
      <c r="B463" s="165">
        <v>42004</v>
      </c>
      <c r="C463" t="s">
        <v>357</v>
      </c>
      <c r="D463" t="s">
        <v>358</v>
      </c>
      <c r="E463">
        <v>3</v>
      </c>
      <c r="F463" s="166">
        <v>206.66666666666666</v>
      </c>
      <c r="G463">
        <v>620</v>
      </c>
    </row>
    <row r="464" spans="1:7">
      <c r="A464" t="s">
        <v>363</v>
      </c>
      <c r="B464" s="165">
        <v>42004</v>
      </c>
      <c r="C464" t="s">
        <v>357</v>
      </c>
      <c r="D464" t="s">
        <v>358</v>
      </c>
      <c r="E464">
        <v>2</v>
      </c>
      <c r="F464" s="166">
        <v>429</v>
      </c>
      <c r="G464">
        <v>858</v>
      </c>
    </row>
    <row r="465" spans="1:7">
      <c r="A465" t="s">
        <v>363</v>
      </c>
      <c r="B465" s="165">
        <v>42004</v>
      </c>
      <c r="C465" t="s">
        <v>357</v>
      </c>
      <c r="D465" t="s">
        <v>358</v>
      </c>
      <c r="E465">
        <v>260</v>
      </c>
      <c r="F465" s="166">
        <v>284.55384615384617</v>
      </c>
      <c r="G465">
        <v>73984</v>
      </c>
    </row>
    <row r="466" spans="1:7">
      <c r="A466" t="s">
        <v>363</v>
      </c>
      <c r="B466" s="165">
        <v>42004</v>
      </c>
      <c r="C466" t="s">
        <v>351</v>
      </c>
      <c r="D466" t="s">
        <v>352</v>
      </c>
      <c r="E466">
        <v>1</v>
      </c>
      <c r="F466" s="166">
        <v>429</v>
      </c>
      <c r="G466">
        <v>429</v>
      </c>
    </row>
    <row r="467" spans="1:7">
      <c r="A467" t="s">
        <v>363</v>
      </c>
      <c r="B467" s="165">
        <v>42004</v>
      </c>
      <c r="C467" t="s">
        <v>351</v>
      </c>
      <c r="D467" t="s">
        <v>352</v>
      </c>
      <c r="E467">
        <v>8</v>
      </c>
      <c r="F467" s="166">
        <v>465</v>
      </c>
      <c r="G467">
        <v>3720</v>
      </c>
    </row>
    <row r="468" spans="1:7">
      <c r="A468" t="s">
        <v>363</v>
      </c>
      <c r="B468" s="165">
        <v>42004</v>
      </c>
      <c r="C468" t="s">
        <v>351</v>
      </c>
      <c r="D468" t="s">
        <v>352</v>
      </c>
      <c r="E468">
        <v>52</v>
      </c>
      <c r="F468" s="166">
        <v>1434.5</v>
      </c>
      <c r="G468">
        <v>74594</v>
      </c>
    </row>
    <row r="469" spans="1:7">
      <c r="A469" t="s">
        <v>364</v>
      </c>
      <c r="B469" s="165">
        <v>41739</v>
      </c>
      <c r="C469" t="s">
        <v>351</v>
      </c>
      <c r="D469" t="s">
        <v>352</v>
      </c>
      <c r="E469">
        <v>9</v>
      </c>
      <c r="F469" s="166">
        <v>538.77777777777783</v>
      </c>
      <c r="G469">
        <v>4849</v>
      </c>
    </row>
    <row r="470" spans="1:7">
      <c r="A470" t="s">
        <v>364</v>
      </c>
      <c r="B470" s="165">
        <v>41746</v>
      </c>
      <c r="C470" t="s">
        <v>357</v>
      </c>
      <c r="D470" t="s">
        <v>358</v>
      </c>
      <c r="E470">
        <v>7</v>
      </c>
      <c r="F470" s="166">
        <v>133.28571428571428</v>
      </c>
      <c r="G470">
        <v>933</v>
      </c>
    </row>
    <row r="471" spans="1:7">
      <c r="A471" t="s">
        <v>364</v>
      </c>
      <c r="B471" s="165">
        <v>41746</v>
      </c>
      <c r="C471" t="s">
        <v>351</v>
      </c>
      <c r="D471" t="s">
        <v>352</v>
      </c>
      <c r="E471">
        <v>1</v>
      </c>
      <c r="F471" s="166">
        <v>282</v>
      </c>
      <c r="G471">
        <v>282</v>
      </c>
    </row>
    <row r="472" spans="1:7">
      <c r="A472" t="s">
        <v>364</v>
      </c>
      <c r="B472" s="165">
        <v>41760</v>
      </c>
      <c r="C472" t="s">
        <v>351</v>
      </c>
      <c r="D472" t="s">
        <v>352</v>
      </c>
      <c r="E472">
        <v>2</v>
      </c>
      <c r="F472" s="166">
        <v>358</v>
      </c>
      <c r="G472">
        <v>716</v>
      </c>
    </row>
    <row r="473" spans="1:7">
      <c r="A473" t="s">
        <v>364</v>
      </c>
      <c r="B473" s="165">
        <v>41767</v>
      </c>
      <c r="C473" t="s">
        <v>355</v>
      </c>
      <c r="D473" t="s">
        <v>356</v>
      </c>
      <c r="E473">
        <v>1</v>
      </c>
      <c r="F473" s="166">
        <v>602</v>
      </c>
      <c r="G473">
        <v>602</v>
      </c>
    </row>
    <row r="474" spans="1:7">
      <c r="A474" t="s">
        <v>364</v>
      </c>
      <c r="B474" s="165">
        <v>41767</v>
      </c>
      <c r="C474" t="s">
        <v>357</v>
      </c>
      <c r="D474" t="s">
        <v>358</v>
      </c>
      <c r="E474">
        <v>13</v>
      </c>
      <c r="F474" s="166">
        <v>581</v>
      </c>
      <c r="G474">
        <v>7553</v>
      </c>
    </row>
    <row r="475" spans="1:7">
      <c r="A475" t="s">
        <v>364</v>
      </c>
      <c r="B475" s="165">
        <v>41767</v>
      </c>
      <c r="C475" t="s">
        <v>351</v>
      </c>
      <c r="D475" t="s">
        <v>352</v>
      </c>
      <c r="E475">
        <v>12</v>
      </c>
      <c r="F475" s="166">
        <v>491.25</v>
      </c>
      <c r="G475">
        <v>5895</v>
      </c>
    </row>
    <row r="476" spans="1:7">
      <c r="A476" t="s">
        <v>364</v>
      </c>
      <c r="B476" s="165">
        <v>41774</v>
      </c>
      <c r="C476" t="s">
        <v>357</v>
      </c>
      <c r="D476" t="s">
        <v>358</v>
      </c>
      <c r="E476">
        <v>1</v>
      </c>
      <c r="F476" s="166">
        <v>400</v>
      </c>
      <c r="G476">
        <v>400</v>
      </c>
    </row>
    <row r="477" spans="1:7">
      <c r="A477" t="s">
        <v>364</v>
      </c>
      <c r="B477" s="165">
        <v>41781</v>
      </c>
      <c r="C477" t="s">
        <v>355</v>
      </c>
      <c r="D477" t="s">
        <v>356</v>
      </c>
      <c r="E477">
        <v>2</v>
      </c>
      <c r="F477" s="166">
        <v>570</v>
      </c>
      <c r="G477">
        <v>1140</v>
      </c>
    </row>
    <row r="478" spans="1:7">
      <c r="A478" t="s">
        <v>364</v>
      </c>
      <c r="B478" s="165">
        <v>41781</v>
      </c>
      <c r="C478" t="s">
        <v>351</v>
      </c>
      <c r="D478" t="s">
        <v>352</v>
      </c>
      <c r="E478">
        <v>1</v>
      </c>
      <c r="F478" s="166">
        <v>375</v>
      </c>
      <c r="G478">
        <v>375</v>
      </c>
    </row>
    <row r="479" spans="1:7">
      <c r="A479" t="s">
        <v>364</v>
      </c>
      <c r="B479" s="165">
        <v>41781</v>
      </c>
      <c r="C479" t="s">
        <v>351</v>
      </c>
      <c r="D479" t="s">
        <v>352</v>
      </c>
      <c r="E479">
        <v>20</v>
      </c>
      <c r="F479" s="166">
        <v>509.35</v>
      </c>
      <c r="G479">
        <v>10187</v>
      </c>
    </row>
    <row r="480" spans="1:7">
      <c r="A480" t="s">
        <v>364</v>
      </c>
      <c r="B480" s="165">
        <v>41795</v>
      </c>
      <c r="C480" t="s">
        <v>353</v>
      </c>
      <c r="D480" t="s">
        <v>354</v>
      </c>
      <c r="E480">
        <v>11</v>
      </c>
      <c r="F480" s="166">
        <v>780</v>
      </c>
      <c r="G480">
        <v>8580</v>
      </c>
    </row>
    <row r="481" spans="1:7">
      <c r="A481" t="s">
        <v>364</v>
      </c>
      <c r="B481" s="165">
        <v>41802</v>
      </c>
      <c r="C481" t="s">
        <v>359</v>
      </c>
      <c r="D481" t="s">
        <v>360</v>
      </c>
      <c r="E481">
        <v>4</v>
      </c>
      <c r="F481" s="166">
        <v>132.25</v>
      </c>
      <c r="G481">
        <v>529</v>
      </c>
    </row>
    <row r="482" spans="1:7">
      <c r="A482" t="s">
        <v>364</v>
      </c>
      <c r="B482" s="165">
        <v>41802</v>
      </c>
      <c r="C482" t="s">
        <v>359</v>
      </c>
      <c r="D482" t="s">
        <v>360</v>
      </c>
      <c r="E482">
        <v>1</v>
      </c>
      <c r="F482" s="166">
        <v>641</v>
      </c>
      <c r="G482">
        <v>641</v>
      </c>
    </row>
    <row r="483" spans="1:7">
      <c r="A483" t="s">
        <v>364</v>
      </c>
      <c r="B483" s="165">
        <v>41802</v>
      </c>
      <c r="C483" t="s">
        <v>355</v>
      </c>
      <c r="D483" t="s">
        <v>356</v>
      </c>
      <c r="E483">
        <v>2</v>
      </c>
      <c r="F483" s="166">
        <v>595</v>
      </c>
      <c r="G483">
        <v>1190</v>
      </c>
    </row>
    <row r="484" spans="1:7">
      <c r="A484" t="s">
        <v>364</v>
      </c>
      <c r="B484" s="165">
        <v>41802</v>
      </c>
      <c r="C484" t="s">
        <v>357</v>
      </c>
      <c r="D484" t="s">
        <v>358</v>
      </c>
      <c r="E484">
        <v>8</v>
      </c>
      <c r="F484" s="166">
        <v>197.125</v>
      </c>
      <c r="G484">
        <v>1577</v>
      </c>
    </row>
    <row r="485" spans="1:7">
      <c r="A485" t="s">
        <v>364</v>
      </c>
      <c r="B485" s="165">
        <v>41802</v>
      </c>
      <c r="C485" t="s">
        <v>351</v>
      </c>
      <c r="D485" t="s">
        <v>352</v>
      </c>
      <c r="E485">
        <v>1</v>
      </c>
      <c r="F485" s="166">
        <v>625</v>
      </c>
      <c r="G485">
        <v>625</v>
      </c>
    </row>
    <row r="486" spans="1:7">
      <c r="A486" t="s">
        <v>364</v>
      </c>
      <c r="B486" s="165">
        <v>41802</v>
      </c>
      <c r="C486" t="s">
        <v>351</v>
      </c>
      <c r="D486" t="s">
        <v>352</v>
      </c>
      <c r="E486">
        <v>2</v>
      </c>
      <c r="F486" s="166">
        <v>725</v>
      </c>
      <c r="G486">
        <v>1450</v>
      </c>
    </row>
    <row r="487" spans="1:7">
      <c r="A487" t="s">
        <v>364</v>
      </c>
      <c r="B487" s="165">
        <v>41802</v>
      </c>
      <c r="C487" t="s">
        <v>351</v>
      </c>
      <c r="D487" t="s">
        <v>352</v>
      </c>
      <c r="E487">
        <v>4</v>
      </c>
      <c r="F487" s="166">
        <v>730</v>
      </c>
      <c r="G487">
        <v>2920</v>
      </c>
    </row>
    <row r="488" spans="1:7">
      <c r="A488" t="s">
        <v>364</v>
      </c>
      <c r="B488" s="165">
        <v>41802</v>
      </c>
      <c r="C488" t="s">
        <v>351</v>
      </c>
      <c r="D488" t="s">
        <v>352</v>
      </c>
      <c r="E488">
        <v>15</v>
      </c>
      <c r="F488" s="166">
        <v>407</v>
      </c>
      <c r="G488">
        <v>6105</v>
      </c>
    </row>
    <row r="489" spans="1:7">
      <c r="A489" t="s">
        <v>364</v>
      </c>
      <c r="B489" s="165">
        <v>41810</v>
      </c>
      <c r="C489" t="s">
        <v>359</v>
      </c>
      <c r="D489" t="s">
        <v>360</v>
      </c>
      <c r="E489">
        <v>10</v>
      </c>
      <c r="F489" s="166">
        <v>625</v>
      </c>
      <c r="G489">
        <v>6250</v>
      </c>
    </row>
    <row r="490" spans="1:7">
      <c r="A490" t="s">
        <v>364</v>
      </c>
      <c r="B490" s="165">
        <v>41810</v>
      </c>
      <c r="C490" t="s">
        <v>357</v>
      </c>
      <c r="D490" t="s">
        <v>358</v>
      </c>
      <c r="E490">
        <v>1</v>
      </c>
      <c r="F490" s="166">
        <v>450</v>
      </c>
      <c r="G490">
        <v>450</v>
      </c>
    </row>
    <row r="491" spans="1:7">
      <c r="A491" t="s">
        <v>364</v>
      </c>
      <c r="B491" s="165">
        <v>41810</v>
      </c>
      <c r="C491" t="s">
        <v>351</v>
      </c>
      <c r="D491" t="s">
        <v>352</v>
      </c>
      <c r="E491">
        <v>12</v>
      </c>
      <c r="F491" s="166">
        <v>475</v>
      </c>
      <c r="G491">
        <v>5700</v>
      </c>
    </row>
    <row r="492" spans="1:7">
      <c r="A492" t="s">
        <v>364</v>
      </c>
      <c r="B492" s="165">
        <v>41816</v>
      </c>
      <c r="C492" t="s">
        <v>357</v>
      </c>
      <c r="D492" t="s">
        <v>358</v>
      </c>
      <c r="E492">
        <v>4</v>
      </c>
      <c r="F492" s="166">
        <v>260</v>
      </c>
      <c r="G492">
        <v>1040</v>
      </c>
    </row>
    <row r="493" spans="1:7">
      <c r="A493" t="s">
        <v>364</v>
      </c>
      <c r="B493" s="165">
        <v>41823</v>
      </c>
      <c r="C493" t="s">
        <v>359</v>
      </c>
      <c r="D493" t="s">
        <v>360</v>
      </c>
      <c r="E493">
        <v>10</v>
      </c>
      <c r="F493" s="166">
        <v>331.2</v>
      </c>
      <c r="G493">
        <v>3312</v>
      </c>
    </row>
    <row r="494" spans="1:7">
      <c r="A494" t="s">
        <v>364</v>
      </c>
      <c r="B494" s="165">
        <v>41830</v>
      </c>
      <c r="C494" t="s">
        <v>359</v>
      </c>
      <c r="D494" t="s">
        <v>360</v>
      </c>
      <c r="E494">
        <v>2</v>
      </c>
      <c r="F494" s="166">
        <v>409</v>
      </c>
      <c r="G494">
        <v>818</v>
      </c>
    </row>
    <row r="495" spans="1:7">
      <c r="A495" t="s">
        <v>364</v>
      </c>
      <c r="B495" s="165">
        <v>41830</v>
      </c>
      <c r="C495" t="s">
        <v>357</v>
      </c>
      <c r="D495" t="s">
        <v>358</v>
      </c>
      <c r="E495">
        <v>2</v>
      </c>
      <c r="F495" s="166">
        <v>295</v>
      </c>
      <c r="G495">
        <v>590</v>
      </c>
    </row>
    <row r="496" spans="1:7">
      <c r="A496" t="s">
        <v>364</v>
      </c>
      <c r="B496" s="165">
        <v>41830</v>
      </c>
      <c r="C496" t="s">
        <v>357</v>
      </c>
      <c r="D496" t="s">
        <v>358</v>
      </c>
      <c r="E496">
        <v>2</v>
      </c>
      <c r="F496" s="166">
        <v>339</v>
      </c>
      <c r="G496">
        <v>678</v>
      </c>
    </row>
    <row r="497" spans="1:7">
      <c r="A497" t="s">
        <v>364</v>
      </c>
      <c r="B497" s="165">
        <v>41844</v>
      </c>
      <c r="C497" t="s">
        <v>359</v>
      </c>
      <c r="D497" t="s">
        <v>360</v>
      </c>
      <c r="E497">
        <v>4</v>
      </c>
      <c r="F497" s="166">
        <v>550</v>
      </c>
      <c r="G497">
        <v>2200</v>
      </c>
    </row>
    <row r="498" spans="1:7">
      <c r="A498" t="s">
        <v>364</v>
      </c>
      <c r="B498" s="165">
        <v>41844</v>
      </c>
      <c r="C498" t="s">
        <v>359</v>
      </c>
      <c r="D498" t="s">
        <v>360</v>
      </c>
      <c r="E498">
        <v>5</v>
      </c>
      <c r="F498" s="166">
        <v>677</v>
      </c>
      <c r="G498">
        <v>3385</v>
      </c>
    </row>
    <row r="499" spans="1:7">
      <c r="A499" t="s">
        <v>364</v>
      </c>
      <c r="B499" s="165">
        <v>41844</v>
      </c>
      <c r="C499" t="s">
        <v>355</v>
      </c>
      <c r="D499" t="s">
        <v>356</v>
      </c>
      <c r="E499">
        <v>1</v>
      </c>
      <c r="F499" s="166">
        <v>547</v>
      </c>
      <c r="G499">
        <v>547</v>
      </c>
    </row>
    <row r="500" spans="1:7">
      <c r="A500" t="s">
        <v>364</v>
      </c>
      <c r="B500" s="165">
        <v>41844</v>
      </c>
      <c r="C500" t="s">
        <v>355</v>
      </c>
      <c r="D500" t="s">
        <v>356</v>
      </c>
      <c r="E500">
        <v>5</v>
      </c>
      <c r="F500" s="166">
        <v>732</v>
      </c>
      <c r="G500">
        <v>3660</v>
      </c>
    </row>
    <row r="501" spans="1:7">
      <c r="A501" t="s">
        <v>364</v>
      </c>
      <c r="B501" s="165">
        <v>41844</v>
      </c>
      <c r="C501" t="s">
        <v>353</v>
      </c>
      <c r="D501" t="s">
        <v>354</v>
      </c>
      <c r="E501">
        <v>3</v>
      </c>
      <c r="F501" s="166">
        <v>547.33333333333337</v>
      </c>
      <c r="G501">
        <v>1642</v>
      </c>
    </row>
    <row r="502" spans="1:7">
      <c r="A502" t="s">
        <v>364</v>
      </c>
      <c r="B502" s="165">
        <v>41844</v>
      </c>
      <c r="C502" t="s">
        <v>357</v>
      </c>
      <c r="D502" t="s">
        <v>358</v>
      </c>
      <c r="E502">
        <v>8</v>
      </c>
      <c r="F502" s="166">
        <v>375</v>
      </c>
      <c r="G502">
        <v>3000</v>
      </c>
    </row>
    <row r="503" spans="1:7">
      <c r="A503" t="s">
        <v>364</v>
      </c>
      <c r="B503" s="165">
        <v>41844</v>
      </c>
      <c r="C503" t="s">
        <v>351</v>
      </c>
      <c r="D503" t="s">
        <v>352</v>
      </c>
      <c r="E503">
        <v>1</v>
      </c>
      <c r="F503" s="166">
        <v>375</v>
      </c>
      <c r="G503">
        <v>375</v>
      </c>
    </row>
    <row r="504" spans="1:7">
      <c r="A504" t="s">
        <v>364</v>
      </c>
      <c r="B504" s="165">
        <v>41844</v>
      </c>
      <c r="C504" t="s">
        <v>351</v>
      </c>
      <c r="D504" t="s">
        <v>352</v>
      </c>
      <c r="E504">
        <v>2</v>
      </c>
      <c r="F504" s="166">
        <v>375</v>
      </c>
      <c r="G504">
        <v>750</v>
      </c>
    </row>
    <row r="505" spans="1:7">
      <c r="A505" t="s">
        <v>364</v>
      </c>
      <c r="B505" s="165">
        <v>41844</v>
      </c>
      <c r="C505" t="s">
        <v>351</v>
      </c>
      <c r="D505" t="s">
        <v>352</v>
      </c>
      <c r="E505">
        <v>13</v>
      </c>
      <c r="F505" s="166">
        <v>417.30769230769232</v>
      </c>
      <c r="G505">
        <v>5425</v>
      </c>
    </row>
    <row r="506" spans="1:7">
      <c r="A506" t="s">
        <v>364</v>
      </c>
      <c r="B506" s="165">
        <v>41858</v>
      </c>
      <c r="C506" t="s">
        <v>355</v>
      </c>
      <c r="D506" t="s">
        <v>356</v>
      </c>
      <c r="E506">
        <v>4</v>
      </c>
      <c r="F506" s="166">
        <v>695</v>
      </c>
      <c r="G506">
        <v>2780</v>
      </c>
    </row>
    <row r="507" spans="1:7">
      <c r="A507" t="s">
        <v>364</v>
      </c>
      <c r="B507" s="165">
        <v>41858</v>
      </c>
      <c r="C507" t="s">
        <v>357</v>
      </c>
      <c r="D507" t="s">
        <v>358</v>
      </c>
      <c r="E507">
        <v>6</v>
      </c>
      <c r="F507" s="166">
        <v>225</v>
      </c>
      <c r="G507">
        <v>1350</v>
      </c>
    </row>
    <row r="508" spans="1:7">
      <c r="A508" t="s">
        <v>364</v>
      </c>
      <c r="B508" s="165">
        <v>41858</v>
      </c>
      <c r="C508" t="s">
        <v>351</v>
      </c>
      <c r="D508" t="s">
        <v>352</v>
      </c>
      <c r="E508">
        <v>6</v>
      </c>
      <c r="F508" s="166">
        <v>405</v>
      </c>
      <c r="G508">
        <v>2430</v>
      </c>
    </row>
    <row r="509" spans="1:7">
      <c r="A509" t="s">
        <v>364</v>
      </c>
      <c r="B509" s="165">
        <v>41865</v>
      </c>
      <c r="C509" t="s">
        <v>355</v>
      </c>
      <c r="D509" t="s">
        <v>356</v>
      </c>
      <c r="E509">
        <v>5</v>
      </c>
      <c r="F509" s="166">
        <v>864</v>
      </c>
      <c r="G509">
        <v>4320</v>
      </c>
    </row>
    <row r="510" spans="1:7">
      <c r="A510" t="s">
        <v>364</v>
      </c>
      <c r="B510" s="165">
        <v>41865</v>
      </c>
      <c r="C510" t="s">
        <v>357</v>
      </c>
      <c r="D510" t="s">
        <v>358</v>
      </c>
      <c r="E510">
        <v>4</v>
      </c>
      <c r="F510" s="166">
        <v>264</v>
      </c>
      <c r="G510">
        <v>1056</v>
      </c>
    </row>
    <row r="511" spans="1:7">
      <c r="A511" t="s">
        <v>364</v>
      </c>
      <c r="B511" s="165">
        <v>41865</v>
      </c>
      <c r="C511" t="s">
        <v>351</v>
      </c>
      <c r="D511" t="s">
        <v>352</v>
      </c>
      <c r="E511">
        <v>4</v>
      </c>
      <c r="F511" s="166">
        <v>460</v>
      </c>
      <c r="G511">
        <v>1840</v>
      </c>
    </row>
    <row r="512" spans="1:7">
      <c r="A512" t="s">
        <v>364</v>
      </c>
      <c r="B512" s="165">
        <v>41872</v>
      </c>
      <c r="C512" t="s">
        <v>359</v>
      </c>
      <c r="D512" t="s">
        <v>360</v>
      </c>
      <c r="E512">
        <v>8</v>
      </c>
      <c r="F512" s="166">
        <v>805.75</v>
      </c>
      <c r="G512">
        <v>6446</v>
      </c>
    </row>
    <row r="513" spans="1:7">
      <c r="A513" t="s">
        <v>364</v>
      </c>
      <c r="B513" s="165">
        <v>41872</v>
      </c>
      <c r="C513" t="s">
        <v>357</v>
      </c>
      <c r="D513" t="s">
        <v>358</v>
      </c>
      <c r="E513">
        <v>16</v>
      </c>
      <c r="F513" s="166">
        <v>501.625</v>
      </c>
      <c r="G513">
        <v>8026</v>
      </c>
    </row>
    <row r="514" spans="1:7">
      <c r="A514" t="s">
        <v>364</v>
      </c>
      <c r="B514" s="165">
        <v>41872</v>
      </c>
      <c r="C514" t="s">
        <v>351</v>
      </c>
      <c r="D514" t="s">
        <v>352</v>
      </c>
      <c r="E514">
        <v>26</v>
      </c>
      <c r="F514" s="166">
        <v>746.46153846153845</v>
      </c>
      <c r="G514">
        <v>19408</v>
      </c>
    </row>
    <row r="515" spans="1:7">
      <c r="A515" t="s">
        <v>364</v>
      </c>
      <c r="B515" s="165">
        <v>41879</v>
      </c>
      <c r="C515" t="s">
        <v>357</v>
      </c>
      <c r="D515" t="s">
        <v>358</v>
      </c>
      <c r="E515">
        <v>15</v>
      </c>
      <c r="F515" s="166">
        <v>345</v>
      </c>
      <c r="G515">
        <v>5175</v>
      </c>
    </row>
    <row r="516" spans="1:7">
      <c r="A516" t="s">
        <v>364</v>
      </c>
      <c r="B516" s="165">
        <v>41879</v>
      </c>
      <c r="C516" t="s">
        <v>351</v>
      </c>
      <c r="D516" t="s">
        <v>352</v>
      </c>
      <c r="E516">
        <v>5</v>
      </c>
      <c r="F516" s="166">
        <v>418</v>
      </c>
      <c r="G516">
        <v>2090</v>
      </c>
    </row>
    <row r="517" spans="1:7">
      <c r="A517" t="s">
        <v>364</v>
      </c>
      <c r="B517" s="165">
        <v>41893</v>
      </c>
      <c r="C517" t="s">
        <v>359</v>
      </c>
      <c r="D517" t="s">
        <v>360</v>
      </c>
      <c r="E517">
        <v>1</v>
      </c>
      <c r="F517" s="166">
        <v>650</v>
      </c>
      <c r="G517">
        <v>650</v>
      </c>
    </row>
    <row r="518" spans="1:7">
      <c r="A518" t="s">
        <v>364</v>
      </c>
      <c r="B518" s="165">
        <v>41893</v>
      </c>
      <c r="C518" t="s">
        <v>359</v>
      </c>
      <c r="D518" t="s">
        <v>360</v>
      </c>
      <c r="E518">
        <v>11</v>
      </c>
      <c r="F518" s="166">
        <v>268.18181818181819</v>
      </c>
      <c r="G518">
        <v>2950</v>
      </c>
    </row>
    <row r="519" spans="1:7">
      <c r="A519" t="s">
        <v>364</v>
      </c>
      <c r="B519" s="165">
        <v>41893</v>
      </c>
      <c r="C519" t="s">
        <v>355</v>
      </c>
      <c r="D519" t="s">
        <v>356</v>
      </c>
      <c r="E519">
        <v>6</v>
      </c>
      <c r="F519" s="166">
        <v>1200</v>
      </c>
      <c r="G519">
        <v>7200</v>
      </c>
    </row>
    <row r="520" spans="1:7">
      <c r="A520" t="s">
        <v>364</v>
      </c>
      <c r="B520" s="165">
        <v>41893</v>
      </c>
      <c r="C520" t="s">
        <v>357</v>
      </c>
      <c r="D520" t="s">
        <v>358</v>
      </c>
      <c r="E520">
        <v>1</v>
      </c>
      <c r="F520" s="166">
        <v>445</v>
      </c>
      <c r="G520">
        <v>445</v>
      </c>
    </row>
    <row r="521" spans="1:7">
      <c r="A521" t="s">
        <v>364</v>
      </c>
      <c r="B521" s="165">
        <v>41893</v>
      </c>
      <c r="C521" t="s">
        <v>351</v>
      </c>
      <c r="D521" t="s">
        <v>352</v>
      </c>
      <c r="E521">
        <v>5</v>
      </c>
      <c r="F521" s="166">
        <v>775</v>
      </c>
      <c r="G521">
        <v>3875</v>
      </c>
    </row>
    <row r="522" spans="1:7">
      <c r="A522" t="s">
        <v>364</v>
      </c>
      <c r="B522" s="165">
        <v>41900</v>
      </c>
      <c r="C522" t="s">
        <v>359</v>
      </c>
      <c r="D522" t="s">
        <v>360</v>
      </c>
      <c r="E522">
        <v>5</v>
      </c>
      <c r="F522" s="166">
        <v>674.4</v>
      </c>
      <c r="G522">
        <v>3372</v>
      </c>
    </row>
    <row r="523" spans="1:7">
      <c r="A523" t="s">
        <v>364</v>
      </c>
      <c r="B523" s="165">
        <v>41900</v>
      </c>
      <c r="C523" t="s">
        <v>355</v>
      </c>
      <c r="D523" t="s">
        <v>356</v>
      </c>
      <c r="E523">
        <v>18</v>
      </c>
      <c r="F523" s="166">
        <v>854</v>
      </c>
      <c r="G523">
        <v>15372</v>
      </c>
    </row>
    <row r="524" spans="1:7">
      <c r="A524" t="s">
        <v>364</v>
      </c>
      <c r="B524" s="165">
        <v>41900</v>
      </c>
      <c r="C524" t="s">
        <v>353</v>
      </c>
      <c r="D524" t="s">
        <v>354</v>
      </c>
      <c r="E524">
        <v>12</v>
      </c>
      <c r="F524" s="166">
        <v>885.5</v>
      </c>
      <c r="G524">
        <v>10626</v>
      </c>
    </row>
    <row r="525" spans="1:7">
      <c r="A525" t="s">
        <v>364</v>
      </c>
      <c r="B525" s="165">
        <v>41915</v>
      </c>
      <c r="C525" t="s">
        <v>355</v>
      </c>
      <c r="D525" t="s">
        <v>356</v>
      </c>
      <c r="E525">
        <v>4</v>
      </c>
      <c r="F525" s="166">
        <v>510</v>
      </c>
      <c r="G525">
        <v>2040</v>
      </c>
    </row>
    <row r="526" spans="1:7">
      <c r="A526" t="s">
        <v>364</v>
      </c>
      <c r="B526" s="165">
        <v>41915</v>
      </c>
      <c r="C526" t="s">
        <v>357</v>
      </c>
      <c r="D526" t="s">
        <v>358</v>
      </c>
      <c r="E526">
        <v>6</v>
      </c>
      <c r="F526" s="166">
        <v>230</v>
      </c>
      <c r="G526">
        <v>1380</v>
      </c>
    </row>
    <row r="527" spans="1:7">
      <c r="A527" t="s">
        <v>364</v>
      </c>
      <c r="B527" s="165">
        <v>41915</v>
      </c>
      <c r="C527" t="s">
        <v>357</v>
      </c>
      <c r="D527" t="s">
        <v>358</v>
      </c>
      <c r="E527">
        <v>6</v>
      </c>
      <c r="F527" s="166">
        <v>433.33333333333331</v>
      </c>
      <c r="G527">
        <v>2600</v>
      </c>
    </row>
    <row r="528" spans="1:7">
      <c r="A528" t="s">
        <v>364</v>
      </c>
      <c r="B528" s="165">
        <v>41921</v>
      </c>
      <c r="C528" t="s">
        <v>359</v>
      </c>
      <c r="D528" t="s">
        <v>360</v>
      </c>
      <c r="E528">
        <v>6</v>
      </c>
      <c r="F528" s="166">
        <v>730</v>
      </c>
      <c r="G528">
        <v>4380</v>
      </c>
    </row>
    <row r="529" spans="1:7">
      <c r="A529" t="s">
        <v>364</v>
      </c>
      <c r="B529" s="165">
        <v>41921</v>
      </c>
      <c r="C529" t="s">
        <v>359</v>
      </c>
      <c r="D529" t="s">
        <v>360</v>
      </c>
      <c r="E529">
        <v>10</v>
      </c>
      <c r="F529" s="166">
        <v>450</v>
      </c>
      <c r="G529">
        <v>4500</v>
      </c>
    </row>
    <row r="530" spans="1:7">
      <c r="A530" t="s">
        <v>364</v>
      </c>
      <c r="B530" s="165">
        <v>41921</v>
      </c>
      <c r="C530" t="s">
        <v>359</v>
      </c>
      <c r="D530" t="s">
        <v>360</v>
      </c>
      <c r="E530">
        <v>5</v>
      </c>
      <c r="F530" s="166">
        <v>1000</v>
      </c>
      <c r="G530">
        <v>5000</v>
      </c>
    </row>
    <row r="531" spans="1:7">
      <c r="A531" t="s">
        <v>364</v>
      </c>
      <c r="B531" s="165">
        <v>41921</v>
      </c>
      <c r="C531" t="s">
        <v>355</v>
      </c>
      <c r="D531" t="s">
        <v>356</v>
      </c>
      <c r="E531">
        <v>4</v>
      </c>
      <c r="F531" s="166">
        <v>189.5</v>
      </c>
      <c r="G531">
        <v>758</v>
      </c>
    </row>
    <row r="532" spans="1:7">
      <c r="A532" t="s">
        <v>364</v>
      </c>
      <c r="B532" s="165">
        <v>41921</v>
      </c>
      <c r="C532" t="s">
        <v>355</v>
      </c>
      <c r="D532" t="s">
        <v>356</v>
      </c>
      <c r="E532">
        <v>3</v>
      </c>
      <c r="F532" s="166">
        <v>1000</v>
      </c>
      <c r="G532">
        <v>3000</v>
      </c>
    </row>
    <row r="533" spans="1:7">
      <c r="A533" t="s">
        <v>364</v>
      </c>
      <c r="B533" s="165">
        <v>41921</v>
      </c>
      <c r="C533" t="s">
        <v>355</v>
      </c>
      <c r="D533" t="s">
        <v>356</v>
      </c>
      <c r="E533">
        <v>7</v>
      </c>
      <c r="F533" s="166">
        <v>868</v>
      </c>
      <c r="G533">
        <v>6076</v>
      </c>
    </row>
    <row r="534" spans="1:7">
      <c r="A534" t="s">
        <v>364</v>
      </c>
      <c r="B534" s="165">
        <v>41921</v>
      </c>
      <c r="C534" t="s">
        <v>353</v>
      </c>
      <c r="D534" t="s">
        <v>354</v>
      </c>
      <c r="E534">
        <v>6</v>
      </c>
      <c r="F534" s="166">
        <v>1182</v>
      </c>
      <c r="G534">
        <v>7092</v>
      </c>
    </row>
    <row r="535" spans="1:7">
      <c r="A535" t="s">
        <v>364</v>
      </c>
      <c r="B535" s="165">
        <v>41921</v>
      </c>
      <c r="C535" t="s">
        <v>357</v>
      </c>
      <c r="D535" t="s">
        <v>358</v>
      </c>
      <c r="E535">
        <v>1</v>
      </c>
      <c r="F535" s="166">
        <v>235</v>
      </c>
      <c r="G535">
        <v>235</v>
      </c>
    </row>
    <row r="536" spans="1:7">
      <c r="A536" t="s">
        <v>364</v>
      </c>
      <c r="B536" s="165">
        <v>41921</v>
      </c>
      <c r="C536" t="s">
        <v>357</v>
      </c>
      <c r="D536" t="s">
        <v>358</v>
      </c>
      <c r="E536">
        <v>1</v>
      </c>
      <c r="F536" s="166">
        <v>589</v>
      </c>
      <c r="G536">
        <v>589</v>
      </c>
    </row>
    <row r="537" spans="1:7">
      <c r="A537" t="s">
        <v>364</v>
      </c>
      <c r="B537" s="165">
        <v>41921</v>
      </c>
      <c r="C537" t="s">
        <v>351</v>
      </c>
      <c r="D537" t="s">
        <v>352</v>
      </c>
      <c r="E537">
        <v>1</v>
      </c>
      <c r="F537" s="166">
        <v>600</v>
      </c>
      <c r="G537">
        <v>600</v>
      </c>
    </row>
    <row r="538" spans="1:7">
      <c r="A538" t="s">
        <v>364</v>
      </c>
      <c r="B538" s="165">
        <v>41921</v>
      </c>
      <c r="C538" t="s">
        <v>351</v>
      </c>
      <c r="D538" t="s">
        <v>352</v>
      </c>
      <c r="E538">
        <v>1</v>
      </c>
      <c r="F538" s="166">
        <v>650</v>
      </c>
      <c r="G538">
        <v>650</v>
      </c>
    </row>
    <row r="539" spans="1:7">
      <c r="A539" t="s">
        <v>364</v>
      </c>
      <c r="B539" s="165">
        <v>41921</v>
      </c>
      <c r="C539" t="s">
        <v>351</v>
      </c>
      <c r="D539" t="s">
        <v>352</v>
      </c>
      <c r="E539">
        <v>4</v>
      </c>
      <c r="F539" s="166">
        <v>175</v>
      </c>
      <c r="G539">
        <v>700</v>
      </c>
    </row>
    <row r="540" spans="1:7">
      <c r="A540" t="s">
        <v>364</v>
      </c>
      <c r="B540" s="165">
        <v>41921</v>
      </c>
      <c r="C540" t="s">
        <v>351</v>
      </c>
      <c r="D540" t="s">
        <v>352</v>
      </c>
      <c r="E540">
        <v>11</v>
      </c>
      <c r="F540" s="166">
        <v>450</v>
      </c>
      <c r="G540">
        <v>4950</v>
      </c>
    </row>
    <row r="541" spans="1:7">
      <c r="A541" t="s">
        <v>364</v>
      </c>
      <c r="B541" s="165">
        <v>41936</v>
      </c>
      <c r="C541" t="s">
        <v>355</v>
      </c>
      <c r="D541" t="s">
        <v>356</v>
      </c>
      <c r="E541">
        <v>8</v>
      </c>
      <c r="F541" s="166">
        <v>685</v>
      </c>
      <c r="G541">
        <v>5480</v>
      </c>
    </row>
    <row r="542" spans="1:7">
      <c r="A542" t="s">
        <v>364</v>
      </c>
      <c r="B542" s="165">
        <v>41936</v>
      </c>
      <c r="C542" t="s">
        <v>357</v>
      </c>
      <c r="D542" t="s">
        <v>358</v>
      </c>
      <c r="E542">
        <v>5</v>
      </c>
      <c r="F542" s="166">
        <v>264</v>
      </c>
      <c r="G542">
        <v>1320</v>
      </c>
    </row>
    <row r="543" spans="1:7">
      <c r="A543" t="s">
        <v>364</v>
      </c>
      <c r="B543" s="165">
        <v>41943</v>
      </c>
      <c r="C543" t="s">
        <v>359</v>
      </c>
      <c r="D543" t="s">
        <v>360</v>
      </c>
      <c r="E543">
        <v>4</v>
      </c>
      <c r="F543" s="166">
        <v>670</v>
      </c>
      <c r="G543">
        <v>2680</v>
      </c>
    </row>
    <row r="544" spans="1:7">
      <c r="A544" t="s">
        <v>364</v>
      </c>
      <c r="B544" s="165">
        <v>41943</v>
      </c>
      <c r="C544" t="s">
        <v>355</v>
      </c>
      <c r="D544" t="s">
        <v>356</v>
      </c>
      <c r="E544">
        <v>1</v>
      </c>
      <c r="F544" s="166">
        <v>796</v>
      </c>
      <c r="G544">
        <v>796</v>
      </c>
    </row>
    <row r="545" spans="1:7">
      <c r="A545" t="s">
        <v>364</v>
      </c>
      <c r="B545" s="165">
        <v>41943</v>
      </c>
      <c r="C545" t="s">
        <v>355</v>
      </c>
      <c r="D545" t="s">
        <v>356</v>
      </c>
      <c r="E545">
        <v>10</v>
      </c>
      <c r="F545" s="166">
        <v>796</v>
      </c>
      <c r="G545">
        <v>7960</v>
      </c>
    </row>
    <row r="546" spans="1:7">
      <c r="A546" t="s">
        <v>364</v>
      </c>
      <c r="B546" s="165">
        <v>41943</v>
      </c>
      <c r="C546" t="s">
        <v>351</v>
      </c>
      <c r="D546" t="s">
        <v>352</v>
      </c>
      <c r="E546">
        <v>31</v>
      </c>
      <c r="F546" s="166">
        <v>439.51612903225805</v>
      </c>
      <c r="G546">
        <v>13625</v>
      </c>
    </row>
    <row r="547" spans="1:7">
      <c r="A547" t="s">
        <v>364</v>
      </c>
      <c r="B547" s="165">
        <v>41949</v>
      </c>
      <c r="C547" t="s">
        <v>359</v>
      </c>
      <c r="D547" t="s">
        <v>360</v>
      </c>
      <c r="E547">
        <v>2</v>
      </c>
      <c r="F547" s="166">
        <v>390</v>
      </c>
      <c r="G547">
        <v>780</v>
      </c>
    </row>
    <row r="548" spans="1:7">
      <c r="A548" t="s">
        <v>364</v>
      </c>
      <c r="B548" s="165">
        <v>41949</v>
      </c>
      <c r="C548" t="s">
        <v>355</v>
      </c>
      <c r="D548" t="s">
        <v>356</v>
      </c>
      <c r="E548">
        <v>3</v>
      </c>
      <c r="F548" s="166">
        <v>1950</v>
      </c>
      <c r="G548">
        <v>5850</v>
      </c>
    </row>
    <row r="549" spans="1:7">
      <c r="A549" t="s">
        <v>364</v>
      </c>
      <c r="B549" s="165">
        <v>41949</v>
      </c>
      <c r="C549" t="s">
        <v>353</v>
      </c>
      <c r="D549" t="s">
        <v>354</v>
      </c>
      <c r="E549">
        <v>3</v>
      </c>
      <c r="F549" s="166">
        <v>1900</v>
      </c>
      <c r="G549">
        <v>5700</v>
      </c>
    </row>
    <row r="550" spans="1:7">
      <c r="A550" t="s">
        <v>364</v>
      </c>
      <c r="B550" s="165">
        <v>41949</v>
      </c>
      <c r="C550" t="s">
        <v>353</v>
      </c>
      <c r="D550" t="s">
        <v>354</v>
      </c>
      <c r="E550">
        <v>12</v>
      </c>
      <c r="F550" s="166">
        <v>800</v>
      </c>
      <c r="G550">
        <v>9600</v>
      </c>
    </row>
    <row r="551" spans="1:7">
      <c r="A551" t="s">
        <v>364</v>
      </c>
      <c r="B551" s="165">
        <v>41949</v>
      </c>
      <c r="C551" t="s">
        <v>357</v>
      </c>
      <c r="D551" t="s">
        <v>358</v>
      </c>
      <c r="E551">
        <v>3</v>
      </c>
      <c r="F551" s="166">
        <v>400</v>
      </c>
      <c r="G551">
        <v>1200</v>
      </c>
    </row>
    <row r="552" spans="1:7">
      <c r="A552" t="s">
        <v>364</v>
      </c>
      <c r="B552" s="165">
        <v>41949</v>
      </c>
      <c r="C552" t="s">
        <v>351</v>
      </c>
      <c r="D552" t="s">
        <v>352</v>
      </c>
      <c r="E552">
        <v>5</v>
      </c>
      <c r="F552" s="166">
        <v>400</v>
      </c>
      <c r="G552">
        <v>2000</v>
      </c>
    </row>
    <row r="553" spans="1:7">
      <c r="A553" t="s">
        <v>364</v>
      </c>
      <c r="B553" s="165">
        <v>41949</v>
      </c>
      <c r="C553" t="s">
        <v>351</v>
      </c>
      <c r="D553" t="s">
        <v>352</v>
      </c>
      <c r="E553">
        <v>6</v>
      </c>
      <c r="F553" s="166">
        <v>390</v>
      </c>
      <c r="G553">
        <v>2340</v>
      </c>
    </row>
    <row r="554" spans="1:7">
      <c r="A554" t="s">
        <v>364</v>
      </c>
      <c r="B554" s="165">
        <v>41949</v>
      </c>
      <c r="C554" t="s">
        <v>351</v>
      </c>
      <c r="D554" t="s">
        <v>352</v>
      </c>
      <c r="E554">
        <v>8</v>
      </c>
      <c r="F554" s="166">
        <v>825</v>
      </c>
      <c r="G554">
        <v>6600</v>
      </c>
    </row>
    <row r="555" spans="1:7">
      <c r="A555" t="s">
        <v>364</v>
      </c>
      <c r="B555" s="165">
        <v>41957</v>
      </c>
      <c r="C555" t="s">
        <v>359</v>
      </c>
      <c r="D555" t="s">
        <v>360</v>
      </c>
      <c r="E555">
        <v>2</v>
      </c>
      <c r="F555" s="166">
        <v>680</v>
      </c>
      <c r="G555">
        <v>1360</v>
      </c>
    </row>
    <row r="556" spans="1:7">
      <c r="A556" t="s">
        <v>364</v>
      </c>
      <c r="B556" s="165">
        <v>41957</v>
      </c>
      <c r="C556" t="s">
        <v>355</v>
      </c>
      <c r="D556" t="s">
        <v>356</v>
      </c>
      <c r="E556">
        <v>17</v>
      </c>
      <c r="F556" s="166">
        <v>677.88235294117646</v>
      </c>
      <c r="G556">
        <v>11524</v>
      </c>
    </row>
    <row r="557" spans="1:7">
      <c r="A557" t="s">
        <v>364</v>
      </c>
      <c r="B557" s="165">
        <v>41957</v>
      </c>
      <c r="C557" t="s">
        <v>357</v>
      </c>
      <c r="D557" t="s">
        <v>358</v>
      </c>
      <c r="E557">
        <v>18</v>
      </c>
      <c r="F557" s="166">
        <v>350</v>
      </c>
      <c r="G557">
        <v>6300</v>
      </c>
    </row>
    <row r="558" spans="1:7">
      <c r="A558" t="s">
        <v>364</v>
      </c>
      <c r="B558" s="165">
        <v>41957</v>
      </c>
      <c r="C558" t="s">
        <v>357</v>
      </c>
      <c r="D558" t="s">
        <v>358</v>
      </c>
      <c r="E558">
        <v>22</v>
      </c>
      <c r="F558" s="166">
        <v>309</v>
      </c>
      <c r="G558">
        <v>6798</v>
      </c>
    </row>
    <row r="559" spans="1:7">
      <c r="A559" t="s">
        <v>364</v>
      </c>
      <c r="B559" s="165">
        <v>41963</v>
      </c>
      <c r="C559" t="s">
        <v>359</v>
      </c>
      <c r="D559" t="s">
        <v>360</v>
      </c>
      <c r="E559">
        <v>12</v>
      </c>
      <c r="F559" s="166">
        <v>295</v>
      </c>
      <c r="G559">
        <v>3540</v>
      </c>
    </row>
    <row r="560" spans="1:7">
      <c r="A560" t="s">
        <v>364</v>
      </c>
      <c r="B560" s="165">
        <v>41971</v>
      </c>
      <c r="C560" t="s">
        <v>353</v>
      </c>
      <c r="D560" t="s">
        <v>354</v>
      </c>
      <c r="E560">
        <v>4</v>
      </c>
      <c r="F560" s="166">
        <v>1622.5</v>
      </c>
      <c r="G560">
        <v>6490</v>
      </c>
    </row>
    <row r="561" spans="1:7">
      <c r="A561" t="s">
        <v>364</v>
      </c>
      <c r="B561" s="165">
        <v>41971</v>
      </c>
      <c r="C561" t="s">
        <v>351</v>
      </c>
      <c r="D561" t="s">
        <v>352</v>
      </c>
      <c r="E561">
        <v>1</v>
      </c>
      <c r="F561" s="166">
        <v>225</v>
      </c>
      <c r="G561">
        <v>225</v>
      </c>
    </row>
    <row r="562" spans="1:7">
      <c r="A562" t="s">
        <v>364</v>
      </c>
      <c r="B562" s="165">
        <v>41971</v>
      </c>
      <c r="C562" t="s">
        <v>351</v>
      </c>
      <c r="D562" t="s">
        <v>352</v>
      </c>
      <c r="E562">
        <v>2</v>
      </c>
      <c r="F562" s="166">
        <v>650</v>
      </c>
      <c r="G562">
        <v>1300</v>
      </c>
    </row>
    <row r="563" spans="1:7">
      <c r="A563" t="s">
        <v>364</v>
      </c>
      <c r="B563" s="165">
        <v>41977</v>
      </c>
      <c r="C563" t="s">
        <v>359</v>
      </c>
      <c r="D563" t="s">
        <v>360</v>
      </c>
      <c r="E563">
        <v>17</v>
      </c>
      <c r="F563" s="166">
        <v>690</v>
      </c>
      <c r="G563">
        <v>11730</v>
      </c>
    </row>
    <row r="564" spans="1:7">
      <c r="A564" t="s">
        <v>364</v>
      </c>
      <c r="B564" s="165">
        <v>41977</v>
      </c>
      <c r="C564" t="s">
        <v>359</v>
      </c>
      <c r="D564" t="s">
        <v>360</v>
      </c>
      <c r="E564">
        <v>32</v>
      </c>
      <c r="F564" s="166">
        <v>400</v>
      </c>
      <c r="G564">
        <v>12800</v>
      </c>
    </row>
    <row r="565" spans="1:7">
      <c r="A565" t="s">
        <v>364</v>
      </c>
      <c r="B565" s="165">
        <v>41977</v>
      </c>
      <c r="C565" t="s">
        <v>355</v>
      </c>
      <c r="D565" t="s">
        <v>356</v>
      </c>
      <c r="E565">
        <v>6</v>
      </c>
      <c r="F565" s="166">
        <v>400</v>
      </c>
      <c r="G565">
        <v>2400</v>
      </c>
    </row>
    <row r="566" spans="1:7">
      <c r="A566" t="s">
        <v>364</v>
      </c>
      <c r="B566" s="165">
        <v>41977</v>
      </c>
      <c r="C566" t="s">
        <v>353</v>
      </c>
      <c r="D566" t="s">
        <v>354</v>
      </c>
      <c r="E566">
        <v>288</v>
      </c>
      <c r="F566" s="166">
        <v>847.08333333333337</v>
      </c>
      <c r="G566">
        <v>243960</v>
      </c>
    </row>
    <row r="567" spans="1:7">
      <c r="A567" t="s">
        <v>364</v>
      </c>
      <c r="B567" s="165">
        <v>41977</v>
      </c>
      <c r="C567" t="s">
        <v>351</v>
      </c>
      <c r="D567" t="s">
        <v>352</v>
      </c>
      <c r="E567">
        <v>105</v>
      </c>
      <c r="F567" s="166">
        <v>400</v>
      </c>
      <c r="G567">
        <v>42000</v>
      </c>
    </row>
    <row r="568" spans="1:7">
      <c r="A568" t="s">
        <v>364</v>
      </c>
      <c r="B568" s="165">
        <v>41999</v>
      </c>
      <c r="C568" t="s">
        <v>359</v>
      </c>
      <c r="D568" t="s">
        <v>360</v>
      </c>
      <c r="E568">
        <v>3</v>
      </c>
      <c r="F568" s="166">
        <v>700</v>
      </c>
      <c r="G568">
        <v>2100</v>
      </c>
    </row>
    <row r="569" spans="1:7">
      <c r="A569" t="s">
        <v>364</v>
      </c>
      <c r="B569" s="165">
        <v>41999</v>
      </c>
      <c r="C569" t="s">
        <v>361</v>
      </c>
      <c r="D569" t="s">
        <v>362</v>
      </c>
      <c r="E569">
        <v>2</v>
      </c>
      <c r="F569" s="166">
        <v>980</v>
      </c>
      <c r="G569">
        <v>1960</v>
      </c>
    </row>
    <row r="570" spans="1:7">
      <c r="A570" t="s">
        <v>364</v>
      </c>
      <c r="B570" s="165">
        <v>41999</v>
      </c>
      <c r="C570" t="s">
        <v>357</v>
      </c>
      <c r="D570" t="s">
        <v>358</v>
      </c>
      <c r="E570">
        <v>5</v>
      </c>
      <c r="F570" s="166">
        <v>264.8</v>
      </c>
      <c r="G570">
        <v>1324</v>
      </c>
    </row>
    <row r="571" spans="1:7">
      <c r="A571" t="s">
        <v>364</v>
      </c>
      <c r="B571" s="165">
        <v>41999</v>
      </c>
      <c r="C571" t="s">
        <v>351</v>
      </c>
      <c r="D571" t="s">
        <v>352</v>
      </c>
      <c r="E571">
        <v>12</v>
      </c>
      <c r="F571" s="166">
        <v>469.58333333333331</v>
      </c>
      <c r="G571">
        <v>5635</v>
      </c>
    </row>
    <row r="572" spans="1:7">
      <c r="A572" t="s">
        <v>364</v>
      </c>
      <c r="B572" s="165">
        <v>42004</v>
      </c>
      <c r="C572" t="s">
        <v>355</v>
      </c>
      <c r="D572" t="s">
        <v>356</v>
      </c>
      <c r="E572">
        <v>3</v>
      </c>
      <c r="F572" s="166">
        <v>313.66666666666669</v>
      </c>
      <c r="G572">
        <v>941</v>
      </c>
    </row>
    <row r="573" spans="1:7">
      <c r="A573" t="s">
        <v>364</v>
      </c>
      <c r="B573" s="165">
        <v>42004</v>
      </c>
      <c r="C573" t="s">
        <v>357</v>
      </c>
      <c r="D573" t="s">
        <v>358</v>
      </c>
      <c r="E573">
        <v>11</v>
      </c>
      <c r="F573" s="166">
        <v>225</v>
      </c>
      <c r="G573">
        <v>2475</v>
      </c>
    </row>
    <row r="574" spans="1:7">
      <c r="A574" t="s">
        <v>365</v>
      </c>
      <c r="B574" s="165">
        <v>41872</v>
      </c>
      <c r="C574" t="s">
        <v>357</v>
      </c>
      <c r="D574" t="s">
        <v>358</v>
      </c>
      <c r="E574">
        <v>1</v>
      </c>
      <c r="F574" s="166">
        <v>167</v>
      </c>
      <c r="G574">
        <v>167</v>
      </c>
    </row>
    <row r="575" spans="1:7">
      <c r="A575" t="s">
        <v>365</v>
      </c>
      <c r="B575" s="165">
        <v>41872</v>
      </c>
      <c r="C575" t="s">
        <v>351</v>
      </c>
      <c r="D575" t="s">
        <v>352</v>
      </c>
      <c r="E575">
        <v>7</v>
      </c>
      <c r="F575" s="166">
        <v>454.28571428571428</v>
      </c>
      <c r="G575">
        <v>3180</v>
      </c>
    </row>
    <row r="576" spans="1:7">
      <c r="A576" t="s">
        <v>365</v>
      </c>
      <c r="B576" s="165">
        <v>41977</v>
      </c>
      <c r="C576" t="s">
        <v>361</v>
      </c>
      <c r="D576" t="s">
        <v>362</v>
      </c>
      <c r="E576">
        <v>11</v>
      </c>
      <c r="F576" s="166">
        <v>890.90909090909088</v>
      </c>
      <c r="G576">
        <v>9800</v>
      </c>
    </row>
    <row r="577" spans="1:8">
      <c r="A577" t="s">
        <v>365</v>
      </c>
      <c r="B577" s="165">
        <v>41977</v>
      </c>
      <c r="C577" t="s">
        <v>361</v>
      </c>
      <c r="D577" t="s">
        <v>362</v>
      </c>
      <c r="E577">
        <v>11</v>
      </c>
      <c r="F577" s="166">
        <v>1021.4545454545455</v>
      </c>
      <c r="G577">
        <v>11236</v>
      </c>
    </row>
    <row r="579" spans="1:8">
      <c r="A579" s="171"/>
      <c r="B579" s="171"/>
      <c r="C579" s="171"/>
      <c r="D579" s="171"/>
      <c r="E579" s="171"/>
      <c r="F579" s="171"/>
      <c r="G579" s="171"/>
      <c r="H579" s="171"/>
    </row>
    <row r="580" spans="1:8">
      <c r="A580" s="146" t="s">
        <v>358</v>
      </c>
    </row>
    <row r="581" spans="1:8">
      <c r="A581" t="s">
        <v>343</v>
      </c>
      <c r="B581" s="165" t="s">
        <v>344</v>
      </c>
      <c r="C581" t="s">
        <v>345</v>
      </c>
      <c r="D581" t="s">
        <v>346</v>
      </c>
      <c r="E581" t="s">
        <v>347</v>
      </c>
      <c r="F581" s="166" t="s">
        <v>348</v>
      </c>
      <c r="G581" t="s">
        <v>349</v>
      </c>
    </row>
    <row r="582" spans="1:8">
      <c r="A582" t="s">
        <v>350</v>
      </c>
      <c r="B582" s="165">
        <v>41711</v>
      </c>
      <c r="C582" t="s">
        <v>357</v>
      </c>
      <c r="D582" t="s">
        <v>358</v>
      </c>
      <c r="E582">
        <v>15</v>
      </c>
      <c r="F582" s="166">
        <v>245</v>
      </c>
      <c r="G582">
        <v>3675</v>
      </c>
    </row>
    <row r="583" spans="1:8">
      <c r="A583" t="s">
        <v>350</v>
      </c>
      <c r="B583" s="165">
        <v>41753</v>
      </c>
      <c r="C583" t="s">
        <v>357</v>
      </c>
      <c r="D583" t="s">
        <v>358</v>
      </c>
      <c r="E583">
        <v>2</v>
      </c>
      <c r="F583" s="166">
        <v>349</v>
      </c>
      <c r="G583">
        <v>698</v>
      </c>
    </row>
    <row r="584" spans="1:8">
      <c r="A584" t="s">
        <v>350</v>
      </c>
      <c r="B584" s="165">
        <v>41753</v>
      </c>
      <c r="C584" t="s">
        <v>357</v>
      </c>
      <c r="D584" t="s">
        <v>358</v>
      </c>
      <c r="E584">
        <v>3</v>
      </c>
      <c r="F584" s="166">
        <v>400</v>
      </c>
      <c r="G584">
        <v>1200</v>
      </c>
    </row>
    <row r="585" spans="1:8">
      <c r="A585" t="s">
        <v>350</v>
      </c>
      <c r="B585" s="165">
        <v>41760</v>
      </c>
      <c r="C585" t="s">
        <v>357</v>
      </c>
      <c r="D585" t="s">
        <v>358</v>
      </c>
      <c r="E585">
        <v>4</v>
      </c>
      <c r="F585" s="166">
        <v>226</v>
      </c>
      <c r="G585">
        <v>904</v>
      </c>
    </row>
    <row r="586" spans="1:8">
      <c r="A586" t="s">
        <v>350</v>
      </c>
      <c r="B586" s="165">
        <v>41760</v>
      </c>
      <c r="C586" t="s">
        <v>357</v>
      </c>
      <c r="D586" t="s">
        <v>358</v>
      </c>
      <c r="E586">
        <v>18</v>
      </c>
      <c r="F586" s="166">
        <v>230.33333333333334</v>
      </c>
      <c r="G586">
        <v>4146</v>
      </c>
    </row>
    <row r="587" spans="1:8">
      <c r="A587" t="s">
        <v>350</v>
      </c>
      <c r="B587" s="165">
        <v>41767</v>
      </c>
      <c r="C587" t="s">
        <v>357</v>
      </c>
      <c r="D587" t="s">
        <v>358</v>
      </c>
      <c r="E587">
        <v>4</v>
      </c>
      <c r="F587" s="166">
        <v>273.75</v>
      </c>
      <c r="G587">
        <v>1095</v>
      </c>
    </row>
    <row r="588" spans="1:8">
      <c r="A588" t="s">
        <v>350</v>
      </c>
      <c r="B588" s="165">
        <v>41767</v>
      </c>
      <c r="C588" t="s">
        <v>357</v>
      </c>
      <c r="D588" t="s">
        <v>358</v>
      </c>
      <c r="E588">
        <v>5</v>
      </c>
      <c r="F588" s="166">
        <v>280</v>
      </c>
      <c r="G588">
        <v>1400</v>
      </c>
    </row>
    <row r="589" spans="1:8">
      <c r="A589" t="s">
        <v>350</v>
      </c>
      <c r="B589" s="165">
        <v>41774</v>
      </c>
      <c r="C589" t="s">
        <v>357</v>
      </c>
      <c r="D589" t="s">
        <v>358</v>
      </c>
      <c r="E589">
        <v>2</v>
      </c>
      <c r="F589" s="166">
        <v>164.5</v>
      </c>
      <c r="G589">
        <v>329</v>
      </c>
    </row>
    <row r="590" spans="1:8">
      <c r="A590" t="s">
        <v>350</v>
      </c>
      <c r="B590" s="165">
        <v>41774</v>
      </c>
      <c r="C590" t="s">
        <v>357</v>
      </c>
      <c r="D590" t="s">
        <v>358</v>
      </c>
      <c r="E590">
        <v>28</v>
      </c>
      <c r="F590" s="166">
        <v>325</v>
      </c>
      <c r="G590">
        <v>9100</v>
      </c>
    </row>
    <row r="591" spans="1:8">
      <c r="A591" t="s">
        <v>350</v>
      </c>
      <c r="B591" s="165">
        <v>41781</v>
      </c>
      <c r="C591" t="s">
        <v>357</v>
      </c>
      <c r="D591" t="s">
        <v>358</v>
      </c>
      <c r="E591">
        <v>18</v>
      </c>
      <c r="F591" s="166">
        <v>253.11111111111111</v>
      </c>
      <c r="G591">
        <v>4556</v>
      </c>
    </row>
    <row r="592" spans="1:8">
      <c r="A592" t="s">
        <v>350</v>
      </c>
      <c r="B592" s="165">
        <v>41781</v>
      </c>
      <c r="C592" t="s">
        <v>357</v>
      </c>
      <c r="D592" t="s">
        <v>358</v>
      </c>
      <c r="E592">
        <v>62</v>
      </c>
      <c r="F592" s="166">
        <v>303.22580645161293</v>
      </c>
      <c r="G592">
        <v>18800</v>
      </c>
    </row>
    <row r="593" spans="1:7">
      <c r="A593" t="s">
        <v>350</v>
      </c>
      <c r="B593" s="165">
        <v>41788</v>
      </c>
      <c r="C593" t="s">
        <v>357</v>
      </c>
      <c r="D593" t="s">
        <v>358</v>
      </c>
      <c r="E593">
        <v>1</v>
      </c>
      <c r="F593" s="166">
        <v>150</v>
      </c>
      <c r="G593">
        <v>150</v>
      </c>
    </row>
    <row r="594" spans="1:7">
      <c r="A594" t="s">
        <v>350</v>
      </c>
      <c r="B594" s="165">
        <v>41788</v>
      </c>
      <c r="C594" t="s">
        <v>357</v>
      </c>
      <c r="D594" t="s">
        <v>358</v>
      </c>
      <c r="E594">
        <v>2</v>
      </c>
      <c r="F594" s="166">
        <v>150</v>
      </c>
      <c r="G594">
        <v>300</v>
      </c>
    </row>
    <row r="595" spans="1:7">
      <c r="A595" t="s">
        <v>350</v>
      </c>
      <c r="B595" s="165">
        <v>41795</v>
      </c>
      <c r="C595" t="s">
        <v>357</v>
      </c>
      <c r="D595" t="s">
        <v>358</v>
      </c>
      <c r="E595">
        <v>2</v>
      </c>
      <c r="F595" s="166">
        <v>247</v>
      </c>
      <c r="G595">
        <v>494</v>
      </c>
    </row>
    <row r="596" spans="1:7">
      <c r="A596" t="s">
        <v>350</v>
      </c>
      <c r="B596" s="165">
        <v>41795</v>
      </c>
      <c r="C596" t="s">
        <v>357</v>
      </c>
      <c r="D596" t="s">
        <v>358</v>
      </c>
      <c r="E596">
        <v>38</v>
      </c>
      <c r="F596" s="166">
        <v>185</v>
      </c>
      <c r="G596">
        <v>7030</v>
      </c>
    </row>
    <row r="597" spans="1:7">
      <c r="A597" t="s">
        <v>350</v>
      </c>
      <c r="B597" s="165">
        <v>41830</v>
      </c>
      <c r="C597" t="s">
        <v>357</v>
      </c>
      <c r="D597" t="s">
        <v>358</v>
      </c>
      <c r="E597">
        <v>39</v>
      </c>
      <c r="F597" s="166">
        <v>275</v>
      </c>
      <c r="G597">
        <v>10725</v>
      </c>
    </row>
    <row r="598" spans="1:7">
      <c r="A598" t="s">
        <v>350</v>
      </c>
      <c r="B598" s="165">
        <v>41851</v>
      </c>
      <c r="C598" t="s">
        <v>357</v>
      </c>
      <c r="D598" t="s">
        <v>358</v>
      </c>
      <c r="E598">
        <v>1</v>
      </c>
      <c r="F598" s="166">
        <v>201</v>
      </c>
      <c r="G598">
        <v>201</v>
      </c>
    </row>
    <row r="599" spans="1:7">
      <c r="A599" t="s">
        <v>350</v>
      </c>
      <c r="B599" s="165">
        <v>41851</v>
      </c>
      <c r="C599" t="s">
        <v>357</v>
      </c>
      <c r="D599" t="s">
        <v>358</v>
      </c>
      <c r="E599">
        <v>6</v>
      </c>
      <c r="F599" s="166">
        <v>235.83333333333334</v>
      </c>
      <c r="G599">
        <v>1415</v>
      </c>
    </row>
    <row r="600" spans="1:7">
      <c r="A600" t="s">
        <v>350</v>
      </c>
      <c r="B600" s="165">
        <v>41851</v>
      </c>
      <c r="C600" t="s">
        <v>357</v>
      </c>
      <c r="D600" t="s">
        <v>358</v>
      </c>
      <c r="E600">
        <v>13</v>
      </c>
      <c r="F600" s="166">
        <v>496.61538461538464</v>
      </c>
      <c r="G600">
        <v>6456</v>
      </c>
    </row>
    <row r="601" spans="1:7">
      <c r="A601" t="s">
        <v>350</v>
      </c>
      <c r="B601" s="165">
        <v>41851</v>
      </c>
      <c r="C601" t="s">
        <v>357</v>
      </c>
      <c r="D601" t="s">
        <v>358</v>
      </c>
      <c r="E601">
        <v>47</v>
      </c>
      <c r="F601" s="166">
        <v>270</v>
      </c>
      <c r="G601">
        <v>12690</v>
      </c>
    </row>
    <row r="602" spans="1:7">
      <c r="A602" t="s">
        <v>350</v>
      </c>
      <c r="B602" s="165">
        <v>41872</v>
      </c>
      <c r="C602" t="s">
        <v>357</v>
      </c>
      <c r="D602" t="s">
        <v>358</v>
      </c>
      <c r="E602">
        <v>1</v>
      </c>
      <c r="F602" s="166">
        <v>275</v>
      </c>
      <c r="G602">
        <v>275</v>
      </c>
    </row>
    <row r="603" spans="1:7">
      <c r="A603" t="s">
        <v>350</v>
      </c>
      <c r="B603" s="165">
        <v>41872</v>
      </c>
      <c r="C603" t="s">
        <v>357</v>
      </c>
      <c r="D603" t="s">
        <v>358</v>
      </c>
      <c r="E603">
        <v>7</v>
      </c>
      <c r="F603" s="166">
        <v>289.28571428571428</v>
      </c>
      <c r="G603">
        <v>2025</v>
      </c>
    </row>
    <row r="604" spans="1:7">
      <c r="A604" t="s">
        <v>350</v>
      </c>
      <c r="B604" s="165">
        <v>41879</v>
      </c>
      <c r="C604" t="s">
        <v>357</v>
      </c>
      <c r="D604" t="s">
        <v>358</v>
      </c>
      <c r="E604">
        <v>2</v>
      </c>
      <c r="F604" s="166">
        <v>275</v>
      </c>
      <c r="G604">
        <v>550</v>
      </c>
    </row>
    <row r="605" spans="1:7">
      <c r="A605" t="s">
        <v>350</v>
      </c>
      <c r="B605" s="165">
        <v>41879</v>
      </c>
      <c r="C605" t="s">
        <v>357</v>
      </c>
      <c r="D605" t="s">
        <v>358</v>
      </c>
      <c r="E605">
        <v>2</v>
      </c>
      <c r="F605" s="166">
        <v>316</v>
      </c>
      <c r="G605">
        <v>632</v>
      </c>
    </row>
    <row r="606" spans="1:7">
      <c r="A606" t="s">
        <v>350</v>
      </c>
      <c r="B606" s="165">
        <v>41879</v>
      </c>
      <c r="C606" t="s">
        <v>357</v>
      </c>
      <c r="D606" t="s">
        <v>358</v>
      </c>
      <c r="E606">
        <v>8</v>
      </c>
      <c r="F606" s="166">
        <v>276.25</v>
      </c>
      <c r="G606">
        <v>2210</v>
      </c>
    </row>
    <row r="607" spans="1:7">
      <c r="A607" t="s">
        <v>350</v>
      </c>
      <c r="B607" s="165">
        <v>41879</v>
      </c>
      <c r="C607" t="s">
        <v>357</v>
      </c>
      <c r="D607" t="s">
        <v>358</v>
      </c>
      <c r="E607">
        <v>24</v>
      </c>
      <c r="F607" s="166">
        <v>190</v>
      </c>
      <c r="G607">
        <v>4560</v>
      </c>
    </row>
    <row r="608" spans="1:7">
      <c r="A608" t="s">
        <v>350</v>
      </c>
      <c r="B608" s="165">
        <v>41900</v>
      </c>
      <c r="C608" t="s">
        <v>357</v>
      </c>
      <c r="D608" t="s">
        <v>358</v>
      </c>
      <c r="E608">
        <v>3</v>
      </c>
      <c r="F608" s="166">
        <v>192.66666666666666</v>
      </c>
      <c r="G608">
        <v>578</v>
      </c>
    </row>
    <row r="609" spans="1:7">
      <c r="A609" t="s">
        <v>350</v>
      </c>
      <c r="B609" s="165">
        <v>41907</v>
      </c>
      <c r="C609" t="s">
        <v>357</v>
      </c>
      <c r="D609" t="s">
        <v>358</v>
      </c>
      <c r="E609">
        <v>1</v>
      </c>
      <c r="F609" s="166">
        <v>300</v>
      </c>
      <c r="G609">
        <v>300</v>
      </c>
    </row>
    <row r="610" spans="1:7">
      <c r="A610" t="s">
        <v>350</v>
      </c>
      <c r="B610" s="165">
        <v>41907</v>
      </c>
      <c r="C610" t="s">
        <v>357</v>
      </c>
      <c r="D610" t="s">
        <v>358</v>
      </c>
      <c r="E610">
        <v>1</v>
      </c>
      <c r="F610" s="166">
        <v>450</v>
      </c>
      <c r="G610">
        <v>450</v>
      </c>
    </row>
    <row r="611" spans="1:7">
      <c r="A611" t="s">
        <v>350</v>
      </c>
      <c r="B611" s="165">
        <v>41907</v>
      </c>
      <c r="C611" t="s">
        <v>357</v>
      </c>
      <c r="D611" t="s">
        <v>358</v>
      </c>
      <c r="E611">
        <v>6</v>
      </c>
      <c r="F611" s="166">
        <v>176.5</v>
      </c>
      <c r="G611">
        <v>1059</v>
      </c>
    </row>
    <row r="612" spans="1:7">
      <c r="A612" t="s">
        <v>350</v>
      </c>
      <c r="B612" s="165">
        <v>41907</v>
      </c>
      <c r="C612" t="s">
        <v>357</v>
      </c>
      <c r="D612" t="s">
        <v>358</v>
      </c>
      <c r="E612">
        <v>6</v>
      </c>
      <c r="F612" s="166">
        <v>187</v>
      </c>
      <c r="G612">
        <v>1122</v>
      </c>
    </row>
    <row r="613" spans="1:7">
      <c r="A613" t="s">
        <v>350</v>
      </c>
      <c r="B613" s="165">
        <v>41907</v>
      </c>
      <c r="C613" t="s">
        <v>357</v>
      </c>
      <c r="D613" t="s">
        <v>358</v>
      </c>
      <c r="E613">
        <v>3</v>
      </c>
      <c r="F613" s="166">
        <v>385.33333333333331</v>
      </c>
      <c r="G613">
        <v>1156</v>
      </c>
    </row>
    <row r="614" spans="1:7">
      <c r="A614" t="s">
        <v>350</v>
      </c>
      <c r="B614" s="165">
        <v>41907</v>
      </c>
      <c r="C614" t="s">
        <v>357</v>
      </c>
      <c r="D614" t="s">
        <v>358</v>
      </c>
      <c r="E614">
        <v>21</v>
      </c>
      <c r="F614" s="166">
        <v>226.28571428571428</v>
      </c>
      <c r="G614">
        <v>4752</v>
      </c>
    </row>
    <row r="615" spans="1:7">
      <c r="A615" t="s">
        <v>350</v>
      </c>
      <c r="B615" s="165">
        <v>41907</v>
      </c>
      <c r="C615" t="s">
        <v>357</v>
      </c>
      <c r="D615" t="s">
        <v>358</v>
      </c>
      <c r="E615">
        <v>13</v>
      </c>
      <c r="F615" s="166">
        <v>386</v>
      </c>
      <c r="G615">
        <v>5018</v>
      </c>
    </row>
    <row r="616" spans="1:7">
      <c r="A616" t="s">
        <v>350</v>
      </c>
      <c r="B616" s="165">
        <v>41907</v>
      </c>
      <c r="C616" t="s">
        <v>357</v>
      </c>
      <c r="D616" t="s">
        <v>358</v>
      </c>
      <c r="E616">
        <v>52</v>
      </c>
      <c r="F616" s="166">
        <v>500</v>
      </c>
      <c r="G616">
        <v>26000</v>
      </c>
    </row>
    <row r="617" spans="1:7">
      <c r="A617" t="s">
        <v>350</v>
      </c>
      <c r="B617" s="165">
        <v>41921</v>
      </c>
      <c r="C617" t="s">
        <v>357</v>
      </c>
      <c r="D617" t="s">
        <v>358</v>
      </c>
      <c r="E617">
        <v>1</v>
      </c>
      <c r="F617" s="166">
        <v>250</v>
      </c>
      <c r="G617">
        <v>250</v>
      </c>
    </row>
    <row r="618" spans="1:7">
      <c r="A618" t="s">
        <v>350</v>
      </c>
      <c r="B618" s="165">
        <v>41936</v>
      </c>
      <c r="C618" t="s">
        <v>357</v>
      </c>
      <c r="D618" t="s">
        <v>358</v>
      </c>
      <c r="E618">
        <v>1</v>
      </c>
      <c r="F618" s="166">
        <v>479</v>
      </c>
      <c r="G618">
        <v>479</v>
      </c>
    </row>
    <row r="619" spans="1:7">
      <c r="A619" t="s">
        <v>350</v>
      </c>
      <c r="B619" s="165">
        <v>41943</v>
      </c>
      <c r="C619" t="s">
        <v>357</v>
      </c>
      <c r="D619" t="s">
        <v>358</v>
      </c>
      <c r="E619">
        <v>2</v>
      </c>
      <c r="F619" s="166">
        <v>200</v>
      </c>
      <c r="G619">
        <v>400</v>
      </c>
    </row>
    <row r="620" spans="1:7">
      <c r="A620" t="s">
        <v>350</v>
      </c>
      <c r="B620" s="165">
        <v>41943</v>
      </c>
      <c r="C620" t="s">
        <v>357</v>
      </c>
      <c r="D620" t="s">
        <v>358</v>
      </c>
      <c r="E620">
        <v>3</v>
      </c>
      <c r="F620" s="166">
        <v>260</v>
      </c>
      <c r="G620">
        <v>780</v>
      </c>
    </row>
    <row r="621" spans="1:7">
      <c r="A621" t="s">
        <v>350</v>
      </c>
      <c r="B621" s="165">
        <v>41943</v>
      </c>
      <c r="C621" t="s">
        <v>357</v>
      </c>
      <c r="D621" t="s">
        <v>358</v>
      </c>
      <c r="E621">
        <v>21</v>
      </c>
      <c r="F621" s="166">
        <v>265.66666666666669</v>
      </c>
      <c r="G621">
        <v>5579</v>
      </c>
    </row>
    <row r="622" spans="1:7">
      <c r="A622" t="s">
        <v>350</v>
      </c>
      <c r="B622" s="165">
        <v>41949</v>
      </c>
      <c r="C622" t="s">
        <v>357</v>
      </c>
      <c r="D622" t="s">
        <v>358</v>
      </c>
      <c r="E622">
        <v>2</v>
      </c>
      <c r="F622" s="166">
        <v>350</v>
      </c>
      <c r="G622">
        <v>700</v>
      </c>
    </row>
    <row r="623" spans="1:7">
      <c r="A623" t="s">
        <v>350</v>
      </c>
      <c r="B623" s="165">
        <v>41949</v>
      </c>
      <c r="C623" t="s">
        <v>357</v>
      </c>
      <c r="D623" t="s">
        <v>358</v>
      </c>
      <c r="E623">
        <v>9</v>
      </c>
      <c r="F623" s="166">
        <v>295.11111111111109</v>
      </c>
      <c r="G623">
        <v>2656</v>
      </c>
    </row>
    <row r="624" spans="1:7">
      <c r="A624" t="s">
        <v>350</v>
      </c>
      <c r="B624" s="165">
        <v>41949</v>
      </c>
      <c r="C624" t="s">
        <v>357</v>
      </c>
      <c r="D624" t="s">
        <v>358</v>
      </c>
      <c r="E624">
        <v>10</v>
      </c>
      <c r="F624" s="166">
        <v>320.2</v>
      </c>
      <c r="G624">
        <v>3202</v>
      </c>
    </row>
    <row r="625" spans="1:7">
      <c r="A625" t="s">
        <v>350</v>
      </c>
      <c r="B625" s="165">
        <v>41949</v>
      </c>
      <c r="C625" t="s">
        <v>357</v>
      </c>
      <c r="D625" t="s">
        <v>358</v>
      </c>
      <c r="E625">
        <v>18</v>
      </c>
      <c r="F625" s="166">
        <v>353.33333333333331</v>
      </c>
      <c r="G625">
        <v>6360</v>
      </c>
    </row>
    <row r="626" spans="1:7">
      <c r="A626" t="s">
        <v>350</v>
      </c>
      <c r="B626" s="165">
        <v>41949</v>
      </c>
      <c r="C626" t="s">
        <v>357</v>
      </c>
      <c r="D626" t="s">
        <v>358</v>
      </c>
      <c r="E626">
        <v>27</v>
      </c>
      <c r="F626" s="166">
        <v>452</v>
      </c>
      <c r="G626">
        <v>12204</v>
      </c>
    </row>
    <row r="627" spans="1:7">
      <c r="A627" t="s">
        <v>350</v>
      </c>
      <c r="B627" s="165">
        <v>41957</v>
      </c>
      <c r="C627" t="s">
        <v>357</v>
      </c>
      <c r="D627" t="s">
        <v>358</v>
      </c>
      <c r="E627">
        <v>1</v>
      </c>
      <c r="F627" s="166">
        <v>350</v>
      </c>
      <c r="G627">
        <v>350</v>
      </c>
    </row>
    <row r="628" spans="1:7">
      <c r="A628" t="s">
        <v>350</v>
      </c>
      <c r="B628" s="165">
        <v>41957</v>
      </c>
      <c r="C628" t="s">
        <v>357</v>
      </c>
      <c r="D628" t="s">
        <v>358</v>
      </c>
      <c r="E628">
        <v>1</v>
      </c>
      <c r="F628" s="166">
        <v>370</v>
      </c>
      <c r="G628">
        <v>370</v>
      </c>
    </row>
    <row r="629" spans="1:7">
      <c r="A629" t="s">
        <v>350</v>
      </c>
      <c r="B629" s="165">
        <v>41957</v>
      </c>
      <c r="C629" t="s">
        <v>357</v>
      </c>
      <c r="D629" t="s">
        <v>358</v>
      </c>
      <c r="E629">
        <v>7</v>
      </c>
      <c r="F629" s="166">
        <v>303.28571428571428</v>
      </c>
      <c r="G629">
        <v>2123</v>
      </c>
    </row>
    <row r="630" spans="1:7">
      <c r="A630" t="s">
        <v>350</v>
      </c>
      <c r="B630" s="165">
        <v>41963</v>
      </c>
      <c r="C630" t="s">
        <v>357</v>
      </c>
      <c r="D630" t="s">
        <v>358</v>
      </c>
      <c r="E630">
        <v>1</v>
      </c>
      <c r="F630" s="166">
        <v>237</v>
      </c>
      <c r="G630">
        <v>237</v>
      </c>
    </row>
    <row r="631" spans="1:7">
      <c r="A631" t="s">
        <v>350</v>
      </c>
      <c r="B631" s="165">
        <v>41963</v>
      </c>
      <c r="C631" t="s">
        <v>357</v>
      </c>
      <c r="D631" t="s">
        <v>358</v>
      </c>
      <c r="E631">
        <v>7</v>
      </c>
      <c r="F631" s="166">
        <v>287</v>
      </c>
      <c r="G631">
        <v>2009</v>
      </c>
    </row>
    <row r="632" spans="1:7">
      <c r="A632" t="s">
        <v>350</v>
      </c>
      <c r="B632" s="165">
        <v>41963</v>
      </c>
      <c r="C632" t="s">
        <v>357</v>
      </c>
      <c r="D632" t="s">
        <v>358</v>
      </c>
      <c r="E632">
        <v>29</v>
      </c>
      <c r="F632" s="166">
        <v>155</v>
      </c>
      <c r="G632">
        <v>4495</v>
      </c>
    </row>
    <row r="633" spans="1:7">
      <c r="A633" t="s">
        <v>350</v>
      </c>
      <c r="B633" s="165">
        <v>41971</v>
      </c>
      <c r="C633" t="s">
        <v>357</v>
      </c>
      <c r="D633" t="s">
        <v>358</v>
      </c>
      <c r="E633">
        <v>1</v>
      </c>
      <c r="F633" s="166">
        <v>420</v>
      </c>
      <c r="G633">
        <v>420</v>
      </c>
    </row>
    <row r="634" spans="1:7">
      <c r="A634" t="s">
        <v>350</v>
      </c>
      <c r="B634" s="165">
        <v>41971</v>
      </c>
      <c r="C634" t="s">
        <v>357</v>
      </c>
      <c r="D634" t="s">
        <v>358</v>
      </c>
      <c r="E634">
        <v>5</v>
      </c>
      <c r="F634" s="166">
        <v>175</v>
      </c>
      <c r="G634">
        <v>875</v>
      </c>
    </row>
    <row r="635" spans="1:7">
      <c r="A635" t="s">
        <v>350</v>
      </c>
      <c r="B635" s="165">
        <v>41977</v>
      </c>
      <c r="C635" t="s">
        <v>357</v>
      </c>
      <c r="D635" t="s">
        <v>358</v>
      </c>
      <c r="E635">
        <v>2</v>
      </c>
      <c r="F635" s="166">
        <v>132.5</v>
      </c>
      <c r="G635">
        <v>265</v>
      </c>
    </row>
    <row r="636" spans="1:7">
      <c r="A636" t="s">
        <v>350</v>
      </c>
      <c r="B636" s="165">
        <v>41977</v>
      </c>
      <c r="C636" t="s">
        <v>357</v>
      </c>
      <c r="D636" t="s">
        <v>358</v>
      </c>
      <c r="E636">
        <v>4</v>
      </c>
      <c r="F636" s="166">
        <v>375</v>
      </c>
      <c r="G636">
        <v>1500</v>
      </c>
    </row>
    <row r="637" spans="1:7">
      <c r="A637" t="s">
        <v>350</v>
      </c>
      <c r="B637" s="165">
        <v>41977</v>
      </c>
      <c r="C637" t="s">
        <v>357</v>
      </c>
      <c r="D637" t="s">
        <v>358</v>
      </c>
      <c r="E637">
        <v>6</v>
      </c>
      <c r="F637" s="166">
        <v>400.16666666666669</v>
      </c>
      <c r="G637">
        <v>2401</v>
      </c>
    </row>
    <row r="638" spans="1:7">
      <c r="A638" t="s">
        <v>350</v>
      </c>
      <c r="B638" s="165">
        <v>41984</v>
      </c>
      <c r="C638" t="s">
        <v>357</v>
      </c>
      <c r="D638" t="s">
        <v>358</v>
      </c>
      <c r="E638">
        <v>3</v>
      </c>
      <c r="F638" s="166">
        <v>176.33333333333334</v>
      </c>
      <c r="G638">
        <v>529</v>
      </c>
    </row>
    <row r="639" spans="1:7">
      <c r="A639" t="s">
        <v>350</v>
      </c>
      <c r="B639" s="165">
        <v>41984</v>
      </c>
      <c r="C639" t="s">
        <v>357</v>
      </c>
      <c r="D639" t="s">
        <v>358</v>
      </c>
      <c r="E639">
        <v>4</v>
      </c>
      <c r="F639" s="166">
        <v>238.75</v>
      </c>
      <c r="G639">
        <v>955</v>
      </c>
    </row>
    <row r="640" spans="1:7">
      <c r="A640" t="s">
        <v>350</v>
      </c>
      <c r="B640" s="165">
        <v>41991</v>
      </c>
      <c r="C640" t="s">
        <v>357</v>
      </c>
      <c r="D640" t="s">
        <v>358</v>
      </c>
      <c r="E640">
        <v>3</v>
      </c>
      <c r="F640" s="166">
        <v>275.33333333333331</v>
      </c>
      <c r="G640">
        <v>826</v>
      </c>
    </row>
    <row r="641" spans="1:7">
      <c r="A641" t="s">
        <v>350</v>
      </c>
      <c r="B641" s="165">
        <v>41999</v>
      </c>
      <c r="C641" t="s">
        <v>357</v>
      </c>
      <c r="D641" t="s">
        <v>358</v>
      </c>
      <c r="E641">
        <v>2</v>
      </c>
      <c r="F641" s="166">
        <v>585</v>
      </c>
      <c r="G641">
        <v>1170</v>
      </c>
    </row>
    <row r="642" spans="1:7">
      <c r="A642" t="s">
        <v>350</v>
      </c>
      <c r="B642" s="165">
        <v>41999</v>
      </c>
      <c r="C642" t="s">
        <v>357</v>
      </c>
      <c r="D642" t="s">
        <v>358</v>
      </c>
      <c r="E642">
        <v>15</v>
      </c>
      <c r="F642" s="166">
        <v>304.39999999999998</v>
      </c>
      <c r="G642">
        <v>4566</v>
      </c>
    </row>
    <row r="643" spans="1:7">
      <c r="A643" t="s">
        <v>350</v>
      </c>
      <c r="B643" s="165">
        <v>41999</v>
      </c>
      <c r="C643" t="s">
        <v>357</v>
      </c>
      <c r="D643" t="s">
        <v>358</v>
      </c>
      <c r="E643">
        <v>43</v>
      </c>
      <c r="F643" s="166">
        <v>154</v>
      </c>
      <c r="G643">
        <v>6622</v>
      </c>
    </row>
    <row r="644" spans="1:7">
      <c r="A644" t="s">
        <v>350</v>
      </c>
      <c r="B644" s="165">
        <v>41999</v>
      </c>
      <c r="C644" t="s">
        <v>357</v>
      </c>
      <c r="D644" t="s">
        <v>358</v>
      </c>
      <c r="E644">
        <v>18</v>
      </c>
      <c r="F644" s="166">
        <v>389.27777777777777</v>
      </c>
      <c r="G644">
        <v>7007</v>
      </c>
    </row>
    <row r="645" spans="1:7">
      <c r="A645" t="s">
        <v>350</v>
      </c>
      <c r="B645" s="165">
        <v>42004</v>
      </c>
      <c r="C645" t="s">
        <v>357</v>
      </c>
      <c r="D645" t="s">
        <v>358</v>
      </c>
      <c r="E645">
        <v>2</v>
      </c>
      <c r="F645" s="166">
        <v>385</v>
      </c>
      <c r="G645">
        <v>770</v>
      </c>
    </row>
    <row r="646" spans="1:7">
      <c r="A646" t="s">
        <v>350</v>
      </c>
      <c r="B646" s="165">
        <v>42004</v>
      </c>
      <c r="C646" t="s">
        <v>357</v>
      </c>
      <c r="D646" t="s">
        <v>358</v>
      </c>
      <c r="E646">
        <v>4</v>
      </c>
      <c r="F646" s="166">
        <v>250</v>
      </c>
      <c r="G646">
        <v>1000</v>
      </c>
    </row>
    <row r="647" spans="1:7">
      <c r="A647" t="s">
        <v>350</v>
      </c>
      <c r="B647" s="165">
        <v>42004</v>
      </c>
      <c r="C647" t="s">
        <v>357</v>
      </c>
      <c r="D647" t="s">
        <v>358</v>
      </c>
      <c r="E647">
        <v>4</v>
      </c>
      <c r="F647" s="166">
        <v>264.75</v>
      </c>
      <c r="G647">
        <v>1059</v>
      </c>
    </row>
    <row r="648" spans="1:7">
      <c r="A648" t="s">
        <v>363</v>
      </c>
      <c r="B648" s="165">
        <v>41697</v>
      </c>
      <c r="C648" t="s">
        <v>357</v>
      </c>
      <c r="D648" t="s">
        <v>358</v>
      </c>
      <c r="E648">
        <v>37</v>
      </c>
      <c r="F648" s="166">
        <v>275.24324324324323</v>
      </c>
      <c r="G648">
        <v>10184</v>
      </c>
    </row>
    <row r="649" spans="1:7">
      <c r="A649" t="s">
        <v>363</v>
      </c>
      <c r="B649" s="165">
        <v>41704</v>
      </c>
      <c r="C649" t="s">
        <v>357</v>
      </c>
      <c r="D649" t="s">
        <v>358</v>
      </c>
      <c r="E649">
        <v>20</v>
      </c>
      <c r="F649" s="166">
        <v>597</v>
      </c>
      <c r="G649">
        <v>11940</v>
      </c>
    </row>
    <row r="650" spans="1:7">
      <c r="A650" t="s">
        <v>363</v>
      </c>
      <c r="B650" s="165">
        <v>41704</v>
      </c>
      <c r="C650" t="s">
        <v>357</v>
      </c>
      <c r="D650" t="s">
        <v>358</v>
      </c>
      <c r="E650">
        <v>92</v>
      </c>
      <c r="F650" s="166">
        <v>415.76086956521738</v>
      </c>
      <c r="G650">
        <v>38250</v>
      </c>
    </row>
    <row r="651" spans="1:7">
      <c r="A651" t="s">
        <v>363</v>
      </c>
      <c r="B651" s="165">
        <v>41711</v>
      </c>
      <c r="C651" t="s">
        <v>357</v>
      </c>
      <c r="D651" t="s">
        <v>358</v>
      </c>
      <c r="E651">
        <v>8</v>
      </c>
      <c r="F651" s="166">
        <v>364</v>
      </c>
      <c r="G651">
        <v>2912</v>
      </c>
    </row>
    <row r="652" spans="1:7">
      <c r="A652" t="s">
        <v>363</v>
      </c>
      <c r="B652" s="165">
        <v>41732</v>
      </c>
      <c r="C652" t="s">
        <v>357</v>
      </c>
      <c r="D652" t="s">
        <v>358</v>
      </c>
      <c r="E652">
        <v>5</v>
      </c>
      <c r="F652" s="166">
        <v>495</v>
      </c>
      <c r="G652">
        <v>2475</v>
      </c>
    </row>
    <row r="653" spans="1:7">
      <c r="A653" t="s">
        <v>363</v>
      </c>
      <c r="B653" s="165">
        <v>41732</v>
      </c>
      <c r="C653" t="s">
        <v>357</v>
      </c>
      <c r="D653" t="s">
        <v>358</v>
      </c>
      <c r="E653">
        <v>8</v>
      </c>
      <c r="F653" s="166">
        <v>330.75</v>
      </c>
      <c r="G653">
        <v>2646</v>
      </c>
    </row>
    <row r="654" spans="1:7">
      <c r="A654" t="s">
        <v>363</v>
      </c>
      <c r="B654" s="165">
        <v>41760</v>
      </c>
      <c r="C654" t="s">
        <v>357</v>
      </c>
      <c r="D654" t="s">
        <v>358</v>
      </c>
      <c r="E654">
        <v>37</v>
      </c>
      <c r="F654" s="166">
        <v>159</v>
      </c>
      <c r="G654">
        <v>5883</v>
      </c>
    </row>
    <row r="655" spans="1:7">
      <c r="A655" t="s">
        <v>363</v>
      </c>
      <c r="B655" s="165">
        <v>41760</v>
      </c>
      <c r="C655" t="s">
        <v>357</v>
      </c>
      <c r="D655" t="s">
        <v>358</v>
      </c>
      <c r="E655">
        <v>65</v>
      </c>
      <c r="F655" s="166">
        <v>302</v>
      </c>
      <c r="G655">
        <v>19630</v>
      </c>
    </row>
    <row r="656" spans="1:7">
      <c r="A656" t="s">
        <v>363</v>
      </c>
      <c r="B656" s="165">
        <v>41788</v>
      </c>
      <c r="C656" t="s">
        <v>357</v>
      </c>
      <c r="D656" t="s">
        <v>358</v>
      </c>
      <c r="E656">
        <v>4</v>
      </c>
      <c r="F656" s="166">
        <v>263</v>
      </c>
      <c r="G656">
        <v>1052</v>
      </c>
    </row>
    <row r="657" spans="1:7">
      <c r="A657" t="s">
        <v>363</v>
      </c>
      <c r="B657" s="165">
        <v>41788</v>
      </c>
      <c r="C657" t="s">
        <v>357</v>
      </c>
      <c r="D657" t="s">
        <v>358</v>
      </c>
      <c r="E657">
        <v>4</v>
      </c>
      <c r="F657" s="166">
        <v>292</v>
      </c>
      <c r="G657">
        <v>1168</v>
      </c>
    </row>
    <row r="658" spans="1:7">
      <c r="A658" t="s">
        <v>363</v>
      </c>
      <c r="B658" s="165">
        <v>41788</v>
      </c>
      <c r="C658" t="s">
        <v>357</v>
      </c>
      <c r="D658" t="s">
        <v>358</v>
      </c>
      <c r="E658">
        <v>12</v>
      </c>
      <c r="F658" s="166">
        <v>264.83333333333331</v>
      </c>
      <c r="G658">
        <v>3178</v>
      </c>
    </row>
    <row r="659" spans="1:7">
      <c r="A659" t="s">
        <v>363</v>
      </c>
      <c r="B659" s="165">
        <v>41788</v>
      </c>
      <c r="C659" t="s">
        <v>357</v>
      </c>
      <c r="D659" t="s">
        <v>358</v>
      </c>
      <c r="E659">
        <v>22</v>
      </c>
      <c r="F659" s="166">
        <v>222</v>
      </c>
      <c r="G659">
        <v>4884</v>
      </c>
    </row>
    <row r="660" spans="1:7">
      <c r="A660" t="s">
        <v>363</v>
      </c>
      <c r="B660" s="165">
        <v>41810</v>
      </c>
      <c r="C660" t="s">
        <v>357</v>
      </c>
      <c r="D660" t="s">
        <v>358</v>
      </c>
      <c r="E660">
        <v>37</v>
      </c>
      <c r="F660" s="166">
        <v>188.24324324324326</v>
      </c>
      <c r="G660">
        <v>6965</v>
      </c>
    </row>
    <row r="661" spans="1:7">
      <c r="A661" t="s">
        <v>363</v>
      </c>
      <c r="B661" s="165">
        <v>41865</v>
      </c>
      <c r="C661" t="s">
        <v>357</v>
      </c>
      <c r="D661" t="s">
        <v>358</v>
      </c>
      <c r="E661">
        <v>19</v>
      </c>
      <c r="F661" s="166">
        <v>316</v>
      </c>
      <c r="G661">
        <v>6004</v>
      </c>
    </row>
    <row r="662" spans="1:7">
      <c r="A662" t="s">
        <v>363</v>
      </c>
      <c r="B662" s="165">
        <v>41928</v>
      </c>
      <c r="C662" t="s">
        <v>357</v>
      </c>
      <c r="D662" t="s">
        <v>358</v>
      </c>
      <c r="E662">
        <v>2</v>
      </c>
      <c r="F662" s="166">
        <v>295</v>
      </c>
      <c r="G662">
        <v>590</v>
      </c>
    </row>
    <row r="663" spans="1:7">
      <c r="A663" t="s">
        <v>363</v>
      </c>
      <c r="B663" s="165">
        <v>41928</v>
      </c>
      <c r="C663" t="s">
        <v>357</v>
      </c>
      <c r="D663" t="s">
        <v>358</v>
      </c>
      <c r="E663">
        <v>2</v>
      </c>
      <c r="F663" s="166">
        <v>405.5</v>
      </c>
      <c r="G663">
        <v>811</v>
      </c>
    </row>
    <row r="664" spans="1:7">
      <c r="A664" t="s">
        <v>363</v>
      </c>
      <c r="B664" s="165">
        <v>41928</v>
      </c>
      <c r="C664" t="s">
        <v>357</v>
      </c>
      <c r="D664" t="s">
        <v>358</v>
      </c>
      <c r="E664">
        <v>3</v>
      </c>
      <c r="F664" s="166">
        <v>295</v>
      </c>
      <c r="G664">
        <v>885</v>
      </c>
    </row>
    <row r="665" spans="1:7">
      <c r="A665" t="s">
        <v>363</v>
      </c>
      <c r="B665" s="165">
        <v>41928</v>
      </c>
      <c r="C665" t="s">
        <v>357</v>
      </c>
      <c r="D665" t="s">
        <v>358</v>
      </c>
      <c r="E665">
        <v>5</v>
      </c>
      <c r="F665" s="166">
        <v>234.2</v>
      </c>
      <c r="G665">
        <v>1171</v>
      </c>
    </row>
    <row r="666" spans="1:7">
      <c r="A666" t="s">
        <v>363</v>
      </c>
      <c r="B666" s="165">
        <v>41928</v>
      </c>
      <c r="C666" t="s">
        <v>357</v>
      </c>
      <c r="D666" t="s">
        <v>358</v>
      </c>
      <c r="E666">
        <v>4</v>
      </c>
      <c r="F666" s="166">
        <v>328</v>
      </c>
      <c r="G666">
        <v>1312</v>
      </c>
    </row>
    <row r="667" spans="1:7">
      <c r="A667" t="s">
        <v>363</v>
      </c>
      <c r="B667" s="165">
        <v>41928</v>
      </c>
      <c r="C667" t="s">
        <v>357</v>
      </c>
      <c r="D667" t="s">
        <v>358</v>
      </c>
      <c r="E667">
        <v>5</v>
      </c>
      <c r="F667" s="166">
        <v>315</v>
      </c>
      <c r="G667">
        <v>1575</v>
      </c>
    </row>
    <row r="668" spans="1:7">
      <c r="A668" t="s">
        <v>363</v>
      </c>
      <c r="B668" s="165">
        <v>41928</v>
      </c>
      <c r="C668" t="s">
        <v>357</v>
      </c>
      <c r="D668" t="s">
        <v>358</v>
      </c>
      <c r="E668">
        <v>5</v>
      </c>
      <c r="F668" s="166">
        <v>321</v>
      </c>
      <c r="G668">
        <v>1605</v>
      </c>
    </row>
    <row r="669" spans="1:7">
      <c r="A669" t="s">
        <v>363</v>
      </c>
      <c r="B669" s="165">
        <v>41928</v>
      </c>
      <c r="C669" t="s">
        <v>357</v>
      </c>
      <c r="D669" t="s">
        <v>358</v>
      </c>
      <c r="E669">
        <v>6</v>
      </c>
      <c r="F669" s="166">
        <v>317.5</v>
      </c>
      <c r="G669">
        <v>1905</v>
      </c>
    </row>
    <row r="670" spans="1:7">
      <c r="A670" t="s">
        <v>363</v>
      </c>
      <c r="B670" s="165">
        <v>41928</v>
      </c>
      <c r="C670" t="s">
        <v>357</v>
      </c>
      <c r="D670" t="s">
        <v>358</v>
      </c>
      <c r="E670">
        <v>9</v>
      </c>
      <c r="F670" s="166">
        <v>280.88888888888891</v>
      </c>
      <c r="G670">
        <v>2528</v>
      </c>
    </row>
    <row r="671" spans="1:7">
      <c r="A671" t="s">
        <v>363</v>
      </c>
      <c r="B671" s="165">
        <v>41928</v>
      </c>
      <c r="C671" t="s">
        <v>357</v>
      </c>
      <c r="D671" t="s">
        <v>358</v>
      </c>
      <c r="E671">
        <v>23</v>
      </c>
      <c r="F671" s="166">
        <v>263</v>
      </c>
      <c r="G671">
        <v>6049</v>
      </c>
    </row>
    <row r="672" spans="1:7">
      <c r="A672" t="s">
        <v>363</v>
      </c>
      <c r="B672" s="165">
        <v>41943</v>
      </c>
      <c r="C672" t="s">
        <v>357</v>
      </c>
      <c r="D672" t="s">
        <v>358</v>
      </c>
      <c r="E672">
        <v>1</v>
      </c>
      <c r="F672" s="166">
        <v>287</v>
      </c>
      <c r="G672">
        <v>287</v>
      </c>
    </row>
    <row r="673" spans="1:7">
      <c r="A673" t="s">
        <v>363</v>
      </c>
      <c r="B673" s="165">
        <v>41943</v>
      </c>
      <c r="C673" t="s">
        <v>357</v>
      </c>
      <c r="D673" t="s">
        <v>358</v>
      </c>
      <c r="E673">
        <v>9</v>
      </c>
      <c r="F673" s="166">
        <v>269.22222222222223</v>
      </c>
      <c r="G673">
        <v>2423</v>
      </c>
    </row>
    <row r="674" spans="1:7">
      <c r="A674" t="s">
        <v>363</v>
      </c>
      <c r="B674" s="165">
        <v>41943</v>
      </c>
      <c r="C674" t="s">
        <v>357</v>
      </c>
      <c r="D674" t="s">
        <v>358</v>
      </c>
      <c r="E674">
        <v>15</v>
      </c>
      <c r="F674" s="166">
        <v>285</v>
      </c>
      <c r="G674">
        <v>4275</v>
      </c>
    </row>
    <row r="675" spans="1:7">
      <c r="A675" t="s">
        <v>363</v>
      </c>
      <c r="B675" s="165">
        <v>41949</v>
      </c>
      <c r="C675" t="s">
        <v>357</v>
      </c>
      <c r="D675" t="s">
        <v>358</v>
      </c>
      <c r="E675">
        <v>4</v>
      </c>
      <c r="F675" s="166">
        <v>506.75</v>
      </c>
      <c r="G675">
        <v>2027</v>
      </c>
    </row>
    <row r="676" spans="1:7">
      <c r="A676" t="s">
        <v>363</v>
      </c>
      <c r="B676" s="165">
        <v>41963</v>
      </c>
      <c r="C676" t="s">
        <v>357</v>
      </c>
      <c r="D676" t="s">
        <v>358</v>
      </c>
      <c r="E676">
        <v>11</v>
      </c>
      <c r="F676" s="166">
        <v>195</v>
      </c>
      <c r="G676">
        <v>2145</v>
      </c>
    </row>
    <row r="677" spans="1:7">
      <c r="A677" t="s">
        <v>363</v>
      </c>
      <c r="B677" s="165">
        <v>41977</v>
      </c>
      <c r="C677" t="s">
        <v>357</v>
      </c>
      <c r="D677" t="s">
        <v>358</v>
      </c>
      <c r="E677">
        <v>1</v>
      </c>
      <c r="F677" s="166">
        <v>400</v>
      </c>
      <c r="G677">
        <v>400</v>
      </c>
    </row>
    <row r="678" spans="1:7">
      <c r="A678" t="s">
        <v>363</v>
      </c>
      <c r="B678" s="165">
        <v>42004</v>
      </c>
      <c r="C678" t="s">
        <v>357</v>
      </c>
      <c r="D678" t="s">
        <v>358</v>
      </c>
      <c r="E678">
        <v>2</v>
      </c>
      <c r="F678" s="166">
        <v>292.5</v>
      </c>
      <c r="G678">
        <v>585</v>
      </c>
    </row>
    <row r="679" spans="1:7">
      <c r="A679" t="s">
        <v>363</v>
      </c>
      <c r="B679" s="165">
        <v>42004</v>
      </c>
      <c r="C679" t="s">
        <v>357</v>
      </c>
      <c r="D679" t="s">
        <v>358</v>
      </c>
      <c r="E679">
        <v>3</v>
      </c>
      <c r="F679" s="166">
        <v>206.66666666666666</v>
      </c>
      <c r="G679">
        <v>620</v>
      </c>
    </row>
    <row r="680" spans="1:7">
      <c r="A680" t="s">
        <v>363</v>
      </c>
      <c r="B680" s="165">
        <v>42004</v>
      </c>
      <c r="C680" t="s">
        <v>357</v>
      </c>
      <c r="D680" t="s">
        <v>358</v>
      </c>
      <c r="E680">
        <v>2</v>
      </c>
      <c r="F680" s="166">
        <v>429</v>
      </c>
      <c r="G680">
        <v>858</v>
      </c>
    </row>
    <row r="681" spans="1:7">
      <c r="A681" t="s">
        <v>363</v>
      </c>
      <c r="B681" s="165">
        <v>42004</v>
      </c>
      <c r="C681" t="s">
        <v>357</v>
      </c>
      <c r="D681" t="s">
        <v>358</v>
      </c>
      <c r="E681">
        <v>260</v>
      </c>
      <c r="F681" s="166">
        <v>284.55384615384617</v>
      </c>
      <c r="G681">
        <v>73984</v>
      </c>
    </row>
    <row r="682" spans="1:7">
      <c r="A682" t="s">
        <v>364</v>
      </c>
      <c r="B682" s="165">
        <v>41746</v>
      </c>
      <c r="C682" t="s">
        <v>357</v>
      </c>
      <c r="D682" t="s">
        <v>358</v>
      </c>
      <c r="E682">
        <v>7</v>
      </c>
      <c r="F682" s="166">
        <v>133.28571428571428</v>
      </c>
      <c r="G682">
        <v>933</v>
      </c>
    </row>
    <row r="683" spans="1:7">
      <c r="A683" t="s">
        <v>364</v>
      </c>
      <c r="B683" s="165">
        <v>41767</v>
      </c>
      <c r="C683" t="s">
        <v>357</v>
      </c>
      <c r="D683" t="s">
        <v>358</v>
      </c>
      <c r="E683">
        <v>13</v>
      </c>
      <c r="F683" s="166">
        <v>581</v>
      </c>
      <c r="G683">
        <v>7553</v>
      </c>
    </row>
    <row r="684" spans="1:7">
      <c r="A684" t="s">
        <v>364</v>
      </c>
      <c r="B684" s="165">
        <v>41774</v>
      </c>
      <c r="C684" t="s">
        <v>357</v>
      </c>
      <c r="D684" t="s">
        <v>358</v>
      </c>
      <c r="E684">
        <v>1</v>
      </c>
      <c r="F684" s="166">
        <v>400</v>
      </c>
      <c r="G684">
        <v>400</v>
      </c>
    </row>
    <row r="685" spans="1:7">
      <c r="A685" t="s">
        <v>364</v>
      </c>
      <c r="B685" s="165">
        <v>41802</v>
      </c>
      <c r="C685" t="s">
        <v>357</v>
      </c>
      <c r="D685" t="s">
        <v>358</v>
      </c>
      <c r="E685">
        <v>8</v>
      </c>
      <c r="F685" s="166">
        <v>197.125</v>
      </c>
      <c r="G685">
        <v>1577</v>
      </c>
    </row>
    <row r="686" spans="1:7">
      <c r="A686" t="s">
        <v>364</v>
      </c>
      <c r="B686" s="165">
        <v>41810</v>
      </c>
      <c r="C686" t="s">
        <v>357</v>
      </c>
      <c r="D686" t="s">
        <v>358</v>
      </c>
      <c r="E686">
        <v>1</v>
      </c>
      <c r="F686" s="166">
        <v>450</v>
      </c>
      <c r="G686">
        <v>450</v>
      </c>
    </row>
    <row r="687" spans="1:7">
      <c r="A687" t="s">
        <v>364</v>
      </c>
      <c r="B687" s="165">
        <v>41816</v>
      </c>
      <c r="C687" t="s">
        <v>357</v>
      </c>
      <c r="D687" t="s">
        <v>358</v>
      </c>
      <c r="E687">
        <v>4</v>
      </c>
      <c r="F687" s="166">
        <v>260</v>
      </c>
      <c r="G687">
        <v>1040</v>
      </c>
    </row>
    <row r="688" spans="1:7">
      <c r="A688" t="s">
        <v>364</v>
      </c>
      <c r="B688" s="165">
        <v>41830</v>
      </c>
      <c r="C688" t="s">
        <v>357</v>
      </c>
      <c r="D688" t="s">
        <v>358</v>
      </c>
      <c r="E688">
        <v>2</v>
      </c>
      <c r="F688" s="166">
        <v>295</v>
      </c>
      <c r="G688">
        <v>590</v>
      </c>
    </row>
    <row r="689" spans="1:7">
      <c r="A689" t="s">
        <v>364</v>
      </c>
      <c r="B689" s="165">
        <v>41830</v>
      </c>
      <c r="C689" t="s">
        <v>357</v>
      </c>
      <c r="D689" t="s">
        <v>358</v>
      </c>
      <c r="E689">
        <v>2</v>
      </c>
      <c r="F689" s="166">
        <v>339</v>
      </c>
      <c r="G689">
        <v>678</v>
      </c>
    </row>
    <row r="690" spans="1:7">
      <c r="A690" t="s">
        <v>364</v>
      </c>
      <c r="B690" s="165">
        <v>41844</v>
      </c>
      <c r="C690" t="s">
        <v>357</v>
      </c>
      <c r="D690" t="s">
        <v>358</v>
      </c>
      <c r="E690">
        <v>8</v>
      </c>
      <c r="F690" s="166">
        <v>375</v>
      </c>
      <c r="G690">
        <v>3000</v>
      </c>
    </row>
    <row r="691" spans="1:7">
      <c r="A691" t="s">
        <v>364</v>
      </c>
      <c r="B691" s="165">
        <v>41858</v>
      </c>
      <c r="C691" t="s">
        <v>357</v>
      </c>
      <c r="D691" t="s">
        <v>358</v>
      </c>
      <c r="E691">
        <v>6</v>
      </c>
      <c r="F691" s="166">
        <v>225</v>
      </c>
      <c r="G691">
        <v>1350</v>
      </c>
    </row>
    <row r="692" spans="1:7">
      <c r="A692" t="s">
        <v>364</v>
      </c>
      <c r="B692" s="165">
        <v>41865</v>
      </c>
      <c r="C692" t="s">
        <v>357</v>
      </c>
      <c r="D692" t="s">
        <v>358</v>
      </c>
      <c r="E692">
        <v>4</v>
      </c>
      <c r="F692" s="166">
        <v>264</v>
      </c>
      <c r="G692">
        <v>1056</v>
      </c>
    </row>
    <row r="693" spans="1:7">
      <c r="A693" t="s">
        <v>364</v>
      </c>
      <c r="B693" s="165">
        <v>41872</v>
      </c>
      <c r="C693" t="s">
        <v>357</v>
      </c>
      <c r="D693" t="s">
        <v>358</v>
      </c>
      <c r="E693">
        <v>16</v>
      </c>
      <c r="F693" s="166">
        <v>501.625</v>
      </c>
      <c r="G693">
        <v>8026</v>
      </c>
    </row>
    <row r="694" spans="1:7">
      <c r="A694" t="s">
        <v>364</v>
      </c>
      <c r="B694" s="165">
        <v>41879</v>
      </c>
      <c r="C694" t="s">
        <v>357</v>
      </c>
      <c r="D694" t="s">
        <v>358</v>
      </c>
      <c r="E694">
        <v>15</v>
      </c>
      <c r="F694" s="166">
        <v>345</v>
      </c>
      <c r="G694">
        <v>5175</v>
      </c>
    </row>
    <row r="695" spans="1:7">
      <c r="A695" t="s">
        <v>364</v>
      </c>
      <c r="B695" s="165">
        <v>41893</v>
      </c>
      <c r="C695" t="s">
        <v>357</v>
      </c>
      <c r="D695" t="s">
        <v>358</v>
      </c>
      <c r="E695">
        <v>1</v>
      </c>
      <c r="F695" s="166">
        <v>445</v>
      </c>
      <c r="G695">
        <v>445</v>
      </c>
    </row>
    <row r="696" spans="1:7">
      <c r="A696" t="s">
        <v>364</v>
      </c>
      <c r="B696" s="165">
        <v>41915</v>
      </c>
      <c r="C696" t="s">
        <v>357</v>
      </c>
      <c r="D696" t="s">
        <v>358</v>
      </c>
      <c r="E696">
        <v>6</v>
      </c>
      <c r="F696" s="166">
        <v>230</v>
      </c>
      <c r="G696">
        <v>1380</v>
      </c>
    </row>
    <row r="697" spans="1:7">
      <c r="A697" t="s">
        <v>364</v>
      </c>
      <c r="B697" s="165">
        <v>41915</v>
      </c>
      <c r="C697" t="s">
        <v>357</v>
      </c>
      <c r="D697" t="s">
        <v>358</v>
      </c>
      <c r="E697">
        <v>6</v>
      </c>
      <c r="F697" s="166">
        <v>433.33333333333331</v>
      </c>
      <c r="G697">
        <v>2600</v>
      </c>
    </row>
    <row r="698" spans="1:7">
      <c r="A698" t="s">
        <v>364</v>
      </c>
      <c r="B698" s="165">
        <v>41921</v>
      </c>
      <c r="C698" t="s">
        <v>357</v>
      </c>
      <c r="D698" t="s">
        <v>358</v>
      </c>
      <c r="E698">
        <v>1</v>
      </c>
      <c r="F698" s="166">
        <v>235</v>
      </c>
      <c r="G698">
        <v>235</v>
      </c>
    </row>
    <row r="699" spans="1:7">
      <c r="A699" t="s">
        <v>364</v>
      </c>
      <c r="B699" s="165">
        <v>41921</v>
      </c>
      <c r="C699" t="s">
        <v>357</v>
      </c>
      <c r="D699" t="s">
        <v>358</v>
      </c>
      <c r="E699">
        <v>1</v>
      </c>
      <c r="F699" s="166">
        <v>589</v>
      </c>
      <c r="G699">
        <v>589</v>
      </c>
    </row>
    <row r="700" spans="1:7">
      <c r="A700" t="s">
        <v>364</v>
      </c>
      <c r="B700" s="165">
        <v>41936</v>
      </c>
      <c r="C700" t="s">
        <v>357</v>
      </c>
      <c r="D700" t="s">
        <v>358</v>
      </c>
      <c r="E700">
        <v>5</v>
      </c>
      <c r="F700" s="166">
        <v>264</v>
      </c>
      <c r="G700">
        <v>1320</v>
      </c>
    </row>
    <row r="701" spans="1:7">
      <c r="A701" t="s">
        <v>364</v>
      </c>
      <c r="B701" s="165">
        <v>41949</v>
      </c>
      <c r="C701" t="s">
        <v>357</v>
      </c>
      <c r="D701" t="s">
        <v>358</v>
      </c>
      <c r="E701">
        <v>3</v>
      </c>
      <c r="F701" s="166">
        <v>400</v>
      </c>
      <c r="G701">
        <v>1200</v>
      </c>
    </row>
    <row r="702" spans="1:7">
      <c r="A702" t="s">
        <v>364</v>
      </c>
      <c r="B702" s="165">
        <v>41957</v>
      </c>
      <c r="C702" t="s">
        <v>357</v>
      </c>
      <c r="D702" t="s">
        <v>358</v>
      </c>
      <c r="E702">
        <v>18</v>
      </c>
      <c r="F702" s="166">
        <v>350</v>
      </c>
      <c r="G702">
        <v>6300</v>
      </c>
    </row>
    <row r="703" spans="1:7">
      <c r="A703" t="s">
        <v>364</v>
      </c>
      <c r="B703" s="165">
        <v>41957</v>
      </c>
      <c r="C703" t="s">
        <v>357</v>
      </c>
      <c r="D703" t="s">
        <v>358</v>
      </c>
      <c r="E703">
        <v>22</v>
      </c>
      <c r="F703" s="166">
        <v>309</v>
      </c>
      <c r="G703">
        <v>6798</v>
      </c>
    </row>
    <row r="704" spans="1:7">
      <c r="A704" t="s">
        <v>364</v>
      </c>
      <c r="B704" s="165">
        <v>41999</v>
      </c>
      <c r="C704" t="s">
        <v>357</v>
      </c>
      <c r="D704" t="s">
        <v>358</v>
      </c>
      <c r="E704">
        <v>5</v>
      </c>
      <c r="F704" s="166">
        <v>264.8</v>
      </c>
      <c r="G704">
        <v>1324</v>
      </c>
    </row>
    <row r="705" spans="1:8">
      <c r="A705" t="s">
        <v>364</v>
      </c>
      <c r="B705" s="165">
        <v>42004</v>
      </c>
      <c r="C705" t="s">
        <v>357</v>
      </c>
      <c r="D705" t="s">
        <v>358</v>
      </c>
      <c r="E705">
        <v>11</v>
      </c>
      <c r="F705" s="166">
        <v>225</v>
      </c>
      <c r="G705">
        <v>2475</v>
      </c>
    </row>
    <row r="706" spans="1:8">
      <c r="A706" t="s">
        <v>365</v>
      </c>
      <c r="B706" s="165">
        <v>41872</v>
      </c>
      <c r="C706" t="s">
        <v>357</v>
      </c>
      <c r="D706" t="s">
        <v>358</v>
      </c>
      <c r="E706">
        <v>1</v>
      </c>
      <c r="F706" s="166">
        <v>167</v>
      </c>
      <c r="G706">
        <v>167</v>
      </c>
    </row>
    <row r="707" spans="1:8">
      <c r="E707" s="119" t="s">
        <v>374</v>
      </c>
      <c r="F707" s="166">
        <f>AVERAGE(F582:F706)</f>
        <v>304.90063755887883</v>
      </c>
    </row>
    <row r="708" spans="1:8">
      <c r="E708" s="119" t="s">
        <v>375</v>
      </c>
      <c r="F708" s="166">
        <f>MEDIAN($F$582:$F$706)</f>
        <v>287</v>
      </c>
    </row>
    <row r="709" spans="1:8">
      <c r="E709" s="119" t="s">
        <v>376</v>
      </c>
      <c r="F709" s="166">
        <f>PERCENTILE($F$582:$F$706,0.25)</f>
        <v>235.83333333333334</v>
      </c>
    </row>
    <row r="710" spans="1:8">
      <c r="E710" s="119"/>
      <c r="F710" s="166"/>
    </row>
    <row r="711" spans="1:8">
      <c r="A711" s="171"/>
      <c r="B711" s="171"/>
      <c r="C711" s="171"/>
      <c r="D711" s="171"/>
      <c r="E711" s="171"/>
      <c r="F711" s="171"/>
      <c r="G711" s="171"/>
      <c r="H711" s="171"/>
    </row>
    <row r="712" spans="1:8">
      <c r="A712" s="146" t="s">
        <v>352</v>
      </c>
    </row>
    <row r="713" spans="1:8">
      <c r="A713" t="s">
        <v>343</v>
      </c>
      <c r="B713" s="165" t="s">
        <v>344</v>
      </c>
      <c r="C713" t="s">
        <v>345</v>
      </c>
      <c r="D713" t="s">
        <v>346</v>
      </c>
      <c r="E713" t="s">
        <v>347</v>
      </c>
      <c r="F713" s="166" t="s">
        <v>348</v>
      </c>
      <c r="G713" t="s">
        <v>349</v>
      </c>
    </row>
    <row r="714" spans="1:8">
      <c r="A714" t="s">
        <v>350</v>
      </c>
      <c r="B714" s="165">
        <v>41683</v>
      </c>
      <c r="C714" t="s">
        <v>351</v>
      </c>
      <c r="D714" t="s">
        <v>352</v>
      </c>
      <c r="E714">
        <v>3</v>
      </c>
      <c r="F714" s="166">
        <v>695</v>
      </c>
      <c r="G714">
        <v>2085</v>
      </c>
    </row>
    <row r="715" spans="1:8">
      <c r="A715" t="s">
        <v>350</v>
      </c>
      <c r="B715" s="165">
        <v>41690</v>
      </c>
      <c r="C715" t="s">
        <v>351</v>
      </c>
      <c r="D715" t="s">
        <v>352</v>
      </c>
      <c r="E715">
        <v>4</v>
      </c>
      <c r="F715" s="166">
        <v>348.25</v>
      </c>
      <c r="G715">
        <v>1393</v>
      </c>
    </row>
    <row r="716" spans="1:8">
      <c r="A716" t="s">
        <v>350</v>
      </c>
      <c r="B716" s="165">
        <v>41697</v>
      </c>
      <c r="C716" t="s">
        <v>351</v>
      </c>
      <c r="D716" t="s">
        <v>352</v>
      </c>
      <c r="E716">
        <v>2</v>
      </c>
      <c r="F716" s="166">
        <v>425</v>
      </c>
      <c r="G716">
        <v>850</v>
      </c>
    </row>
    <row r="717" spans="1:8">
      <c r="A717" t="s">
        <v>350</v>
      </c>
      <c r="B717" s="165">
        <v>41697</v>
      </c>
      <c r="C717" t="s">
        <v>351</v>
      </c>
      <c r="D717" t="s">
        <v>352</v>
      </c>
      <c r="E717">
        <v>3</v>
      </c>
      <c r="F717" s="166">
        <v>625</v>
      </c>
      <c r="G717">
        <v>1875</v>
      </c>
    </row>
    <row r="718" spans="1:8">
      <c r="A718" t="s">
        <v>350</v>
      </c>
      <c r="B718" s="165">
        <v>41704</v>
      </c>
      <c r="C718" t="s">
        <v>351</v>
      </c>
      <c r="D718" t="s">
        <v>352</v>
      </c>
      <c r="E718">
        <v>8</v>
      </c>
      <c r="F718" s="166">
        <v>725</v>
      </c>
      <c r="G718">
        <v>5800</v>
      </c>
    </row>
    <row r="719" spans="1:8">
      <c r="A719" t="s">
        <v>350</v>
      </c>
      <c r="B719" s="165">
        <v>41711</v>
      </c>
      <c r="C719" t="s">
        <v>351</v>
      </c>
      <c r="D719" t="s">
        <v>352</v>
      </c>
      <c r="E719">
        <v>2</v>
      </c>
      <c r="F719" s="166">
        <v>450</v>
      </c>
      <c r="G719">
        <v>900</v>
      </c>
    </row>
    <row r="720" spans="1:8">
      <c r="A720" t="s">
        <v>350</v>
      </c>
      <c r="B720" s="165">
        <v>41711</v>
      </c>
      <c r="C720" t="s">
        <v>351</v>
      </c>
      <c r="D720" t="s">
        <v>352</v>
      </c>
      <c r="E720">
        <v>5</v>
      </c>
      <c r="F720" s="166">
        <v>342</v>
      </c>
      <c r="G720">
        <v>1710</v>
      </c>
    </row>
    <row r="721" spans="1:7">
      <c r="A721" t="s">
        <v>350</v>
      </c>
      <c r="B721" s="165">
        <v>41711</v>
      </c>
      <c r="C721" t="s">
        <v>351</v>
      </c>
      <c r="D721" t="s">
        <v>352</v>
      </c>
      <c r="E721">
        <v>10</v>
      </c>
      <c r="F721" s="166">
        <v>475</v>
      </c>
      <c r="G721">
        <v>4750</v>
      </c>
    </row>
    <row r="722" spans="1:7">
      <c r="A722" t="s">
        <v>350</v>
      </c>
      <c r="B722" s="165">
        <v>41718</v>
      </c>
      <c r="C722" t="s">
        <v>351</v>
      </c>
      <c r="D722" t="s">
        <v>352</v>
      </c>
      <c r="E722">
        <v>8</v>
      </c>
      <c r="F722" s="166">
        <v>489</v>
      </c>
      <c r="G722">
        <v>3912</v>
      </c>
    </row>
    <row r="723" spans="1:7">
      <c r="A723" t="s">
        <v>350</v>
      </c>
      <c r="B723" s="165">
        <v>41718</v>
      </c>
      <c r="C723" t="s">
        <v>351</v>
      </c>
      <c r="D723" t="s">
        <v>352</v>
      </c>
      <c r="E723">
        <v>10</v>
      </c>
      <c r="F723" s="166">
        <v>494.4</v>
      </c>
      <c r="G723">
        <v>4944</v>
      </c>
    </row>
    <row r="724" spans="1:7">
      <c r="A724" t="s">
        <v>350</v>
      </c>
      <c r="B724" s="165">
        <v>41739</v>
      </c>
      <c r="C724" t="s">
        <v>351</v>
      </c>
      <c r="D724" t="s">
        <v>352</v>
      </c>
      <c r="E724">
        <v>4</v>
      </c>
      <c r="F724" s="166">
        <v>306</v>
      </c>
      <c r="G724">
        <v>1224</v>
      </c>
    </row>
    <row r="725" spans="1:7">
      <c r="A725" t="s">
        <v>350</v>
      </c>
      <c r="B725" s="165">
        <v>41739</v>
      </c>
      <c r="C725" t="s">
        <v>351</v>
      </c>
      <c r="D725" t="s">
        <v>352</v>
      </c>
      <c r="E725">
        <v>3</v>
      </c>
      <c r="F725" s="166">
        <v>625</v>
      </c>
      <c r="G725">
        <v>1875</v>
      </c>
    </row>
    <row r="726" spans="1:7">
      <c r="A726" t="s">
        <v>350</v>
      </c>
      <c r="B726" s="165">
        <v>41739</v>
      </c>
      <c r="C726" t="s">
        <v>351</v>
      </c>
      <c r="D726" t="s">
        <v>352</v>
      </c>
      <c r="E726">
        <v>4</v>
      </c>
      <c r="F726" s="166">
        <v>1034.75</v>
      </c>
      <c r="G726">
        <v>4139</v>
      </c>
    </row>
    <row r="727" spans="1:7">
      <c r="A727" t="s">
        <v>350</v>
      </c>
      <c r="B727" s="165">
        <v>41746</v>
      </c>
      <c r="C727" t="s">
        <v>351</v>
      </c>
      <c r="D727" t="s">
        <v>352</v>
      </c>
      <c r="E727">
        <v>10</v>
      </c>
      <c r="F727" s="166">
        <v>480</v>
      </c>
      <c r="G727">
        <v>4800</v>
      </c>
    </row>
    <row r="728" spans="1:7">
      <c r="A728" t="s">
        <v>350</v>
      </c>
      <c r="B728" s="165">
        <v>41753</v>
      </c>
      <c r="C728" t="s">
        <v>351</v>
      </c>
      <c r="D728" t="s">
        <v>352</v>
      </c>
      <c r="E728">
        <v>8</v>
      </c>
      <c r="F728" s="166">
        <v>387.75</v>
      </c>
      <c r="G728">
        <v>3102</v>
      </c>
    </row>
    <row r="729" spans="1:7">
      <c r="A729" t="s">
        <v>350</v>
      </c>
      <c r="B729" s="165">
        <v>41753</v>
      </c>
      <c r="C729" t="s">
        <v>351</v>
      </c>
      <c r="D729" t="s">
        <v>352</v>
      </c>
      <c r="E729">
        <v>8</v>
      </c>
      <c r="F729" s="166">
        <v>603.125</v>
      </c>
      <c r="G729">
        <v>4825</v>
      </c>
    </row>
    <row r="730" spans="1:7">
      <c r="A730" t="s">
        <v>350</v>
      </c>
      <c r="B730" s="165">
        <v>41760</v>
      </c>
      <c r="C730" t="s">
        <v>351</v>
      </c>
      <c r="D730" t="s">
        <v>352</v>
      </c>
      <c r="E730">
        <v>8</v>
      </c>
      <c r="F730" s="166">
        <v>350</v>
      </c>
      <c r="G730">
        <v>2800</v>
      </c>
    </row>
    <row r="731" spans="1:7">
      <c r="A731" t="s">
        <v>350</v>
      </c>
      <c r="B731" s="165">
        <v>41760</v>
      </c>
      <c r="C731" t="s">
        <v>351</v>
      </c>
      <c r="D731" t="s">
        <v>352</v>
      </c>
      <c r="E731">
        <v>11</v>
      </c>
      <c r="F731" s="166">
        <v>500</v>
      </c>
      <c r="G731">
        <v>5500</v>
      </c>
    </row>
    <row r="732" spans="1:7">
      <c r="A732" t="s">
        <v>350</v>
      </c>
      <c r="B732" s="165">
        <v>41767</v>
      </c>
      <c r="C732" t="s">
        <v>351</v>
      </c>
      <c r="D732" t="s">
        <v>352</v>
      </c>
      <c r="E732">
        <v>12</v>
      </c>
      <c r="F732" s="166">
        <v>485.41666666666669</v>
      </c>
      <c r="G732">
        <v>5825</v>
      </c>
    </row>
    <row r="733" spans="1:7">
      <c r="A733" t="s">
        <v>350</v>
      </c>
      <c r="B733" s="165">
        <v>41774</v>
      </c>
      <c r="C733" t="s">
        <v>351</v>
      </c>
      <c r="D733" t="s">
        <v>352</v>
      </c>
      <c r="E733">
        <v>1</v>
      </c>
      <c r="F733" s="166">
        <v>365</v>
      </c>
      <c r="G733">
        <v>365</v>
      </c>
    </row>
    <row r="734" spans="1:7">
      <c r="A734" t="s">
        <v>350</v>
      </c>
      <c r="B734" s="165">
        <v>41774</v>
      </c>
      <c r="C734" t="s">
        <v>351</v>
      </c>
      <c r="D734" t="s">
        <v>352</v>
      </c>
      <c r="E734">
        <v>1</v>
      </c>
      <c r="F734" s="166">
        <v>471</v>
      </c>
      <c r="G734">
        <v>471</v>
      </c>
    </row>
    <row r="735" spans="1:7">
      <c r="A735" t="s">
        <v>350</v>
      </c>
      <c r="B735" s="165">
        <v>41774</v>
      </c>
      <c r="C735" t="s">
        <v>351</v>
      </c>
      <c r="D735" t="s">
        <v>352</v>
      </c>
      <c r="E735">
        <v>7</v>
      </c>
      <c r="F735" s="166">
        <v>575</v>
      </c>
      <c r="G735">
        <v>4025</v>
      </c>
    </row>
    <row r="736" spans="1:7">
      <c r="A736" t="s">
        <v>350</v>
      </c>
      <c r="B736" s="165">
        <v>41774</v>
      </c>
      <c r="C736" t="s">
        <v>351</v>
      </c>
      <c r="D736" t="s">
        <v>352</v>
      </c>
      <c r="E736">
        <v>12</v>
      </c>
      <c r="F736" s="166">
        <v>525</v>
      </c>
      <c r="G736">
        <v>6300</v>
      </c>
    </row>
    <row r="737" spans="1:7">
      <c r="A737" t="s">
        <v>350</v>
      </c>
      <c r="B737" s="165">
        <v>41781</v>
      </c>
      <c r="C737" t="s">
        <v>351</v>
      </c>
      <c r="D737" t="s">
        <v>352</v>
      </c>
      <c r="E737">
        <v>7</v>
      </c>
      <c r="F737" s="166">
        <v>475</v>
      </c>
      <c r="G737">
        <v>3325</v>
      </c>
    </row>
    <row r="738" spans="1:7">
      <c r="A738" t="s">
        <v>350</v>
      </c>
      <c r="B738" s="165">
        <v>41788</v>
      </c>
      <c r="C738" t="s">
        <v>351</v>
      </c>
      <c r="D738" t="s">
        <v>352</v>
      </c>
      <c r="E738">
        <v>2</v>
      </c>
      <c r="F738" s="166">
        <v>360</v>
      </c>
      <c r="G738">
        <v>720</v>
      </c>
    </row>
    <row r="739" spans="1:7">
      <c r="A739" t="s">
        <v>350</v>
      </c>
      <c r="B739" s="165">
        <v>41788</v>
      </c>
      <c r="C739" t="s">
        <v>351</v>
      </c>
      <c r="D739" t="s">
        <v>352</v>
      </c>
      <c r="E739">
        <v>17</v>
      </c>
      <c r="F739" s="166">
        <v>795</v>
      </c>
      <c r="G739">
        <v>13515</v>
      </c>
    </row>
    <row r="740" spans="1:7">
      <c r="A740" t="s">
        <v>350</v>
      </c>
      <c r="B740" s="165">
        <v>41795</v>
      </c>
      <c r="C740" t="s">
        <v>351</v>
      </c>
      <c r="D740" t="s">
        <v>352</v>
      </c>
      <c r="E740">
        <v>2</v>
      </c>
      <c r="F740" s="166">
        <v>675</v>
      </c>
      <c r="G740">
        <v>1350</v>
      </c>
    </row>
    <row r="741" spans="1:7">
      <c r="A741" t="s">
        <v>350</v>
      </c>
      <c r="B741" s="165">
        <v>41795</v>
      </c>
      <c r="C741" t="s">
        <v>351</v>
      </c>
      <c r="D741" t="s">
        <v>352</v>
      </c>
      <c r="E741">
        <v>11</v>
      </c>
      <c r="F741" s="166">
        <v>499</v>
      </c>
      <c r="G741">
        <v>5489</v>
      </c>
    </row>
    <row r="742" spans="1:7">
      <c r="A742" t="s">
        <v>350</v>
      </c>
      <c r="B742" s="165">
        <v>41795</v>
      </c>
      <c r="C742" t="s">
        <v>351</v>
      </c>
      <c r="D742" t="s">
        <v>352</v>
      </c>
      <c r="E742">
        <v>20</v>
      </c>
      <c r="F742" s="166">
        <v>517</v>
      </c>
      <c r="G742">
        <v>10340</v>
      </c>
    </row>
    <row r="743" spans="1:7">
      <c r="A743" t="s">
        <v>350</v>
      </c>
      <c r="B743" s="165">
        <v>41802</v>
      </c>
      <c r="C743" t="s">
        <v>351</v>
      </c>
      <c r="D743" t="s">
        <v>352</v>
      </c>
      <c r="E743">
        <v>4</v>
      </c>
      <c r="F743" s="166">
        <v>525</v>
      </c>
      <c r="G743">
        <v>2100</v>
      </c>
    </row>
    <row r="744" spans="1:7">
      <c r="A744" t="s">
        <v>350</v>
      </c>
      <c r="B744" s="165">
        <v>41810</v>
      </c>
      <c r="C744" t="s">
        <v>351</v>
      </c>
      <c r="D744" t="s">
        <v>352</v>
      </c>
      <c r="E744">
        <v>1</v>
      </c>
      <c r="F744" s="166">
        <v>355</v>
      </c>
      <c r="G744">
        <v>355</v>
      </c>
    </row>
    <row r="745" spans="1:7">
      <c r="A745" t="s">
        <v>350</v>
      </c>
      <c r="B745" s="165">
        <v>41816</v>
      </c>
      <c r="C745" t="s">
        <v>351</v>
      </c>
      <c r="D745" t="s">
        <v>352</v>
      </c>
      <c r="E745">
        <v>8</v>
      </c>
      <c r="F745" s="166">
        <v>175.375</v>
      </c>
      <c r="G745">
        <v>1403</v>
      </c>
    </row>
    <row r="746" spans="1:7">
      <c r="A746" t="s">
        <v>350</v>
      </c>
      <c r="B746" s="165">
        <v>41816</v>
      </c>
      <c r="C746" t="s">
        <v>351</v>
      </c>
      <c r="D746" t="s">
        <v>352</v>
      </c>
      <c r="E746">
        <v>2</v>
      </c>
      <c r="F746" s="166">
        <v>875</v>
      </c>
      <c r="G746">
        <v>1750</v>
      </c>
    </row>
    <row r="747" spans="1:7">
      <c r="A747" t="s">
        <v>350</v>
      </c>
      <c r="B747" s="165">
        <v>41816</v>
      </c>
      <c r="C747" t="s">
        <v>351</v>
      </c>
      <c r="D747" t="s">
        <v>352</v>
      </c>
      <c r="E747">
        <v>6</v>
      </c>
      <c r="F747" s="166">
        <v>322.66666666666669</v>
      </c>
      <c r="G747">
        <v>1936</v>
      </c>
    </row>
    <row r="748" spans="1:7">
      <c r="A748" t="s">
        <v>350</v>
      </c>
      <c r="B748" s="165">
        <v>41816</v>
      </c>
      <c r="C748" t="s">
        <v>351</v>
      </c>
      <c r="D748" t="s">
        <v>352</v>
      </c>
      <c r="E748">
        <v>5</v>
      </c>
      <c r="F748" s="166">
        <v>675</v>
      </c>
      <c r="G748">
        <v>3375</v>
      </c>
    </row>
    <row r="749" spans="1:7">
      <c r="A749" t="s">
        <v>350</v>
      </c>
      <c r="B749" s="165">
        <v>41816</v>
      </c>
      <c r="C749" t="s">
        <v>351</v>
      </c>
      <c r="D749" t="s">
        <v>352</v>
      </c>
      <c r="E749">
        <v>13</v>
      </c>
      <c r="F749" s="166">
        <v>519</v>
      </c>
      <c r="G749">
        <v>6747</v>
      </c>
    </row>
    <row r="750" spans="1:7">
      <c r="A750" t="s">
        <v>350</v>
      </c>
      <c r="B750" s="165">
        <v>41823</v>
      </c>
      <c r="C750" t="s">
        <v>351</v>
      </c>
      <c r="D750" t="s">
        <v>352</v>
      </c>
      <c r="E750">
        <v>1</v>
      </c>
      <c r="F750" s="166">
        <v>250</v>
      </c>
      <c r="G750">
        <v>250</v>
      </c>
    </row>
    <row r="751" spans="1:7">
      <c r="A751" t="s">
        <v>350</v>
      </c>
      <c r="B751" s="165">
        <v>41823</v>
      </c>
      <c r="C751" t="s">
        <v>351</v>
      </c>
      <c r="D751" t="s">
        <v>352</v>
      </c>
      <c r="E751">
        <v>2</v>
      </c>
      <c r="F751" s="166">
        <v>480</v>
      </c>
      <c r="G751">
        <v>960</v>
      </c>
    </row>
    <row r="752" spans="1:7">
      <c r="A752" t="s">
        <v>350</v>
      </c>
      <c r="B752" s="165">
        <v>41823</v>
      </c>
      <c r="C752" t="s">
        <v>351</v>
      </c>
      <c r="D752" t="s">
        <v>352</v>
      </c>
      <c r="E752">
        <v>2</v>
      </c>
      <c r="F752" s="166">
        <v>685</v>
      </c>
      <c r="G752">
        <v>1370</v>
      </c>
    </row>
    <row r="753" spans="1:7">
      <c r="A753" t="s">
        <v>350</v>
      </c>
      <c r="B753" s="165">
        <v>41823</v>
      </c>
      <c r="C753" t="s">
        <v>351</v>
      </c>
      <c r="D753" t="s">
        <v>352</v>
      </c>
      <c r="E753">
        <v>4</v>
      </c>
      <c r="F753" s="166">
        <v>800</v>
      </c>
      <c r="G753">
        <v>3200</v>
      </c>
    </row>
    <row r="754" spans="1:7">
      <c r="A754" t="s">
        <v>350</v>
      </c>
      <c r="B754" s="165">
        <v>41823</v>
      </c>
      <c r="C754" t="s">
        <v>351</v>
      </c>
      <c r="D754" t="s">
        <v>352</v>
      </c>
      <c r="E754">
        <v>8</v>
      </c>
      <c r="F754" s="166">
        <v>425</v>
      </c>
      <c r="G754">
        <v>3400</v>
      </c>
    </row>
    <row r="755" spans="1:7">
      <c r="A755" t="s">
        <v>350</v>
      </c>
      <c r="B755" s="165">
        <v>41823</v>
      </c>
      <c r="C755" t="s">
        <v>351</v>
      </c>
      <c r="D755" t="s">
        <v>352</v>
      </c>
      <c r="E755">
        <v>8</v>
      </c>
      <c r="F755" s="166">
        <v>494</v>
      </c>
      <c r="G755">
        <v>3952</v>
      </c>
    </row>
    <row r="756" spans="1:7">
      <c r="A756" t="s">
        <v>350</v>
      </c>
      <c r="B756" s="165">
        <v>41823</v>
      </c>
      <c r="C756" t="s">
        <v>351</v>
      </c>
      <c r="D756" t="s">
        <v>352</v>
      </c>
      <c r="E756">
        <v>19</v>
      </c>
      <c r="F756" s="166">
        <v>425</v>
      </c>
      <c r="G756">
        <v>8075</v>
      </c>
    </row>
    <row r="757" spans="1:7">
      <c r="A757" t="s">
        <v>350</v>
      </c>
      <c r="B757" s="165">
        <v>41823</v>
      </c>
      <c r="C757" t="s">
        <v>351</v>
      </c>
      <c r="D757" t="s">
        <v>352</v>
      </c>
      <c r="E757">
        <v>15</v>
      </c>
      <c r="F757" s="166">
        <v>544.20000000000005</v>
      </c>
      <c r="G757">
        <v>8163</v>
      </c>
    </row>
    <row r="758" spans="1:7">
      <c r="A758" t="s">
        <v>350</v>
      </c>
      <c r="B758" s="165">
        <v>41830</v>
      </c>
      <c r="C758" t="s">
        <v>351</v>
      </c>
      <c r="D758" t="s">
        <v>352</v>
      </c>
      <c r="E758">
        <v>12</v>
      </c>
      <c r="F758" s="166">
        <v>525</v>
      </c>
      <c r="G758">
        <v>6300</v>
      </c>
    </row>
    <row r="759" spans="1:7">
      <c r="A759" t="s">
        <v>350</v>
      </c>
      <c r="B759" s="165">
        <v>41837</v>
      </c>
      <c r="C759" t="s">
        <v>351</v>
      </c>
      <c r="D759" t="s">
        <v>352</v>
      </c>
      <c r="E759">
        <v>4</v>
      </c>
      <c r="F759" s="166">
        <v>534.5</v>
      </c>
      <c r="G759">
        <v>2138</v>
      </c>
    </row>
    <row r="760" spans="1:7">
      <c r="A760" t="s">
        <v>350</v>
      </c>
      <c r="B760" s="165">
        <v>41837</v>
      </c>
      <c r="C760" t="s">
        <v>351</v>
      </c>
      <c r="D760" t="s">
        <v>352</v>
      </c>
      <c r="E760">
        <v>10</v>
      </c>
      <c r="F760" s="166">
        <v>597.5</v>
      </c>
      <c r="G760">
        <v>5975</v>
      </c>
    </row>
    <row r="761" spans="1:7">
      <c r="A761" t="s">
        <v>350</v>
      </c>
      <c r="B761" s="165">
        <v>41837</v>
      </c>
      <c r="C761" t="s">
        <v>351</v>
      </c>
      <c r="D761" t="s">
        <v>352</v>
      </c>
      <c r="E761">
        <v>18</v>
      </c>
      <c r="F761" s="166">
        <v>437</v>
      </c>
      <c r="G761">
        <v>7866</v>
      </c>
    </row>
    <row r="762" spans="1:7">
      <c r="A762" t="s">
        <v>350</v>
      </c>
      <c r="B762" s="165">
        <v>41851</v>
      </c>
      <c r="C762" t="s">
        <v>351</v>
      </c>
      <c r="D762" t="s">
        <v>352</v>
      </c>
      <c r="E762">
        <v>1</v>
      </c>
      <c r="F762" s="166">
        <v>685</v>
      </c>
      <c r="G762">
        <v>685</v>
      </c>
    </row>
    <row r="763" spans="1:7">
      <c r="A763" t="s">
        <v>350</v>
      </c>
      <c r="B763" s="165">
        <v>41851</v>
      </c>
      <c r="C763" t="s">
        <v>351</v>
      </c>
      <c r="D763" t="s">
        <v>352</v>
      </c>
      <c r="E763">
        <v>4</v>
      </c>
      <c r="F763" s="166">
        <v>270</v>
      </c>
      <c r="G763">
        <v>1080</v>
      </c>
    </row>
    <row r="764" spans="1:7">
      <c r="A764" t="s">
        <v>350</v>
      </c>
      <c r="B764" s="165">
        <v>41851</v>
      </c>
      <c r="C764" t="s">
        <v>351</v>
      </c>
      <c r="D764" t="s">
        <v>352</v>
      </c>
      <c r="E764">
        <v>10</v>
      </c>
      <c r="F764" s="166">
        <v>272.7</v>
      </c>
      <c r="G764">
        <v>2727</v>
      </c>
    </row>
    <row r="765" spans="1:7">
      <c r="A765" t="s">
        <v>350</v>
      </c>
      <c r="B765" s="165">
        <v>41851</v>
      </c>
      <c r="C765" t="s">
        <v>351</v>
      </c>
      <c r="D765" t="s">
        <v>352</v>
      </c>
      <c r="E765">
        <v>8</v>
      </c>
      <c r="F765" s="166">
        <v>354.75</v>
      </c>
      <c r="G765">
        <v>2838</v>
      </c>
    </row>
    <row r="766" spans="1:7">
      <c r="A766" t="s">
        <v>350</v>
      </c>
      <c r="B766" s="165">
        <v>41851</v>
      </c>
      <c r="C766" t="s">
        <v>351</v>
      </c>
      <c r="D766" t="s">
        <v>352</v>
      </c>
      <c r="E766">
        <v>10</v>
      </c>
      <c r="F766" s="166">
        <v>315</v>
      </c>
      <c r="G766">
        <v>3150</v>
      </c>
    </row>
    <row r="767" spans="1:7">
      <c r="A767" t="s">
        <v>350</v>
      </c>
      <c r="B767" s="165">
        <v>41851</v>
      </c>
      <c r="C767" t="s">
        <v>351</v>
      </c>
      <c r="D767" t="s">
        <v>352</v>
      </c>
      <c r="E767">
        <v>10</v>
      </c>
      <c r="F767" s="166">
        <v>550</v>
      </c>
      <c r="G767">
        <v>5500</v>
      </c>
    </row>
    <row r="768" spans="1:7">
      <c r="A768" t="s">
        <v>350</v>
      </c>
      <c r="B768" s="165">
        <v>41851</v>
      </c>
      <c r="C768" t="s">
        <v>351</v>
      </c>
      <c r="D768" t="s">
        <v>352</v>
      </c>
      <c r="E768">
        <v>12</v>
      </c>
      <c r="F768" s="166">
        <v>558.33333333333337</v>
      </c>
      <c r="G768">
        <v>6700</v>
      </c>
    </row>
    <row r="769" spans="1:7">
      <c r="A769" t="s">
        <v>350</v>
      </c>
      <c r="B769" s="165">
        <v>41851</v>
      </c>
      <c r="C769" t="s">
        <v>351</v>
      </c>
      <c r="D769" t="s">
        <v>352</v>
      </c>
      <c r="E769">
        <v>10</v>
      </c>
      <c r="F769" s="166">
        <v>767</v>
      </c>
      <c r="G769">
        <v>7670</v>
      </c>
    </row>
    <row r="770" spans="1:7">
      <c r="A770" t="s">
        <v>350</v>
      </c>
      <c r="B770" s="165">
        <v>41858</v>
      </c>
      <c r="C770" t="s">
        <v>351</v>
      </c>
      <c r="D770" t="s">
        <v>352</v>
      </c>
      <c r="E770">
        <v>4</v>
      </c>
      <c r="F770" s="166">
        <v>625</v>
      </c>
      <c r="G770">
        <v>2500</v>
      </c>
    </row>
    <row r="771" spans="1:7">
      <c r="A771" t="s">
        <v>350</v>
      </c>
      <c r="B771" s="165">
        <v>41858</v>
      </c>
      <c r="C771" t="s">
        <v>351</v>
      </c>
      <c r="D771" t="s">
        <v>352</v>
      </c>
      <c r="E771">
        <v>4</v>
      </c>
      <c r="F771" s="166">
        <v>732.5</v>
      </c>
      <c r="G771">
        <v>2930</v>
      </c>
    </row>
    <row r="772" spans="1:7">
      <c r="A772" t="s">
        <v>350</v>
      </c>
      <c r="B772" s="165">
        <v>41858</v>
      </c>
      <c r="C772" t="s">
        <v>351</v>
      </c>
      <c r="D772" t="s">
        <v>352</v>
      </c>
      <c r="E772">
        <v>8</v>
      </c>
      <c r="F772" s="166">
        <v>370</v>
      </c>
      <c r="G772">
        <v>2960</v>
      </c>
    </row>
    <row r="773" spans="1:7">
      <c r="A773" t="s">
        <v>350</v>
      </c>
      <c r="B773" s="165">
        <v>41865</v>
      </c>
      <c r="C773" t="s">
        <v>351</v>
      </c>
      <c r="D773" t="s">
        <v>352</v>
      </c>
      <c r="E773">
        <v>41</v>
      </c>
      <c r="F773" s="166">
        <v>395</v>
      </c>
      <c r="G773">
        <v>16195</v>
      </c>
    </row>
    <row r="774" spans="1:7">
      <c r="A774" t="s">
        <v>350</v>
      </c>
      <c r="B774" s="165">
        <v>41872</v>
      </c>
      <c r="C774" t="s">
        <v>351</v>
      </c>
      <c r="D774" t="s">
        <v>352</v>
      </c>
      <c r="E774">
        <v>4</v>
      </c>
      <c r="F774" s="166">
        <v>525</v>
      </c>
      <c r="G774">
        <v>2100</v>
      </c>
    </row>
    <row r="775" spans="1:7">
      <c r="A775" t="s">
        <v>350</v>
      </c>
      <c r="B775" s="165">
        <v>41872</v>
      </c>
      <c r="C775" t="s">
        <v>351</v>
      </c>
      <c r="D775" t="s">
        <v>352</v>
      </c>
      <c r="E775">
        <v>4</v>
      </c>
      <c r="F775" s="166">
        <v>550</v>
      </c>
      <c r="G775">
        <v>2200</v>
      </c>
    </row>
    <row r="776" spans="1:7">
      <c r="A776" t="s">
        <v>350</v>
      </c>
      <c r="B776" s="165">
        <v>41872</v>
      </c>
      <c r="C776" t="s">
        <v>351</v>
      </c>
      <c r="D776" t="s">
        <v>352</v>
      </c>
      <c r="E776">
        <v>2</v>
      </c>
      <c r="F776" s="166">
        <v>1395</v>
      </c>
      <c r="G776">
        <v>2790</v>
      </c>
    </row>
    <row r="777" spans="1:7">
      <c r="A777" t="s">
        <v>350</v>
      </c>
      <c r="B777" s="165">
        <v>41872</v>
      </c>
      <c r="C777" t="s">
        <v>351</v>
      </c>
      <c r="D777" t="s">
        <v>352</v>
      </c>
      <c r="E777">
        <v>8</v>
      </c>
      <c r="F777" s="166">
        <v>381.875</v>
      </c>
      <c r="G777">
        <v>3055</v>
      </c>
    </row>
    <row r="778" spans="1:7">
      <c r="A778" t="s">
        <v>350</v>
      </c>
      <c r="B778" s="165">
        <v>41872</v>
      </c>
      <c r="C778" t="s">
        <v>351</v>
      </c>
      <c r="D778" t="s">
        <v>352</v>
      </c>
      <c r="E778">
        <v>9</v>
      </c>
      <c r="F778" s="166">
        <v>503.33333333333331</v>
      </c>
      <c r="G778">
        <v>4530</v>
      </c>
    </row>
    <row r="779" spans="1:7">
      <c r="A779" t="s">
        <v>350</v>
      </c>
      <c r="B779" s="165">
        <v>41872</v>
      </c>
      <c r="C779" t="s">
        <v>351</v>
      </c>
      <c r="D779" t="s">
        <v>352</v>
      </c>
      <c r="E779">
        <v>10</v>
      </c>
      <c r="F779" s="166">
        <v>480.3</v>
      </c>
      <c r="G779">
        <v>4803</v>
      </c>
    </row>
    <row r="780" spans="1:7">
      <c r="A780" t="s">
        <v>350</v>
      </c>
      <c r="B780" s="165">
        <v>41879</v>
      </c>
      <c r="C780" t="s">
        <v>351</v>
      </c>
      <c r="D780" t="s">
        <v>352</v>
      </c>
      <c r="E780">
        <v>7</v>
      </c>
      <c r="F780" s="166">
        <v>411.28571428571428</v>
      </c>
      <c r="G780">
        <v>2879</v>
      </c>
    </row>
    <row r="781" spans="1:7">
      <c r="A781" t="s">
        <v>350</v>
      </c>
      <c r="B781" s="165">
        <v>41879</v>
      </c>
      <c r="C781" t="s">
        <v>351</v>
      </c>
      <c r="D781" t="s">
        <v>352</v>
      </c>
      <c r="E781">
        <v>15</v>
      </c>
      <c r="F781" s="166">
        <v>375.66666666666669</v>
      </c>
      <c r="G781">
        <v>5635</v>
      </c>
    </row>
    <row r="782" spans="1:7">
      <c r="A782" t="s">
        <v>350</v>
      </c>
      <c r="B782" s="165">
        <v>41893</v>
      </c>
      <c r="C782" t="s">
        <v>351</v>
      </c>
      <c r="D782" t="s">
        <v>352</v>
      </c>
      <c r="E782">
        <v>8</v>
      </c>
      <c r="F782" s="166">
        <v>334.875</v>
      </c>
      <c r="G782">
        <v>2679</v>
      </c>
    </row>
    <row r="783" spans="1:7">
      <c r="A783" t="s">
        <v>350</v>
      </c>
      <c r="B783" s="165">
        <v>41900</v>
      </c>
      <c r="C783" t="s">
        <v>351</v>
      </c>
      <c r="D783" t="s">
        <v>352</v>
      </c>
      <c r="E783">
        <v>1</v>
      </c>
      <c r="F783" s="166">
        <v>600</v>
      </c>
      <c r="G783">
        <v>600</v>
      </c>
    </row>
    <row r="784" spans="1:7">
      <c r="A784" t="s">
        <v>350</v>
      </c>
      <c r="B784" s="165">
        <v>41900</v>
      </c>
      <c r="C784" t="s">
        <v>351</v>
      </c>
      <c r="D784" t="s">
        <v>352</v>
      </c>
      <c r="E784">
        <v>3</v>
      </c>
      <c r="F784" s="166">
        <v>495</v>
      </c>
      <c r="G784">
        <v>1485</v>
      </c>
    </row>
    <row r="785" spans="1:7">
      <c r="A785" t="s">
        <v>350</v>
      </c>
      <c r="B785" s="165">
        <v>41900</v>
      </c>
      <c r="C785" t="s">
        <v>351</v>
      </c>
      <c r="D785" t="s">
        <v>352</v>
      </c>
      <c r="E785">
        <v>3</v>
      </c>
      <c r="F785" s="166">
        <v>555</v>
      </c>
      <c r="G785">
        <v>1665</v>
      </c>
    </row>
    <row r="786" spans="1:7">
      <c r="A786" t="s">
        <v>350</v>
      </c>
      <c r="B786" s="165">
        <v>41900</v>
      </c>
      <c r="C786" t="s">
        <v>351</v>
      </c>
      <c r="D786" t="s">
        <v>352</v>
      </c>
      <c r="E786">
        <v>5</v>
      </c>
      <c r="F786" s="166">
        <v>384</v>
      </c>
      <c r="G786">
        <v>1920</v>
      </c>
    </row>
    <row r="787" spans="1:7">
      <c r="A787" t="s">
        <v>350</v>
      </c>
      <c r="B787" s="165">
        <v>41900</v>
      </c>
      <c r="C787" t="s">
        <v>351</v>
      </c>
      <c r="D787" t="s">
        <v>352</v>
      </c>
      <c r="E787">
        <v>9</v>
      </c>
      <c r="F787" s="166">
        <v>720</v>
      </c>
      <c r="G787">
        <v>6480</v>
      </c>
    </row>
    <row r="788" spans="1:7">
      <c r="A788" t="s">
        <v>350</v>
      </c>
      <c r="B788" s="165">
        <v>41900</v>
      </c>
      <c r="C788" t="s">
        <v>351</v>
      </c>
      <c r="D788" t="s">
        <v>352</v>
      </c>
      <c r="E788">
        <v>12</v>
      </c>
      <c r="F788" s="166">
        <v>566.66666666666663</v>
      </c>
      <c r="G788">
        <v>6800</v>
      </c>
    </row>
    <row r="789" spans="1:7">
      <c r="A789" t="s">
        <v>350</v>
      </c>
      <c r="B789" s="165">
        <v>41907</v>
      </c>
      <c r="C789" t="s">
        <v>351</v>
      </c>
      <c r="D789" t="s">
        <v>352</v>
      </c>
      <c r="E789">
        <v>9</v>
      </c>
      <c r="F789" s="166">
        <v>200</v>
      </c>
      <c r="G789">
        <v>1800</v>
      </c>
    </row>
    <row r="790" spans="1:7">
      <c r="A790" t="s">
        <v>350</v>
      </c>
      <c r="B790" s="165">
        <v>41907</v>
      </c>
      <c r="C790" t="s">
        <v>351</v>
      </c>
      <c r="D790" t="s">
        <v>352</v>
      </c>
      <c r="E790">
        <v>11</v>
      </c>
      <c r="F790" s="166">
        <v>590.90909090909088</v>
      </c>
      <c r="G790">
        <v>6500</v>
      </c>
    </row>
    <row r="791" spans="1:7">
      <c r="A791" t="s">
        <v>350</v>
      </c>
      <c r="B791" s="165">
        <v>41907</v>
      </c>
      <c r="C791" t="s">
        <v>351</v>
      </c>
      <c r="D791" t="s">
        <v>352</v>
      </c>
      <c r="E791">
        <v>17</v>
      </c>
      <c r="F791" s="166">
        <v>560</v>
      </c>
      <c r="G791">
        <v>9520</v>
      </c>
    </row>
    <row r="792" spans="1:7">
      <c r="A792" t="s">
        <v>350</v>
      </c>
      <c r="B792" s="165">
        <v>41921</v>
      </c>
      <c r="C792" t="s">
        <v>351</v>
      </c>
      <c r="D792" t="s">
        <v>352</v>
      </c>
      <c r="E792">
        <v>9</v>
      </c>
      <c r="F792" s="166">
        <v>561.11111111111109</v>
      </c>
      <c r="G792">
        <v>5050</v>
      </c>
    </row>
    <row r="793" spans="1:7">
      <c r="A793" t="s">
        <v>350</v>
      </c>
      <c r="B793" s="165">
        <v>41921</v>
      </c>
      <c r="C793" t="s">
        <v>351</v>
      </c>
      <c r="D793" t="s">
        <v>352</v>
      </c>
      <c r="E793">
        <v>14</v>
      </c>
      <c r="F793" s="166">
        <v>696.42857142857144</v>
      </c>
      <c r="G793">
        <v>9750</v>
      </c>
    </row>
    <row r="794" spans="1:7">
      <c r="A794" t="s">
        <v>350</v>
      </c>
      <c r="B794" s="165">
        <v>41928</v>
      </c>
      <c r="C794" t="s">
        <v>351</v>
      </c>
      <c r="D794" t="s">
        <v>352</v>
      </c>
      <c r="E794">
        <v>7</v>
      </c>
      <c r="F794" s="166">
        <v>359.28571428571428</v>
      </c>
      <c r="G794">
        <v>2515</v>
      </c>
    </row>
    <row r="795" spans="1:7">
      <c r="A795" t="s">
        <v>350</v>
      </c>
      <c r="B795" s="165">
        <v>41936</v>
      </c>
      <c r="C795" t="s">
        <v>351</v>
      </c>
      <c r="D795" t="s">
        <v>352</v>
      </c>
      <c r="E795">
        <v>3</v>
      </c>
      <c r="F795" s="166">
        <v>200</v>
      </c>
      <c r="G795">
        <v>600</v>
      </c>
    </row>
    <row r="796" spans="1:7">
      <c r="A796" t="s">
        <v>350</v>
      </c>
      <c r="B796" s="165">
        <v>41936</v>
      </c>
      <c r="C796" t="s">
        <v>351</v>
      </c>
      <c r="D796" t="s">
        <v>352</v>
      </c>
      <c r="E796">
        <v>2</v>
      </c>
      <c r="F796" s="166">
        <v>323</v>
      </c>
      <c r="G796">
        <v>646</v>
      </c>
    </row>
    <row r="797" spans="1:7">
      <c r="A797" t="s">
        <v>350</v>
      </c>
      <c r="B797" s="165">
        <v>41936</v>
      </c>
      <c r="C797" t="s">
        <v>351</v>
      </c>
      <c r="D797" t="s">
        <v>352</v>
      </c>
      <c r="E797">
        <v>5</v>
      </c>
      <c r="F797" s="166">
        <v>600</v>
      </c>
      <c r="G797">
        <v>3000</v>
      </c>
    </row>
    <row r="798" spans="1:7">
      <c r="A798" t="s">
        <v>350</v>
      </c>
      <c r="B798" s="165">
        <v>41936</v>
      </c>
      <c r="C798" t="s">
        <v>351</v>
      </c>
      <c r="D798" t="s">
        <v>352</v>
      </c>
      <c r="E798">
        <v>12</v>
      </c>
      <c r="F798" s="166">
        <v>489</v>
      </c>
      <c r="G798">
        <v>5868</v>
      </c>
    </row>
    <row r="799" spans="1:7">
      <c r="A799" t="s">
        <v>350</v>
      </c>
      <c r="B799" s="165">
        <v>41936</v>
      </c>
      <c r="C799" t="s">
        <v>351</v>
      </c>
      <c r="D799" t="s">
        <v>352</v>
      </c>
      <c r="E799">
        <v>8</v>
      </c>
      <c r="F799" s="166">
        <v>787.875</v>
      </c>
      <c r="G799">
        <v>6303</v>
      </c>
    </row>
    <row r="800" spans="1:7">
      <c r="A800" t="s">
        <v>350</v>
      </c>
      <c r="B800" s="165">
        <v>41936</v>
      </c>
      <c r="C800" t="s">
        <v>351</v>
      </c>
      <c r="D800" t="s">
        <v>352</v>
      </c>
      <c r="E800">
        <v>10</v>
      </c>
      <c r="F800" s="166">
        <v>637</v>
      </c>
      <c r="G800">
        <v>6370</v>
      </c>
    </row>
    <row r="801" spans="1:7">
      <c r="A801" t="s">
        <v>350</v>
      </c>
      <c r="B801" s="165">
        <v>41943</v>
      </c>
      <c r="C801" t="s">
        <v>351</v>
      </c>
      <c r="D801" t="s">
        <v>352</v>
      </c>
      <c r="E801">
        <v>2</v>
      </c>
      <c r="F801" s="166">
        <v>198.5</v>
      </c>
      <c r="G801">
        <v>397</v>
      </c>
    </row>
    <row r="802" spans="1:7">
      <c r="A802" t="s">
        <v>350</v>
      </c>
      <c r="B802" s="165">
        <v>41943</v>
      </c>
      <c r="C802" t="s">
        <v>351</v>
      </c>
      <c r="D802" t="s">
        <v>352</v>
      </c>
      <c r="E802">
        <v>3</v>
      </c>
      <c r="F802" s="166">
        <v>399</v>
      </c>
      <c r="G802">
        <v>1197</v>
      </c>
    </row>
    <row r="803" spans="1:7">
      <c r="A803" t="s">
        <v>350</v>
      </c>
      <c r="B803" s="165">
        <v>41943</v>
      </c>
      <c r="C803" t="s">
        <v>351</v>
      </c>
      <c r="D803" t="s">
        <v>352</v>
      </c>
      <c r="E803">
        <v>9</v>
      </c>
      <c r="F803" s="166">
        <v>227.33333333333334</v>
      </c>
      <c r="G803">
        <v>2046</v>
      </c>
    </row>
    <row r="804" spans="1:7">
      <c r="A804" t="s">
        <v>350</v>
      </c>
      <c r="B804" s="165">
        <v>41943</v>
      </c>
      <c r="C804" t="s">
        <v>351</v>
      </c>
      <c r="D804" t="s">
        <v>352</v>
      </c>
      <c r="E804">
        <v>6</v>
      </c>
      <c r="F804" s="166">
        <v>650</v>
      </c>
      <c r="G804">
        <v>3900</v>
      </c>
    </row>
    <row r="805" spans="1:7">
      <c r="A805" t="s">
        <v>350</v>
      </c>
      <c r="B805" s="165">
        <v>41943</v>
      </c>
      <c r="C805" t="s">
        <v>351</v>
      </c>
      <c r="D805" t="s">
        <v>352</v>
      </c>
      <c r="E805">
        <v>15</v>
      </c>
      <c r="F805" s="166">
        <v>722</v>
      </c>
      <c r="G805">
        <v>10830</v>
      </c>
    </row>
    <row r="806" spans="1:7">
      <c r="A806" t="s">
        <v>350</v>
      </c>
      <c r="B806" s="165">
        <v>41949</v>
      </c>
      <c r="C806" t="s">
        <v>351</v>
      </c>
      <c r="D806" t="s">
        <v>352</v>
      </c>
      <c r="E806">
        <v>1</v>
      </c>
      <c r="F806" s="166">
        <v>330</v>
      </c>
      <c r="G806">
        <v>330</v>
      </c>
    </row>
    <row r="807" spans="1:7">
      <c r="A807" t="s">
        <v>350</v>
      </c>
      <c r="B807" s="165">
        <v>41949</v>
      </c>
      <c r="C807" t="s">
        <v>351</v>
      </c>
      <c r="D807" t="s">
        <v>352</v>
      </c>
      <c r="E807">
        <v>2</v>
      </c>
      <c r="F807" s="166">
        <v>350</v>
      </c>
      <c r="G807">
        <v>700</v>
      </c>
    </row>
    <row r="808" spans="1:7">
      <c r="A808" t="s">
        <v>350</v>
      </c>
      <c r="B808" s="165">
        <v>41949</v>
      </c>
      <c r="C808" t="s">
        <v>351</v>
      </c>
      <c r="D808" t="s">
        <v>352</v>
      </c>
      <c r="E808">
        <v>1</v>
      </c>
      <c r="F808" s="166">
        <v>795</v>
      </c>
      <c r="G808">
        <v>795</v>
      </c>
    </row>
    <row r="809" spans="1:7">
      <c r="A809" t="s">
        <v>350</v>
      </c>
      <c r="B809" s="165">
        <v>41949</v>
      </c>
      <c r="C809" t="s">
        <v>351</v>
      </c>
      <c r="D809" t="s">
        <v>352</v>
      </c>
      <c r="E809">
        <v>2</v>
      </c>
      <c r="F809" s="166">
        <v>422.5</v>
      </c>
      <c r="G809">
        <v>845</v>
      </c>
    </row>
    <row r="810" spans="1:7">
      <c r="A810" t="s">
        <v>350</v>
      </c>
      <c r="B810" s="165">
        <v>41949</v>
      </c>
      <c r="C810" t="s">
        <v>351</v>
      </c>
      <c r="D810" t="s">
        <v>352</v>
      </c>
      <c r="E810">
        <v>4</v>
      </c>
      <c r="F810" s="166">
        <v>615</v>
      </c>
      <c r="G810">
        <v>2460</v>
      </c>
    </row>
    <row r="811" spans="1:7">
      <c r="A811" t="s">
        <v>350</v>
      </c>
      <c r="B811" s="165">
        <v>41949</v>
      </c>
      <c r="C811" t="s">
        <v>351</v>
      </c>
      <c r="D811" t="s">
        <v>352</v>
      </c>
      <c r="E811">
        <v>8</v>
      </c>
      <c r="F811" s="166">
        <v>550</v>
      </c>
      <c r="G811">
        <v>4400</v>
      </c>
    </row>
    <row r="812" spans="1:7">
      <c r="A812" t="s">
        <v>350</v>
      </c>
      <c r="B812" s="165">
        <v>41949</v>
      </c>
      <c r="C812" t="s">
        <v>351</v>
      </c>
      <c r="D812" t="s">
        <v>352</v>
      </c>
      <c r="E812">
        <v>13</v>
      </c>
      <c r="F812" s="166">
        <v>392.30769230769232</v>
      </c>
      <c r="G812">
        <v>5100</v>
      </c>
    </row>
    <row r="813" spans="1:7">
      <c r="A813" t="s">
        <v>350</v>
      </c>
      <c r="B813" s="165">
        <v>41949</v>
      </c>
      <c r="C813" t="s">
        <v>351</v>
      </c>
      <c r="D813" t="s">
        <v>352</v>
      </c>
      <c r="E813">
        <v>15</v>
      </c>
      <c r="F813" s="166">
        <v>705.6</v>
      </c>
      <c r="G813">
        <v>10584</v>
      </c>
    </row>
    <row r="814" spans="1:7">
      <c r="A814" t="s">
        <v>350</v>
      </c>
      <c r="B814" s="165">
        <v>41963</v>
      </c>
      <c r="C814" t="s">
        <v>351</v>
      </c>
      <c r="D814" t="s">
        <v>352</v>
      </c>
      <c r="E814">
        <v>1</v>
      </c>
      <c r="F814" s="166">
        <v>385</v>
      </c>
      <c r="G814">
        <v>385</v>
      </c>
    </row>
    <row r="815" spans="1:7">
      <c r="A815" t="s">
        <v>350</v>
      </c>
      <c r="B815" s="165">
        <v>41963</v>
      </c>
      <c r="C815" t="s">
        <v>351</v>
      </c>
      <c r="D815" t="s">
        <v>352</v>
      </c>
      <c r="E815">
        <v>2</v>
      </c>
      <c r="F815" s="166">
        <v>510</v>
      </c>
      <c r="G815">
        <v>1020</v>
      </c>
    </row>
    <row r="816" spans="1:7">
      <c r="A816" t="s">
        <v>350</v>
      </c>
      <c r="B816" s="165">
        <v>41963</v>
      </c>
      <c r="C816" t="s">
        <v>351</v>
      </c>
      <c r="D816" t="s">
        <v>352</v>
      </c>
      <c r="E816">
        <v>2</v>
      </c>
      <c r="F816" s="166">
        <v>552</v>
      </c>
      <c r="G816">
        <v>1104</v>
      </c>
    </row>
    <row r="817" spans="1:7">
      <c r="A817" t="s">
        <v>350</v>
      </c>
      <c r="B817" s="165">
        <v>41963</v>
      </c>
      <c r="C817" t="s">
        <v>351</v>
      </c>
      <c r="D817" t="s">
        <v>352</v>
      </c>
      <c r="E817">
        <v>5</v>
      </c>
      <c r="F817" s="166">
        <v>300</v>
      </c>
      <c r="G817">
        <v>1500</v>
      </c>
    </row>
    <row r="818" spans="1:7">
      <c r="A818" t="s">
        <v>350</v>
      </c>
      <c r="B818" s="165">
        <v>41963</v>
      </c>
      <c r="C818" t="s">
        <v>351</v>
      </c>
      <c r="D818" t="s">
        <v>352</v>
      </c>
      <c r="E818">
        <v>2</v>
      </c>
      <c r="F818" s="166">
        <v>916.5</v>
      </c>
      <c r="G818">
        <v>1833</v>
      </c>
    </row>
    <row r="819" spans="1:7">
      <c r="A819" t="s">
        <v>350</v>
      </c>
      <c r="B819" s="165">
        <v>41963</v>
      </c>
      <c r="C819" t="s">
        <v>351</v>
      </c>
      <c r="D819" t="s">
        <v>352</v>
      </c>
      <c r="E819">
        <v>16</v>
      </c>
      <c r="F819" s="166">
        <v>217.5</v>
      </c>
      <c r="G819">
        <v>3480</v>
      </c>
    </row>
    <row r="820" spans="1:7">
      <c r="A820" t="s">
        <v>350</v>
      </c>
      <c r="B820" s="165">
        <v>41963</v>
      </c>
      <c r="C820" t="s">
        <v>351</v>
      </c>
      <c r="D820" t="s">
        <v>352</v>
      </c>
      <c r="E820">
        <v>13</v>
      </c>
      <c r="F820" s="166">
        <v>366.69230769230768</v>
      </c>
      <c r="G820">
        <v>4767</v>
      </c>
    </row>
    <row r="821" spans="1:7">
      <c r="A821" t="s">
        <v>350</v>
      </c>
      <c r="B821" s="165">
        <v>41963</v>
      </c>
      <c r="C821" t="s">
        <v>351</v>
      </c>
      <c r="D821" t="s">
        <v>352</v>
      </c>
      <c r="E821">
        <v>11</v>
      </c>
      <c r="F821" s="166">
        <v>654.5454545454545</v>
      </c>
      <c r="G821">
        <v>7200</v>
      </c>
    </row>
    <row r="822" spans="1:7">
      <c r="A822" t="s">
        <v>350</v>
      </c>
      <c r="B822" s="165">
        <v>41963</v>
      </c>
      <c r="C822" t="s">
        <v>351</v>
      </c>
      <c r="D822" t="s">
        <v>352</v>
      </c>
      <c r="E822">
        <v>13</v>
      </c>
      <c r="F822" s="166">
        <v>714</v>
      </c>
      <c r="G822">
        <v>9282</v>
      </c>
    </row>
    <row r="823" spans="1:7">
      <c r="A823" t="s">
        <v>350</v>
      </c>
      <c r="B823" s="165">
        <v>41963</v>
      </c>
      <c r="C823" t="s">
        <v>351</v>
      </c>
      <c r="D823" t="s">
        <v>352</v>
      </c>
      <c r="E823">
        <v>17</v>
      </c>
      <c r="F823" s="166">
        <v>733.35294117647061</v>
      </c>
      <c r="G823">
        <v>12467</v>
      </c>
    </row>
    <row r="824" spans="1:7">
      <c r="A824" t="s">
        <v>350</v>
      </c>
      <c r="B824" s="165">
        <v>41971</v>
      </c>
      <c r="C824" t="s">
        <v>351</v>
      </c>
      <c r="D824" t="s">
        <v>352</v>
      </c>
      <c r="E824">
        <v>1</v>
      </c>
      <c r="F824" s="166">
        <v>685</v>
      </c>
      <c r="G824">
        <v>685</v>
      </c>
    </row>
    <row r="825" spans="1:7">
      <c r="A825" t="s">
        <v>350</v>
      </c>
      <c r="B825" s="165">
        <v>41971</v>
      </c>
      <c r="C825" t="s">
        <v>351</v>
      </c>
      <c r="D825" t="s">
        <v>352</v>
      </c>
      <c r="E825">
        <v>8</v>
      </c>
      <c r="F825" s="166">
        <v>306</v>
      </c>
      <c r="G825">
        <v>2448</v>
      </c>
    </row>
    <row r="826" spans="1:7">
      <c r="A826" t="s">
        <v>350</v>
      </c>
      <c r="B826" s="165">
        <v>41971</v>
      </c>
      <c r="C826" t="s">
        <v>351</v>
      </c>
      <c r="D826" t="s">
        <v>352</v>
      </c>
      <c r="E826">
        <v>9</v>
      </c>
      <c r="F826" s="166">
        <v>448</v>
      </c>
      <c r="G826">
        <v>4032</v>
      </c>
    </row>
    <row r="827" spans="1:7">
      <c r="A827" t="s">
        <v>350</v>
      </c>
      <c r="B827" s="165">
        <v>41977</v>
      </c>
      <c r="C827" t="s">
        <v>351</v>
      </c>
      <c r="D827" t="s">
        <v>352</v>
      </c>
      <c r="E827">
        <v>4</v>
      </c>
      <c r="F827" s="166">
        <v>296</v>
      </c>
      <c r="G827">
        <v>1184</v>
      </c>
    </row>
    <row r="828" spans="1:7">
      <c r="A828" t="s">
        <v>350</v>
      </c>
      <c r="B828" s="165">
        <v>41977</v>
      </c>
      <c r="C828" t="s">
        <v>351</v>
      </c>
      <c r="D828" t="s">
        <v>352</v>
      </c>
      <c r="E828">
        <v>14</v>
      </c>
      <c r="F828" s="166">
        <v>450</v>
      </c>
      <c r="G828">
        <v>6300</v>
      </c>
    </row>
    <row r="829" spans="1:7">
      <c r="A829" t="s">
        <v>350</v>
      </c>
      <c r="B829" s="165">
        <v>41984</v>
      </c>
      <c r="C829" t="s">
        <v>351</v>
      </c>
      <c r="D829" t="s">
        <v>352</v>
      </c>
      <c r="E829">
        <v>4</v>
      </c>
      <c r="F829" s="166">
        <v>675</v>
      </c>
      <c r="G829">
        <v>2700</v>
      </c>
    </row>
    <row r="830" spans="1:7">
      <c r="A830" t="s">
        <v>350</v>
      </c>
      <c r="B830" s="165">
        <v>41984</v>
      </c>
      <c r="C830" t="s">
        <v>351</v>
      </c>
      <c r="D830" t="s">
        <v>352</v>
      </c>
      <c r="E830">
        <v>6</v>
      </c>
      <c r="F830" s="166">
        <v>630</v>
      </c>
      <c r="G830">
        <v>3780</v>
      </c>
    </row>
    <row r="831" spans="1:7">
      <c r="A831" t="s">
        <v>350</v>
      </c>
      <c r="B831" s="165">
        <v>41991</v>
      </c>
      <c r="C831" t="s">
        <v>351</v>
      </c>
      <c r="D831" t="s">
        <v>352</v>
      </c>
      <c r="E831">
        <v>4</v>
      </c>
      <c r="F831" s="166">
        <v>1460.5</v>
      </c>
      <c r="G831">
        <v>5842</v>
      </c>
    </row>
    <row r="832" spans="1:7">
      <c r="A832" t="s">
        <v>350</v>
      </c>
      <c r="B832" s="165">
        <v>41991</v>
      </c>
      <c r="C832" t="s">
        <v>351</v>
      </c>
      <c r="D832" t="s">
        <v>352</v>
      </c>
      <c r="E832">
        <v>31</v>
      </c>
      <c r="F832" s="166">
        <v>321.25806451612902</v>
      </c>
      <c r="G832">
        <v>9959</v>
      </c>
    </row>
    <row r="833" spans="1:7">
      <c r="A833" t="s">
        <v>350</v>
      </c>
      <c r="B833" s="165">
        <v>41991</v>
      </c>
      <c r="C833" t="s">
        <v>351</v>
      </c>
      <c r="D833" t="s">
        <v>352</v>
      </c>
      <c r="E833">
        <v>18</v>
      </c>
      <c r="F833" s="166">
        <v>613.22222222222217</v>
      </c>
      <c r="G833">
        <v>11038</v>
      </c>
    </row>
    <row r="834" spans="1:7">
      <c r="A834" t="s">
        <v>350</v>
      </c>
      <c r="B834" s="165">
        <v>41991</v>
      </c>
      <c r="C834" t="s">
        <v>351</v>
      </c>
      <c r="D834" t="s">
        <v>352</v>
      </c>
      <c r="E834">
        <v>37</v>
      </c>
      <c r="F834" s="166">
        <v>300</v>
      </c>
      <c r="G834">
        <v>11100</v>
      </c>
    </row>
    <row r="835" spans="1:7">
      <c r="A835" t="s">
        <v>350</v>
      </c>
      <c r="B835" s="165">
        <v>41999</v>
      </c>
      <c r="C835" t="s">
        <v>351</v>
      </c>
      <c r="D835" t="s">
        <v>352</v>
      </c>
      <c r="E835">
        <v>2</v>
      </c>
      <c r="F835" s="166">
        <v>357</v>
      </c>
      <c r="G835">
        <v>714</v>
      </c>
    </row>
    <row r="836" spans="1:7">
      <c r="A836" t="s">
        <v>350</v>
      </c>
      <c r="B836" s="165">
        <v>41999</v>
      </c>
      <c r="C836" t="s">
        <v>351</v>
      </c>
      <c r="D836" t="s">
        <v>352</v>
      </c>
      <c r="E836">
        <v>4</v>
      </c>
      <c r="F836" s="166">
        <v>270</v>
      </c>
      <c r="G836">
        <v>1080</v>
      </c>
    </row>
    <row r="837" spans="1:7">
      <c r="A837" t="s">
        <v>350</v>
      </c>
      <c r="B837" s="165">
        <v>41999</v>
      </c>
      <c r="C837" t="s">
        <v>351</v>
      </c>
      <c r="D837" t="s">
        <v>352</v>
      </c>
      <c r="E837">
        <v>23</v>
      </c>
      <c r="F837" s="166">
        <v>532.52173913043475</v>
      </c>
      <c r="G837">
        <v>12248</v>
      </c>
    </row>
    <row r="838" spans="1:7">
      <c r="A838" t="s">
        <v>350</v>
      </c>
      <c r="B838" s="165">
        <v>41999</v>
      </c>
      <c r="C838" t="s">
        <v>351</v>
      </c>
      <c r="D838" t="s">
        <v>352</v>
      </c>
      <c r="E838">
        <v>39</v>
      </c>
      <c r="F838" s="166">
        <v>381.89743589743591</v>
      </c>
      <c r="G838">
        <v>14894</v>
      </c>
    </row>
    <row r="839" spans="1:7">
      <c r="A839" t="s">
        <v>350</v>
      </c>
      <c r="B839" s="165">
        <v>42004</v>
      </c>
      <c r="C839" t="s">
        <v>351</v>
      </c>
      <c r="D839" t="s">
        <v>352</v>
      </c>
      <c r="E839">
        <v>1</v>
      </c>
      <c r="F839" s="166">
        <v>250</v>
      </c>
      <c r="G839">
        <v>250</v>
      </c>
    </row>
    <row r="840" spans="1:7">
      <c r="A840" t="s">
        <v>350</v>
      </c>
      <c r="B840" s="165">
        <v>42004</v>
      </c>
      <c r="C840" t="s">
        <v>351</v>
      </c>
      <c r="D840" t="s">
        <v>352</v>
      </c>
      <c r="E840">
        <v>2</v>
      </c>
      <c r="F840" s="166">
        <v>257</v>
      </c>
      <c r="G840">
        <v>514</v>
      </c>
    </row>
    <row r="841" spans="1:7">
      <c r="A841" t="s">
        <v>350</v>
      </c>
      <c r="B841" s="165">
        <v>42004</v>
      </c>
      <c r="C841" t="s">
        <v>351</v>
      </c>
      <c r="D841" t="s">
        <v>352</v>
      </c>
      <c r="E841">
        <v>1</v>
      </c>
      <c r="F841" s="166">
        <v>550</v>
      </c>
      <c r="G841">
        <v>550</v>
      </c>
    </row>
    <row r="842" spans="1:7">
      <c r="A842" t="s">
        <v>350</v>
      </c>
      <c r="B842" s="165">
        <v>42004</v>
      </c>
      <c r="C842" t="s">
        <v>351</v>
      </c>
      <c r="D842" t="s">
        <v>352</v>
      </c>
      <c r="E842">
        <v>2</v>
      </c>
      <c r="F842" s="166">
        <v>396</v>
      </c>
      <c r="G842">
        <v>792</v>
      </c>
    </row>
    <row r="843" spans="1:7">
      <c r="A843" t="s">
        <v>350</v>
      </c>
      <c r="B843" s="165">
        <v>42004</v>
      </c>
      <c r="C843" t="s">
        <v>351</v>
      </c>
      <c r="D843" t="s">
        <v>352</v>
      </c>
      <c r="E843">
        <v>1</v>
      </c>
      <c r="F843" s="166">
        <v>865</v>
      </c>
      <c r="G843">
        <v>865</v>
      </c>
    </row>
    <row r="844" spans="1:7">
      <c r="A844" t="s">
        <v>350</v>
      </c>
      <c r="B844" s="165">
        <v>42004</v>
      </c>
      <c r="C844" t="s">
        <v>351</v>
      </c>
      <c r="D844" t="s">
        <v>352</v>
      </c>
      <c r="E844">
        <v>1</v>
      </c>
      <c r="F844" s="166">
        <v>1190</v>
      </c>
      <c r="G844">
        <v>1190</v>
      </c>
    </row>
    <row r="845" spans="1:7">
      <c r="A845" t="s">
        <v>350</v>
      </c>
      <c r="B845" s="165">
        <v>42004</v>
      </c>
      <c r="C845" t="s">
        <v>351</v>
      </c>
      <c r="D845" t="s">
        <v>352</v>
      </c>
      <c r="E845">
        <v>2</v>
      </c>
      <c r="F845" s="166">
        <v>750</v>
      </c>
      <c r="G845">
        <v>1500</v>
      </c>
    </row>
    <row r="846" spans="1:7">
      <c r="A846" t="s">
        <v>350</v>
      </c>
      <c r="B846" s="165">
        <v>42004</v>
      </c>
      <c r="C846" t="s">
        <v>351</v>
      </c>
      <c r="D846" t="s">
        <v>352</v>
      </c>
      <c r="E846">
        <v>10</v>
      </c>
      <c r="F846" s="166">
        <v>570</v>
      </c>
      <c r="G846">
        <v>5700</v>
      </c>
    </row>
    <row r="847" spans="1:7">
      <c r="A847" t="s">
        <v>350</v>
      </c>
      <c r="B847" s="165">
        <v>42004</v>
      </c>
      <c r="C847" t="s">
        <v>351</v>
      </c>
      <c r="D847" t="s">
        <v>352</v>
      </c>
      <c r="E847">
        <v>10</v>
      </c>
      <c r="F847" s="166">
        <v>570</v>
      </c>
      <c r="G847">
        <v>5700</v>
      </c>
    </row>
    <row r="848" spans="1:7">
      <c r="A848" t="s">
        <v>350</v>
      </c>
      <c r="B848" s="165">
        <v>42004</v>
      </c>
      <c r="C848" t="s">
        <v>351</v>
      </c>
      <c r="D848" t="s">
        <v>352</v>
      </c>
      <c r="E848">
        <v>15</v>
      </c>
      <c r="F848" s="166">
        <v>388</v>
      </c>
      <c r="G848">
        <v>5820</v>
      </c>
    </row>
    <row r="849" spans="1:7">
      <c r="A849" t="s">
        <v>350</v>
      </c>
      <c r="B849" s="165">
        <v>42004</v>
      </c>
      <c r="C849" t="s">
        <v>351</v>
      </c>
      <c r="D849" t="s">
        <v>352</v>
      </c>
      <c r="E849">
        <v>26</v>
      </c>
      <c r="F849" s="166">
        <v>891.84615384615381</v>
      </c>
      <c r="G849">
        <v>23188</v>
      </c>
    </row>
    <row r="850" spans="1:7">
      <c r="A850" t="s">
        <v>350</v>
      </c>
      <c r="B850" s="165">
        <v>42004</v>
      </c>
      <c r="C850" t="s">
        <v>351</v>
      </c>
      <c r="D850" t="s">
        <v>352</v>
      </c>
      <c r="E850">
        <v>120</v>
      </c>
      <c r="F850" s="166">
        <v>346</v>
      </c>
      <c r="G850">
        <v>41520</v>
      </c>
    </row>
    <row r="851" spans="1:7">
      <c r="A851" t="s">
        <v>363</v>
      </c>
      <c r="B851" s="165">
        <v>41690</v>
      </c>
      <c r="C851" t="s">
        <v>351</v>
      </c>
      <c r="D851" t="s">
        <v>352</v>
      </c>
      <c r="E851">
        <v>15</v>
      </c>
      <c r="F851" s="166">
        <v>697.66666666666663</v>
      </c>
      <c r="G851">
        <v>10465</v>
      </c>
    </row>
    <row r="852" spans="1:7">
      <c r="A852" t="s">
        <v>363</v>
      </c>
      <c r="B852" s="165">
        <v>41732</v>
      </c>
      <c r="C852" t="s">
        <v>351</v>
      </c>
      <c r="D852" t="s">
        <v>352</v>
      </c>
      <c r="E852">
        <v>5</v>
      </c>
      <c r="F852" s="166">
        <v>485.4</v>
      </c>
      <c r="G852">
        <v>2427</v>
      </c>
    </row>
    <row r="853" spans="1:7">
      <c r="A853" t="s">
        <v>363</v>
      </c>
      <c r="B853" s="165">
        <v>41732</v>
      </c>
      <c r="C853" t="s">
        <v>351</v>
      </c>
      <c r="D853" t="s">
        <v>352</v>
      </c>
      <c r="E853">
        <v>9</v>
      </c>
      <c r="F853" s="166">
        <v>362.44444444444446</v>
      </c>
      <c r="G853">
        <v>3262</v>
      </c>
    </row>
    <row r="854" spans="1:7">
      <c r="A854" t="s">
        <v>363</v>
      </c>
      <c r="B854" s="165">
        <v>41732</v>
      </c>
      <c r="C854" t="s">
        <v>351</v>
      </c>
      <c r="D854" t="s">
        <v>352</v>
      </c>
      <c r="E854">
        <v>8</v>
      </c>
      <c r="F854" s="166">
        <v>664.375</v>
      </c>
      <c r="G854">
        <v>5315</v>
      </c>
    </row>
    <row r="855" spans="1:7">
      <c r="A855" t="s">
        <v>363</v>
      </c>
      <c r="B855" s="165">
        <v>41767</v>
      </c>
      <c r="C855" t="s">
        <v>351</v>
      </c>
      <c r="D855" t="s">
        <v>352</v>
      </c>
      <c r="E855">
        <v>27</v>
      </c>
      <c r="F855" s="166">
        <v>250</v>
      </c>
      <c r="G855">
        <v>6750</v>
      </c>
    </row>
    <row r="856" spans="1:7">
      <c r="A856" t="s">
        <v>363</v>
      </c>
      <c r="B856" s="165">
        <v>41788</v>
      </c>
      <c r="C856" t="s">
        <v>351</v>
      </c>
      <c r="D856" t="s">
        <v>352</v>
      </c>
      <c r="E856">
        <v>1</v>
      </c>
      <c r="F856" s="166">
        <v>249</v>
      </c>
      <c r="G856">
        <v>249</v>
      </c>
    </row>
    <row r="857" spans="1:7">
      <c r="A857" t="s">
        <v>363</v>
      </c>
      <c r="B857" s="165">
        <v>41788</v>
      </c>
      <c r="C857" t="s">
        <v>351</v>
      </c>
      <c r="D857" t="s">
        <v>352</v>
      </c>
      <c r="E857">
        <v>11</v>
      </c>
      <c r="F857" s="166">
        <v>282</v>
      </c>
      <c r="G857">
        <v>3102</v>
      </c>
    </row>
    <row r="858" spans="1:7">
      <c r="A858" t="s">
        <v>363</v>
      </c>
      <c r="B858" s="165">
        <v>41788</v>
      </c>
      <c r="C858" t="s">
        <v>351</v>
      </c>
      <c r="D858" t="s">
        <v>352</v>
      </c>
      <c r="E858">
        <v>20</v>
      </c>
      <c r="F858" s="166">
        <v>299</v>
      </c>
      <c r="G858">
        <v>5980</v>
      </c>
    </row>
    <row r="859" spans="1:7">
      <c r="A859" t="s">
        <v>363</v>
      </c>
      <c r="B859" s="165">
        <v>41795</v>
      </c>
      <c r="C859" t="s">
        <v>351</v>
      </c>
      <c r="D859" t="s">
        <v>352</v>
      </c>
      <c r="E859">
        <v>10</v>
      </c>
      <c r="F859" s="166">
        <v>302</v>
      </c>
      <c r="G859">
        <v>3020</v>
      </c>
    </row>
    <row r="860" spans="1:7">
      <c r="A860" t="s">
        <v>363</v>
      </c>
      <c r="B860" s="165">
        <v>41858</v>
      </c>
      <c r="C860" t="s">
        <v>351</v>
      </c>
      <c r="D860" t="s">
        <v>352</v>
      </c>
      <c r="E860">
        <v>22</v>
      </c>
      <c r="F860" s="166">
        <v>1435</v>
      </c>
      <c r="G860">
        <v>31570</v>
      </c>
    </row>
    <row r="861" spans="1:7">
      <c r="A861" t="s">
        <v>363</v>
      </c>
      <c r="B861" s="165">
        <v>41879</v>
      </c>
      <c r="C861" t="s">
        <v>351</v>
      </c>
      <c r="D861" t="s">
        <v>352</v>
      </c>
      <c r="E861">
        <v>3</v>
      </c>
      <c r="F861" s="166">
        <v>571.25</v>
      </c>
      <c r="G861">
        <v>1713.75</v>
      </c>
    </row>
    <row r="862" spans="1:7">
      <c r="A862" t="s">
        <v>363</v>
      </c>
      <c r="B862" s="165">
        <v>41879</v>
      </c>
      <c r="C862" t="s">
        <v>351</v>
      </c>
      <c r="D862" t="s">
        <v>352</v>
      </c>
      <c r="E862">
        <v>3</v>
      </c>
      <c r="F862" s="166">
        <v>2103</v>
      </c>
      <c r="G862">
        <v>6309</v>
      </c>
    </row>
    <row r="863" spans="1:7">
      <c r="A863" t="s">
        <v>363</v>
      </c>
      <c r="B863" s="165">
        <v>41928</v>
      </c>
      <c r="C863" t="s">
        <v>351</v>
      </c>
      <c r="D863" t="s">
        <v>352</v>
      </c>
      <c r="E863">
        <v>1</v>
      </c>
      <c r="F863" s="166">
        <v>328</v>
      </c>
      <c r="G863">
        <v>328</v>
      </c>
    </row>
    <row r="864" spans="1:7">
      <c r="A864" t="s">
        <v>363</v>
      </c>
      <c r="B864" s="165">
        <v>41928</v>
      </c>
      <c r="C864" t="s">
        <v>351</v>
      </c>
      <c r="D864" t="s">
        <v>352</v>
      </c>
      <c r="E864">
        <v>1</v>
      </c>
      <c r="F864" s="166">
        <v>886</v>
      </c>
      <c r="G864">
        <v>886</v>
      </c>
    </row>
    <row r="865" spans="1:7">
      <c r="A865" t="s">
        <v>363</v>
      </c>
      <c r="B865" s="165">
        <v>41936</v>
      </c>
      <c r="C865" t="s">
        <v>351</v>
      </c>
      <c r="D865" t="s">
        <v>352</v>
      </c>
      <c r="E865">
        <v>104</v>
      </c>
      <c r="F865" s="166">
        <v>732.42307692307691</v>
      </c>
      <c r="G865">
        <v>76172</v>
      </c>
    </row>
    <row r="866" spans="1:7">
      <c r="A866" t="s">
        <v>363</v>
      </c>
      <c r="B866" s="165">
        <v>41943</v>
      </c>
      <c r="C866" t="s">
        <v>351</v>
      </c>
      <c r="D866" t="s">
        <v>352</v>
      </c>
      <c r="E866">
        <v>1</v>
      </c>
      <c r="F866" s="166">
        <v>526</v>
      </c>
      <c r="G866">
        <v>526</v>
      </c>
    </row>
    <row r="867" spans="1:7">
      <c r="A867" t="s">
        <v>363</v>
      </c>
      <c r="B867" s="165">
        <v>41943</v>
      </c>
      <c r="C867" t="s">
        <v>351</v>
      </c>
      <c r="D867" t="s">
        <v>352</v>
      </c>
      <c r="E867">
        <v>6</v>
      </c>
      <c r="F867" s="166">
        <v>345</v>
      </c>
      <c r="G867">
        <v>2070</v>
      </c>
    </row>
    <row r="868" spans="1:7">
      <c r="A868" t="s">
        <v>363</v>
      </c>
      <c r="B868" s="165">
        <v>41943</v>
      </c>
      <c r="C868" t="s">
        <v>351</v>
      </c>
      <c r="D868" t="s">
        <v>352</v>
      </c>
      <c r="E868">
        <v>6</v>
      </c>
      <c r="F868" s="166">
        <v>459</v>
      </c>
      <c r="G868">
        <v>2754</v>
      </c>
    </row>
    <row r="869" spans="1:7">
      <c r="A869" t="s">
        <v>363</v>
      </c>
      <c r="B869" s="165">
        <v>41943</v>
      </c>
      <c r="C869" t="s">
        <v>351</v>
      </c>
      <c r="D869" t="s">
        <v>352</v>
      </c>
      <c r="E869">
        <v>11</v>
      </c>
      <c r="F869" s="166">
        <v>336</v>
      </c>
      <c r="G869">
        <v>3696</v>
      </c>
    </row>
    <row r="870" spans="1:7">
      <c r="A870" t="s">
        <v>363</v>
      </c>
      <c r="B870" s="165">
        <v>42004</v>
      </c>
      <c r="C870" t="s">
        <v>351</v>
      </c>
      <c r="D870" t="s">
        <v>352</v>
      </c>
      <c r="E870">
        <v>1</v>
      </c>
      <c r="F870" s="166">
        <v>429</v>
      </c>
      <c r="G870">
        <v>429</v>
      </c>
    </row>
    <row r="871" spans="1:7">
      <c r="A871" t="s">
        <v>363</v>
      </c>
      <c r="B871" s="165">
        <v>42004</v>
      </c>
      <c r="C871" t="s">
        <v>351</v>
      </c>
      <c r="D871" t="s">
        <v>352</v>
      </c>
      <c r="E871">
        <v>8</v>
      </c>
      <c r="F871" s="166">
        <v>465</v>
      </c>
      <c r="G871">
        <v>3720</v>
      </c>
    </row>
    <row r="872" spans="1:7">
      <c r="A872" t="s">
        <v>363</v>
      </c>
      <c r="B872" s="165">
        <v>42004</v>
      </c>
      <c r="C872" t="s">
        <v>351</v>
      </c>
      <c r="D872" t="s">
        <v>352</v>
      </c>
      <c r="E872">
        <v>52</v>
      </c>
      <c r="F872" s="166">
        <v>1434.5</v>
      </c>
      <c r="G872">
        <v>74594</v>
      </c>
    </row>
    <row r="873" spans="1:7">
      <c r="A873" t="s">
        <v>364</v>
      </c>
      <c r="B873" s="165">
        <v>41739</v>
      </c>
      <c r="C873" t="s">
        <v>351</v>
      </c>
      <c r="D873" t="s">
        <v>352</v>
      </c>
      <c r="E873">
        <v>9</v>
      </c>
      <c r="F873" s="166">
        <v>538.77777777777783</v>
      </c>
      <c r="G873">
        <v>4849</v>
      </c>
    </row>
    <row r="874" spans="1:7">
      <c r="A874" t="s">
        <v>364</v>
      </c>
      <c r="B874" s="165">
        <v>41746</v>
      </c>
      <c r="C874" t="s">
        <v>351</v>
      </c>
      <c r="D874" t="s">
        <v>352</v>
      </c>
      <c r="E874">
        <v>1</v>
      </c>
      <c r="F874" s="166">
        <v>282</v>
      </c>
      <c r="G874">
        <v>282</v>
      </c>
    </row>
    <row r="875" spans="1:7">
      <c r="A875" t="s">
        <v>364</v>
      </c>
      <c r="B875" s="165">
        <v>41760</v>
      </c>
      <c r="C875" t="s">
        <v>351</v>
      </c>
      <c r="D875" t="s">
        <v>352</v>
      </c>
      <c r="E875">
        <v>2</v>
      </c>
      <c r="F875" s="166">
        <v>358</v>
      </c>
      <c r="G875">
        <v>716</v>
      </c>
    </row>
    <row r="876" spans="1:7">
      <c r="A876" t="s">
        <v>364</v>
      </c>
      <c r="B876" s="165">
        <v>41767</v>
      </c>
      <c r="C876" t="s">
        <v>351</v>
      </c>
      <c r="D876" t="s">
        <v>352</v>
      </c>
      <c r="E876">
        <v>12</v>
      </c>
      <c r="F876" s="166">
        <v>491.25</v>
      </c>
      <c r="G876">
        <v>5895</v>
      </c>
    </row>
    <row r="877" spans="1:7">
      <c r="A877" t="s">
        <v>364</v>
      </c>
      <c r="B877" s="165">
        <v>41781</v>
      </c>
      <c r="C877" t="s">
        <v>351</v>
      </c>
      <c r="D877" t="s">
        <v>352</v>
      </c>
      <c r="E877">
        <v>1</v>
      </c>
      <c r="F877" s="166">
        <v>375</v>
      </c>
      <c r="G877">
        <v>375</v>
      </c>
    </row>
    <row r="878" spans="1:7">
      <c r="A878" t="s">
        <v>364</v>
      </c>
      <c r="B878" s="165">
        <v>41781</v>
      </c>
      <c r="C878" t="s">
        <v>351</v>
      </c>
      <c r="D878" t="s">
        <v>352</v>
      </c>
      <c r="E878">
        <v>20</v>
      </c>
      <c r="F878" s="166">
        <v>509.35</v>
      </c>
      <c r="G878">
        <v>10187</v>
      </c>
    </row>
    <row r="879" spans="1:7">
      <c r="A879" t="s">
        <v>364</v>
      </c>
      <c r="B879" s="165">
        <v>41802</v>
      </c>
      <c r="C879" t="s">
        <v>351</v>
      </c>
      <c r="D879" t="s">
        <v>352</v>
      </c>
      <c r="E879">
        <v>1</v>
      </c>
      <c r="F879" s="166">
        <v>625</v>
      </c>
      <c r="G879">
        <v>625</v>
      </c>
    </row>
    <row r="880" spans="1:7">
      <c r="A880" t="s">
        <v>364</v>
      </c>
      <c r="B880" s="165">
        <v>41802</v>
      </c>
      <c r="C880" t="s">
        <v>351</v>
      </c>
      <c r="D880" t="s">
        <v>352</v>
      </c>
      <c r="E880">
        <v>2</v>
      </c>
      <c r="F880" s="166">
        <v>725</v>
      </c>
      <c r="G880">
        <v>1450</v>
      </c>
    </row>
    <row r="881" spans="1:7">
      <c r="A881" t="s">
        <v>364</v>
      </c>
      <c r="B881" s="165">
        <v>41802</v>
      </c>
      <c r="C881" t="s">
        <v>351</v>
      </c>
      <c r="D881" t="s">
        <v>352</v>
      </c>
      <c r="E881">
        <v>4</v>
      </c>
      <c r="F881" s="166">
        <v>730</v>
      </c>
      <c r="G881">
        <v>2920</v>
      </c>
    </row>
    <row r="882" spans="1:7">
      <c r="A882" t="s">
        <v>364</v>
      </c>
      <c r="B882" s="165">
        <v>41802</v>
      </c>
      <c r="C882" t="s">
        <v>351</v>
      </c>
      <c r="D882" t="s">
        <v>352</v>
      </c>
      <c r="E882">
        <v>15</v>
      </c>
      <c r="F882" s="166">
        <v>407</v>
      </c>
      <c r="G882">
        <v>6105</v>
      </c>
    </row>
    <row r="883" spans="1:7">
      <c r="A883" t="s">
        <v>364</v>
      </c>
      <c r="B883" s="165">
        <v>41810</v>
      </c>
      <c r="C883" t="s">
        <v>351</v>
      </c>
      <c r="D883" t="s">
        <v>352</v>
      </c>
      <c r="E883">
        <v>12</v>
      </c>
      <c r="F883" s="166">
        <v>475</v>
      </c>
      <c r="G883">
        <v>5700</v>
      </c>
    </row>
    <row r="884" spans="1:7">
      <c r="A884" t="s">
        <v>364</v>
      </c>
      <c r="B884" s="165">
        <v>41844</v>
      </c>
      <c r="C884" t="s">
        <v>351</v>
      </c>
      <c r="D884" t="s">
        <v>352</v>
      </c>
      <c r="E884">
        <v>1</v>
      </c>
      <c r="F884" s="166">
        <v>375</v>
      </c>
      <c r="G884">
        <v>375</v>
      </c>
    </row>
    <row r="885" spans="1:7">
      <c r="A885" t="s">
        <v>364</v>
      </c>
      <c r="B885" s="165">
        <v>41844</v>
      </c>
      <c r="C885" t="s">
        <v>351</v>
      </c>
      <c r="D885" t="s">
        <v>352</v>
      </c>
      <c r="E885">
        <v>2</v>
      </c>
      <c r="F885" s="166">
        <v>375</v>
      </c>
      <c r="G885">
        <v>750</v>
      </c>
    </row>
    <row r="886" spans="1:7">
      <c r="A886" t="s">
        <v>364</v>
      </c>
      <c r="B886" s="165">
        <v>41844</v>
      </c>
      <c r="C886" t="s">
        <v>351</v>
      </c>
      <c r="D886" t="s">
        <v>352</v>
      </c>
      <c r="E886">
        <v>13</v>
      </c>
      <c r="F886" s="166">
        <v>417.30769230769232</v>
      </c>
      <c r="G886">
        <v>5425</v>
      </c>
    </row>
    <row r="887" spans="1:7">
      <c r="A887" t="s">
        <v>364</v>
      </c>
      <c r="B887" s="165">
        <v>41858</v>
      </c>
      <c r="C887" t="s">
        <v>351</v>
      </c>
      <c r="D887" t="s">
        <v>352</v>
      </c>
      <c r="E887">
        <v>6</v>
      </c>
      <c r="F887" s="166">
        <v>405</v>
      </c>
      <c r="G887">
        <v>2430</v>
      </c>
    </row>
    <row r="888" spans="1:7">
      <c r="A888" t="s">
        <v>364</v>
      </c>
      <c r="B888" s="165">
        <v>41865</v>
      </c>
      <c r="C888" t="s">
        <v>351</v>
      </c>
      <c r="D888" t="s">
        <v>352</v>
      </c>
      <c r="E888">
        <v>4</v>
      </c>
      <c r="F888" s="166">
        <v>460</v>
      </c>
      <c r="G888">
        <v>1840</v>
      </c>
    </row>
    <row r="889" spans="1:7">
      <c r="A889" t="s">
        <v>364</v>
      </c>
      <c r="B889" s="165">
        <v>41872</v>
      </c>
      <c r="C889" t="s">
        <v>351</v>
      </c>
      <c r="D889" t="s">
        <v>352</v>
      </c>
      <c r="E889">
        <v>26</v>
      </c>
      <c r="F889" s="166">
        <v>746.46153846153845</v>
      </c>
      <c r="G889">
        <v>19408</v>
      </c>
    </row>
    <row r="890" spans="1:7">
      <c r="A890" t="s">
        <v>364</v>
      </c>
      <c r="B890" s="165">
        <v>41879</v>
      </c>
      <c r="C890" t="s">
        <v>351</v>
      </c>
      <c r="D890" t="s">
        <v>352</v>
      </c>
      <c r="E890">
        <v>5</v>
      </c>
      <c r="F890" s="166">
        <v>418</v>
      </c>
      <c r="G890">
        <v>2090</v>
      </c>
    </row>
    <row r="891" spans="1:7">
      <c r="A891" t="s">
        <v>364</v>
      </c>
      <c r="B891" s="165">
        <v>41893</v>
      </c>
      <c r="C891" t="s">
        <v>351</v>
      </c>
      <c r="D891" t="s">
        <v>352</v>
      </c>
      <c r="E891">
        <v>5</v>
      </c>
      <c r="F891" s="166">
        <v>775</v>
      </c>
      <c r="G891">
        <v>3875</v>
      </c>
    </row>
    <row r="892" spans="1:7">
      <c r="A892" t="s">
        <v>364</v>
      </c>
      <c r="B892" s="165">
        <v>41921</v>
      </c>
      <c r="C892" t="s">
        <v>351</v>
      </c>
      <c r="D892" t="s">
        <v>352</v>
      </c>
      <c r="E892">
        <v>1</v>
      </c>
      <c r="F892" s="166">
        <v>600</v>
      </c>
      <c r="G892">
        <v>600</v>
      </c>
    </row>
    <row r="893" spans="1:7">
      <c r="A893" t="s">
        <v>364</v>
      </c>
      <c r="B893" s="165">
        <v>41921</v>
      </c>
      <c r="C893" t="s">
        <v>351</v>
      </c>
      <c r="D893" t="s">
        <v>352</v>
      </c>
      <c r="E893">
        <v>1</v>
      </c>
      <c r="F893" s="166">
        <v>650</v>
      </c>
      <c r="G893">
        <v>650</v>
      </c>
    </row>
    <row r="894" spans="1:7">
      <c r="A894" t="s">
        <v>364</v>
      </c>
      <c r="B894" s="165">
        <v>41921</v>
      </c>
      <c r="C894" t="s">
        <v>351</v>
      </c>
      <c r="D894" t="s">
        <v>352</v>
      </c>
      <c r="E894">
        <v>4</v>
      </c>
      <c r="F894" s="166">
        <v>175</v>
      </c>
      <c r="G894">
        <v>700</v>
      </c>
    </row>
    <row r="895" spans="1:7">
      <c r="A895" t="s">
        <v>364</v>
      </c>
      <c r="B895" s="165">
        <v>41921</v>
      </c>
      <c r="C895" t="s">
        <v>351</v>
      </c>
      <c r="D895" t="s">
        <v>352</v>
      </c>
      <c r="E895">
        <v>11</v>
      </c>
      <c r="F895" s="166">
        <v>450</v>
      </c>
      <c r="G895">
        <v>4950</v>
      </c>
    </row>
    <row r="896" spans="1:7">
      <c r="A896" t="s">
        <v>364</v>
      </c>
      <c r="B896" s="165">
        <v>41943</v>
      </c>
      <c r="C896" t="s">
        <v>351</v>
      </c>
      <c r="D896" t="s">
        <v>352</v>
      </c>
      <c r="E896">
        <v>31</v>
      </c>
      <c r="F896" s="166">
        <v>439.51612903225805</v>
      </c>
      <c r="G896">
        <v>13625</v>
      </c>
    </row>
    <row r="897" spans="1:8">
      <c r="A897" t="s">
        <v>364</v>
      </c>
      <c r="B897" s="165">
        <v>41949</v>
      </c>
      <c r="C897" t="s">
        <v>351</v>
      </c>
      <c r="D897" t="s">
        <v>352</v>
      </c>
      <c r="E897">
        <v>5</v>
      </c>
      <c r="F897" s="166">
        <v>400</v>
      </c>
      <c r="G897">
        <v>2000</v>
      </c>
    </row>
    <row r="898" spans="1:8">
      <c r="A898" t="s">
        <v>364</v>
      </c>
      <c r="B898" s="165">
        <v>41949</v>
      </c>
      <c r="C898" t="s">
        <v>351</v>
      </c>
      <c r="D898" t="s">
        <v>352</v>
      </c>
      <c r="E898">
        <v>6</v>
      </c>
      <c r="F898" s="166">
        <v>390</v>
      </c>
      <c r="G898">
        <v>2340</v>
      </c>
    </row>
    <row r="899" spans="1:8">
      <c r="A899" t="s">
        <v>364</v>
      </c>
      <c r="B899" s="165">
        <v>41949</v>
      </c>
      <c r="C899" t="s">
        <v>351</v>
      </c>
      <c r="D899" t="s">
        <v>352</v>
      </c>
      <c r="E899">
        <v>8</v>
      </c>
      <c r="F899" s="166">
        <v>825</v>
      </c>
      <c r="G899">
        <v>6600</v>
      </c>
    </row>
    <row r="900" spans="1:8">
      <c r="A900" t="s">
        <v>364</v>
      </c>
      <c r="B900" s="165">
        <v>41971</v>
      </c>
      <c r="C900" t="s">
        <v>351</v>
      </c>
      <c r="D900" t="s">
        <v>352</v>
      </c>
      <c r="E900">
        <v>1</v>
      </c>
      <c r="F900" s="166">
        <v>225</v>
      </c>
      <c r="G900">
        <v>225</v>
      </c>
    </row>
    <row r="901" spans="1:8">
      <c r="A901" t="s">
        <v>364</v>
      </c>
      <c r="B901" s="165">
        <v>41971</v>
      </c>
      <c r="C901" t="s">
        <v>351</v>
      </c>
      <c r="D901" t="s">
        <v>352</v>
      </c>
      <c r="E901">
        <v>2</v>
      </c>
      <c r="F901" s="166">
        <v>650</v>
      </c>
      <c r="G901">
        <v>1300</v>
      </c>
    </row>
    <row r="902" spans="1:8">
      <c r="A902" t="s">
        <v>364</v>
      </c>
      <c r="B902" s="165">
        <v>41977</v>
      </c>
      <c r="C902" t="s">
        <v>351</v>
      </c>
      <c r="D902" t="s">
        <v>352</v>
      </c>
      <c r="E902">
        <v>105</v>
      </c>
      <c r="F902" s="166">
        <v>400</v>
      </c>
      <c r="G902">
        <v>42000</v>
      </c>
    </row>
    <row r="903" spans="1:8">
      <c r="A903" t="s">
        <v>364</v>
      </c>
      <c r="B903" s="165">
        <v>41999</v>
      </c>
      <c r="C903" t="s">
        <v>351</v>
      </c>
      <c r="D903" t="s">
        <v>352</v>
      </c>
      <c r="E903">
        <v>12</v>
      </c>
      <c r="F903" s="166">
        <v>469.58333333333331</v>
      </c>
      <c r="G903">
        <v>5635</v>
      </c>
    </row>
    <row r="904" spans="1:8">
      <c r="A904" t="s">
        <v>365</v>
      </c>
      <c r="B904" s="165">
        <v>41872</v>
      </c>
      <c r="C904" t="s">
        <v>351</v>
      </c>
      <c r="D904" t="s">
        <v>352</v>
      </c>
      <c r="E904">
        <v>7</v>
      </c>
      <c r="F904" s="166">
        <v>454.28571428571428</v>
      </c>
      <c r="G904">
        <v>3180</v>
      </c>
    </row>
    <row r="905" spans="1:8">
      <c r="E905" s="119" t="s">
        <v>374</v>
      </c>
      <c r="F905" s="166">
        <f>AVERAGE($F$714:$F$904)</f>
        <v>526.88742017410289</v>
      </c>
    </row>
    <row r="906" spans="1:8">
      <c r="E906" s="119" t="s">
        <v>375</v>
      </c>
      <c r="F906" s="166">
        <f>MEDIAN($F$714:$F$904)</f>
        <v>485.41666666666669</v>
      </c>
    </row>
    <row r="907" spans="1:8">
      <c r="E907" s="119" t="s">
        <v>376</v>
      </c>
      <c r="F907" s="166">
        <f>PERCENTILE($F$714:$F$904,0.25)</f>
        <v>368.34615384615381</v>
      </c>
    </row>
    <row r="908" spans="1:8">
      <c r="E908" s="119"/>
      <c r="F908" s="166"/>
    </row>
    <row r="909" spans="1:8">
      <c r="A909" s="171"/>
      <c r="B909" s="171"/>
      <c r="C909" s="171"/>
      <c r="D909" s="171"/>
      <c r="E909" s="171"/>
      <c r="F909" s="171"/>
      <c r="G909" s="171"/>
      <c r="H909" s="171"/>
    </row>
    <row r="910" spans="1:8">
      <c r="A910" s="146" t="s">
        <v>360</v>
      </c>
    </row>
    <row r="911" spans="1:8">
      <c r="A911" t="s">
        <v>343</v>
      </c>
      <c r="B911" s="165" t="s">
        <v>344</v>
      </c>
      <c r="C911" t="s">
        <v>345</v>
      </c>
      <c r="D911" t="s">
        <v>346</v>
      </c>
      <c r="E911" t="s">
        <v>347</v>
      </c>
      <c r="F911" s="166" t="s">
        <v>348</v>
      </c>
      <c r="G911" t="s">
        <v>349</v>
      </c>
    </row>
    <row r="912" spans="1:8">
      <c r="A912" t="s">
        <v>350</v>
      </c>
      <c r="B912" s="165">
        <v>41718</v>
      </c>
      <c r="C912" t="s">
        <v>359</v>
      </c>
      <c r="D912" t="s">
        <v>360</v>
      </c>
      <c r="E912">
        <v>8</v>
      </c>
      <c r="F912" s="166">
        <v>555.5</v>
      </c>
      <c r="G912">
        <v>4444</v>
      </c>
    </row>
    <row r="913" spans="1:7">
      <c r="A913" t="s">
        <v>350</v>
      </c>
      <c r="B913" s="165">
        <v>41767</v>
      </c>
      <c r="C913" t="s">
        <v>359</v>
      </c>
      <c r="D913" t="s">
        <v>360</v>
      </c>
      <c r="E913">
        <v>3</v>
      </c>
      <c r="F913" s="166">
        <v>625</v>
      </c>
      <c r="G913">
        <v>1875</v>
      </c>
    </row>
    <row r="914" spans="1:7">
      <c r="A914" t="s">
        <v>350</v>
      </c>
      <c r="B914" s="165">
        <v>41795</v>
      </c>
      <c r="C914" t="s">
        <v>359</v>
      </c>
      <c r="D914" t="s">
        <v>360</v>
      </c>
      <c r="E914">
        <v>11</v>
      </c>
      <c r="F914" s="166">
        <v>418.72727272727275</v>
      </c>
      <c r="G914">
        <v>4606</v>
      </c>
    </row>
    <row r="915" spans="1:7">
      <c r="A915" t="s">
        <v>350</v>
      </c>
      <c r="B915" s="165">
        <v>41795</v>
      </c>
      <c r="C915" t="s">
        <v>359</v>
      </c>
      <c r="D915" t="s">
        <v>360</v>
      </c>
      <c r="E915">
        <v>8</v>
      </c>
      <c r="F915" s="166">
        <v>620.125</v>
      </c>
      <c r="G915">
        <v>4961</v>
      </c>
    </row>
    <row r="916" spans="1:7">
      <c r="A916" t="s">
        <v>350</v>
      </c>
      <c r="B916" s="165">
        <v>41802</v>
      </c>
      <c r="C916" t="s">
        <v>359</v>
      </c>
      <c r="D916" t="s">
        <v>360</v>
      </c>
      <c r="E916">
        <v>8</v>
      </c>
      <c r="F916" s="166">
        <v>650</v>
      </c>
      <c r="G916">
        <v>5200</v>
      </c>
    </row>
    <row r="917" spans="1:7">
      <c r="A917" t="s">
        <v>350</v>
      </c>
      <c r="B917" s="165">
        <v>41802</v>
      </c>
      <c r="C917" t="s">
        <v>359</v>
      </c>
      <c r="D917" t="s">
        <v>360</v>
      </c>
      <c r="E917">
        <v>12</v>
      </c>
      <c r="F917" s="166">
        <v>650</v>
      </c>
      <c r="G917">
        <v>7800</v>
      </c>
    </row>
    <row r="918" spans="1:7">
      <c r="A918" t="s">
        <v>350</v>
      </c>
      <c r="B918" s="165">
        <v>41816</v>
      </c>
      <c r="C918" t="s">
        <v>359</v>
      </c>
      <c r="D918" t="s">
        <v>360</v>
      </c>
      <c r="E918">
        <v>10</v>
      </c>
      <c r="F918" s="166">
        <v>560</v>
      </c>
      <c r="G918">
        <v>5600</v>
      </c>
    </row>
    <row r="919" spans="1:7">
      <c r="A919" t="s">
        <v>350</v>
      </c>
      <c r="B919" s="165">
        <v>41823</v>
      </c>
      <c r="C919" t="s">
        <v>359</v>
      </c>
      <c r="D919" t="s">
        <v>360</v>
      </c>
      <c r="E919">
        <v>3</v>
      </c>
      <c r="F919" s="166">
        <v>857</v>
      </c>
      <c r="G919">
        <v>2571</v>
      </c>
    </row>
    <row r="920" spans="1:7">
      <c r="A920" t="s">
        <v>350</v>
      </c>
      <c r="B920" s="165">
        <v>41837</v>
      </c>
      <c r="C920" t="s">
        <v>359</v>
      </c>
      <c r="D920" t="s">
        <v>360</v>
      </c>
      <c r="E920">
        <v>5</v>
      </c>
      <c r="F920" s="166">
        <v>531</v>
      </c>
      <c r="G920">
        <v>2655</v>
      </c>
    </row>
    <row r="921" spans="1:7">
      <c r="A921" t="s">
        <v>350</v>
      </c>
      <c r="B921" s="165">
        <v>41837</v>
      </c>
      <c r="C921" t="s">
        <v>359</v>
      </c>
      <c r="D921" t="s">
        <v>360</v>
      </c>
      <c r="E921">
        <v>10</v>
      </c>
      <c r="F921" s="166">
        <v>597.5</v>
      </c>
      <c r="G921">
        <v>5975</v>
      </c>
    </row>
    <row r="922" spans="1:7">
      <c r="A922" t="s">
        <v>350</v>
      </c>
      <c r="B922" s="165">
        <v>41851</v>
      </c>
      <c r="C922" t="s">
        <v>359</v>
      </c>
      <c r="D922" t="s">
        <v>360</v>
      </c>
      <c r="E922">
        <v>10</v>
      </c>
      <c r="F922" s="166">
        <v>550</v>
      </c>
      <c r="G922">
        <v>5500</v>
      </c>
    </row>
    <row r="923" spans="1:7">
      <c r="A923" t="s">
        <v>350</v>
      </c>
      <c r="B923" s="165">
        <v>41851</v>
      </c>
      <c r="C923" t="s">
        <v>359</v>
      </c>
      <c r="D923" t="s">
        <v>360</v>
      </c>
      <c r="E923">
        <v>9</v>
      </c>
      <c r="F923" s="166">
        <v>1733</v>
      </c>
      <c r="G923">
        <v>15597</v>
      </c>
    </row>
    <row r="924" spans="1:7">
      <c r="A924" t="s">
        <v>350</v>
      </c>
      <c r="B924" s="165">
        <v>41858</v>
      </c>
      <c r="C924" t="s">
        <v>359</v>
      </c>
      <c r="D924" t="s">
        <v>360</v>
      </c>
      <c r="E924">
        <v>4</v>
      </c>
      <c r="F924" s="166">
        <v>341</v>
      </c>
      <c r="G924">
        <v>1364</v>
      </c>
    </row>
    <row r="925" spans="1:7">
      <c r="A925" t="s">
        <v>350</v>
      </c>
      <c r="B925" s="165">
        <v>41872</v>
      </c>
      <c r="C925" t="s">
        <v>359</v>
      </c>
      <c r="D925" t="s">
        <v>360</v>
      </c>
      <c r="E925">
        <v>4</v>
      </c>
      <c r="F925" s="166">
        <v>550</v>
      </c>
      <c r="G925">
        <v>2200</v>
      </c>
    </row>
    <row r="926" spans="1:7">
      <c r="A926" t="s">
        <v>350</v>
      </c>
      <c r="B926" s="165">
        <v>41872</v>
      </c>
      <c r="C926" t="s">
        <v>359</v>
      </c>
      <c r="D926" t="s">
        <v>360</v>
      </c>
      <c r="E926">
        <v>9</v>
      </c>
      <c r="F926" s="166">
        <v>475</v>
      </c>
      <c r="G926">
        <v>4275</v>
      </c>
    </row>
    <row r="927" spans="1:7">
      <c r="A927" t="s">
        <v>350</v>
      </c>
      <c r="B927" s="165">
        <v>41872</v>
      </c>
      <c r="C927" t="s">
        <v>359</v>
      </c>
      <c r="D927" t="s">
        <v>360</v>
      </c>
      <c r="E927">
        <v>8</v>
      </c>
      <c r="F927" s="166">
        <v>985</v>
      </c>
      <c r="G927">
        <v>7880</v>
      </c>
    </row>
    <row r="928" spans="1:7">
      <c r="A928" t="s">
        <v>350</v>
      </c>
      <c r="B928" s="165">
        <v>41900</v>
      </c>
      <c r="C928" t="s">
        <v>359</v>
      </c>
      <c r="D928" t="s">
        <v>360</v>
      </c>
      <c r="E928">
        <v>5</v>
      </c>
      <c r="F928" s="166">
        <v>510.8</v>
      </c>
      <c r="G928">
        <v>2554</v>
      </c>
    </row>
    <row r="929" spans="1:7">
      <c r="A929" t="s">
        <v>350</v>
      </c>
      <c r="B929" s="165">
        <v>41900</v>
      </c>
      <c r="C929" t="s">
        <v>359</v>
      </c>
      <c r="D929" t="s">
        <v>360</v>
      </c>
      <c r="E929">
        <v>11</v>
      </c>
      <c r="F929" s="166">
        <v>386.90909090909093</v>
      </c>
      <c r="G929">
        <v>4256</v>
      </c>
    </row>
    <row r="930" spans="1:7">
      <c r="A930" t="s">
        <v>350</v>
      </c>
      <c r="B930" s="165">
        <v>41900</v>
      </c>
      <c r="C930" t="s">
        <v>359</v>
      </c>
      <c r="D930" t="s">
        <v>360</v>
      </c>
      <c r="E930">
        <v>17</v>
      </c>
      <c r="F930" s="166">
        <v>928.82352941176475</v>
      </c>
      <c r="G930">
        <v>15790</v>
      </c>
    </row>
    <row r="931" spans="1:7">
      <c r="A931" t="s">
        <v>350</v>
      </c>
      <c r="B931" s="165">
        <v>41907</v>
      </c>
      <c r="C931" t="s">
        <v>359</v>
      </c>
      <c r="D931" t="s">
        <v>360</v>
      </c>
      <c r="E931">
        <v>1</v>
      </c>
      <c r="F931" s="166">
        <v>552</v>
      </c>
      <c r="G931">
        <v>552</v>
      </c>
    </row>
    <row r="932" spans="1:7">
      <c r="A932" t="s">
        <v>350</v>
      </c>
      <c r="B932" s="165">
        <v>41907</v>
      </c>
      <c r="C932" t="s">
        <v>359</v>
      </c>
      <c r="D932" t="s">
        <v>360</v>
      </c>
      <c r="E932">
        <v>4</v>
      </c>
      <c r="F932" s="166">
        <v>585</v>
      </c>
      <c r="G932">
        <v>2340</v>
      </c>
    </row>
    <row r="933" spans="1:7">
      <c r="A933" t="s">
        <v>350</v>
      </c>
      <c r="B933" s="165">
        <v>41907</v>
      </c>
      <c r="C933" t="s">
        <v>359</v>
      </c>
      <c r="D933" t="s">
        <v>360</v>
      </c>
      <c r="E933">
        <v>10</v>
      </c>
      <c r="F933" s="166">
        <v>420.2</v>
      </c>
      <c r="G933">
        <v>4202</v>
      </c>
    </row>
    <row r="934" spans="1:7">
      <c r="A934" t="s">
        <v>350</v>
      </c>
      <c r="B934" s="165">
        <v>41907</v>
      </c>
      <c r="C934" t="s">
        <v>359</v>
      </c>
      <c r="D934" t="s">
        <v>360</v>
      </c>
      <c r="E934">
        <v>12</v>
      </c>
      <c r="F934" s="166">
        <v>815</v>
      </c>
      <c r="G934">
        <v>9780</v>
      </c>
    </row>
    <row r="935" spans="1:7">
      <c r="A935" t="s">
        <v>350</v>
      </c>
      <c r="B935" s="165">
        <v>41921</v>
      </c>
      <c r="C935" t="s">
        <v>359</v>
      </c>
      <c r="D935" t="s">
        <v>360</v>
      </c>
      <c r="E935">
        <v>2</v>
      </c>
      <c r="F935" s="166">
        <v>544</v>
      </c>
      <c r="G935">
        <v>1088</v>
      </c>
    </row>
    <row r="936" spans="1:7">
      <c r="A936" t="s">
        <v>350</v>
      </c>
      <c r="B936" s="165">
        <v>41936</v>
      </c>
      <c r="C936" t="s">
        <v>359</v>
      </c>
      <c r="D936" t="s">
        <v>360</v>
      </c>
      <c r="E936">
        <v>1</v>
      </c>
      <c r="F936" s="166">
        <v>441</v>
      </c>
      <c r="G936">
        <v>441</v>
      </c>
    </row>
    <row r="937" spans="1:7">
      <c r="A937" t="s">
        <v>350</v>
      </c>
      <c r="B937" s="165">
        <v>41943</v>
      </c>
      <c r="C937" t="s">
        <v>359</v>
      </c>
      <c r="D937" t="s">
        <v>360</v>
      </c>
      <c r="E937">
        <v>3</v>
      </c>
      <c r="F937" s="166">
        <v>722</v>
      </c>
      <c r="G937">
        <v>2166</v>
      </c>
    </row>
    <row r="938" spans="1:7">
      <c r="A938" t="s">
        <v>350</v>
      </c>
      <c r="B938" s="165">
        <v>41943</v>
      </c>
      <c r="C938" t="s">
        <v>359</v>
      </c>
      <c r="D938" t="s">
        <v>360</v>
      </c>
      <c r="E938">
        <v>10</v>
      </c>
      <c r="F938" s="166">
        <v>675</v>
      </c>
      <c r="G938">
        <v>6750</v>
      </c>
    </row>
    <row r="939" spans="1:7">
      <c r="A939" t="s">
        <v>350</v>
      </c>
      <c r="B939" s="165">
        <v>41949</v>
      </c>
      <c r="C939" t="s">
        <v>359</v>
      </c>
      <c r="D939" t="s">
        <v>360</v>
      </c>
      <c r="E939">
        <v>2</v>
      </c>
      <c r="F939" s="166">
        <v>757</v>
      </c>
      <c r="G939">
        <v>1514</v>
      </c>
    </row>
    <row r="940" spans="1:7">
      <c r="A940" t="s">
        <v>350</v>
      </c>
      <c r="B940" s="165">
        <v>41949</v>
      </c>
      <c r="C940" t="s">
        <v>359</v>
      </c>
      <c r="D940" t="s">
        <v>360</v>
      </c>
      <c r="E940">
        <v>16</v>
      </c>
      <c r="F940" s="166">
        <v>482.5</v>
      </c>
      <c r="G940">
        <v>7720</v>
      </c>
    </row>
    <row r="941" spans="1:7">
      <c r="A941" t="s">
        <v>350</v>
      </c>
      <c r="B941" s="165">
        <v>41963</v>
      </c>
      <c r="C941" t="s">
        <v>359</v>
      </c>
      <c r="D941" t="s">
        <v>360</v>
      </c>
      <c r="E941">
        <v>1</v>
      </c>
      <c r="F941" s="166">
        <v>385</v>
      </c>
      <c r="G941">
        <v>385</v>
      </c>
    </row>
    <row r="942" spans="1:7">
      <c r="A942" t="s">
        <v>350</v>
      </c>
      <c r="B942" s="165">
        <v>41963</v>
      </c>
      <c r="C942" t="s">
        <v>359</v>
      </c>
      <c r="D942" t="s">
        <v>360</v>
      </c>
      <c r="E942">
        <v>6</v>
      </c>
      <c r="F942" s="166">
        <v>485</v>
      </c>
      <c r="G942">
        <v>2910</v>
      </c>
    </row>
    <row r="943" spans="1:7">
      <c r="A943" t="s">
        <v>350</v>
      </c>
      <c r="B943" s="165">
        <v>41963</v>
      </c>
      <c r="C943" t="s">
        <v>359</v>
      </c>
      <c r="D943" t="s">
        <v>360</v>
      </c>
      <c r="E943">
        <v>5</v>
      </c>
      <c r="F943" s="166">
        <v>650</v>
      </c>
      <c r="G943">
        <v>3250</v>
      </c>
    </row>
    <row r="944" spans="1:7">
      <c r="A944" t="s">
        <v>350</v>
      </c>
      <c r="B944" s="165">
        <v>41963</v>
      </c>
      <c r="C944" t="s">
        <v>359</v>
      </c>
      <c r="D944" t="s">
        <v>360</v>
      </c>
      <c r="E944">
        <v>6</v>
      </c>
      <c r="F944" s="166">
        <v>1100</v>
      </c>
      <c r="G944">
        <v>6600</v>
      </c>
    </row>
    <row r="945" spans="1:7">
      <c r="A945" t="s">
        <v>350</v>
      </c>
      <c r="B945" s="165">
        <v>41971</v>
      </c>
      <c r="C945" t="s">
        <v>359</v>
      </c>
      <c r="D945" t="s">
        <v>360</v>
      </c>
      <c r="E945">
        <v>2</v>
      </c>
      <c r="F945" s="166">
        <v>448</v>
      </c>
      <c r="G945">
        <v>896</v>
      </c>
    </row>
    <row r="946" spans="1:7">
      <c r="A946" t="s">
        <v>350</v>
      </c>
      <c r="B946" s="165">
        <v>41971</v>
      </c>
      <c r="C946" t="s">
        <v>359</v>
      </c>
      <c r="D946" t="s">
        <v>360</v>
      </c>
      <c r="E946">
        <v>11</v>
      </c>
      <c r="F946" s="166">
        <v>680</v>
      </c>
      <c r="G946">
        <v>7480</v>
      </c>
    </row>
    <row r="947" spans="1:7">
      <c r="A947" t="s">
        <v>350</v>
      </c>
      <c r="B947" s="165">
        <v>41991</v>
      </c>
      <c r="C947" t="s">
        <v>359</v>
      </c>
      <c r="D947" t="s">
        <v>360</v>
      </c>
      <c r="E947">
        <v>7</v>
      </c>
      <c r="F947" s="166">
        <v>575</v>
      </c>
      <c r="G947">
        <v>4025</v>
      </c>
    </row>
    <row r="948" spans="1:7">
      <c r="A948" t="s">
        <v>350</v>
      </c>
      <c r="B948" s="165">
        <v>41991</v>
      </c>
      <c r="C948" t="s">
        <v>359</v>
      </c>
      <c r="D948" t="s">
        <v>360</v>
      </c>
      <c r="E948">
        <v>4</v>
      </c>
      <c r="F948" s="166">
        <v>1730</v>
      </c>
      <c r="G948">
        <v>6920</v>
      </c>
    </row>
    <row r="949" spans="1:7">
      <c r="A949" t="s">
        <v>350</v>
      </c>
      <c r="B949" s="165">
        <v>41999</v>
      </c>
      <c r="C949" t="s">
        <v>359</v>
      </c>
      <c r="D949" t="s">
        <v>360</v>
      </c>
      <c r="E949">
        <v>1</v>
      </c>
      <c r="F949" s="166">
        <v>537</v>
      </c>
      <c r="G949">
        <v>537</v>
      </c>
    </row>
    <row r="950" spans="1:7">
      <c r="A950" t="s">
        <v>350</v>
      </c>
      <c r="B950" s="165">
        <v>41999</v>
      </c>
      <c r="C950" t="s">
        <v>359</v>
      </c>
      <c r="D950" t="s">
        <v>360</v>
      </c>
      <c r="E950">
        <v>1</v>
      </c>
      <c r="F950" s="166">
        <v>724</v>
      </c>
      <c r="G950">
        <v>724</v>
      </c>
    </row>
    <row r="951" spans="1:7">
      <c r="A951" t="s">
        <v>350</v>
      </c>
      <c r="B951" s="165">
        <v>41999</v>
      </c>
      <c r="C951" t="s">
        <v>359</v>
      </c>
      <c r="D951" t="s">
        <v>360</v>
      </c>
      <c r="E951">
        <v>3</v>
      </c>
      <c r="F951" s="166">
        <v>418.33333333333331</v>
      </c>
      <c r="G951">
        <v>1255</v>
      </c>
    </row>
    <row r="952" spans="1:7">
      <c r="A952" t="s">
        <v>350</v>
      </c>
      <c r="B952" s="165">
        <v>42004</v>
      </c>
      <c r="C952" t="s">
        <v>359</v>
      </c>
      <c r="D952" t="s">
        <v>360</v>
      </c>
      <c r="E952">
        <v>2</v>
      </c>
      <c r="F952" s="166">
        <v>537</v>
      </c>
      <c r="G952">
        <v>1074</v>
      </c>
    </row>
    <row r="953" spans="1:7">
      <c r="A953" t="s">
        <v>350</v>
      </c>
      <c r="B953" s="165">
        <v>42004</v>
      </c>
      <c r="C953" t="s">
        <v>359</v>
      </c>
      <c r="D953" t="s">
        <v>360</v>
      </c>
      <c r="E953">
        <v>4</v>
      </c>
      <c r="F953" s="166">
        <v>1190</v>
      </c>
      <c r="G953">
        <v>4760</v>
      </c>
    </row>
    <row r="954" spans="1:7">
      <c r="A954" t="s">
        <v>350</v>
      </c>
      <c r="B954" s="165">
        <v>42004</v>
      </c>
      <c r="C954" t="s">
        <v>359</v>
      </c>
      <c r="D954" t="s">
        <v>360</v>
      </c>
      <c r="E954">
        <v>16</v>
      </c>
      <c r="F954" s="166">
        <v>485</v>
      </c>
      <c r="G954">
        <v>7760</v>
      </c>
    </row>
    <row r="955" spans="1:7">
      <c r="A955" t="s">
        <v>350</v>
      </c>
      <c r="B955" s="165">
        <v>42004</v>
      </c>
      <c r="C955" t="s">
        <v>359</v>
      </c>
      <c r="D955" t="s">
        <v>360</v>
      </c>
      <c r="E955">
        <v>14</v>
      </c>
      <c r="F955" s="166">
        <v>750.21428571428567</v>
      </c>
      <c r="G955">
        <v>10503</v>
      </c>
    </row>
    <row r="956" spans="1:7">
      <c r="A956" t="s">
        <v>363</v>
      </c>
      <c r="B956" s="165">
        <v>41788</v>
      </c>
      <c r="C956" t="s">
        <v>359</v>
      </c>
      <c r="D956" t="s">
        <v>360</v>
      </c>
      <c r="E956">
        <v>4</v>
      </c>
      <c r="F956" s="166">
        <v>528</v>
      </c>
      <c r="G956">
        <v>2112</v>
      </c>
    </row>
    <row r="957" spans="1:7">
      <c r="A957" t="s">
        <v>363</v>
      </c>
      <c r="B957" s="165">
        <v>41788</v>
      </c>
      <c r="C957" t="s">
        <v>359</v>
      </c>
      <c r="D957" t="s">
        <v>360</v>
      </c>
      <c r="E957">
        <v>48</v>
      </c>
      <c r="F957" s="166">
        <v>299</v>
      </c>
      <c r="G957">
        <v>14352</v>
      </c>
    </row>
    <row r="958" spans="1:7">
      <c r="A958" t="s">
        <v>363</v>
      </c>
      <c r="B958" s="165">
        <v>41936</v>
      </c>
      <c r="C958" t="s">
        <v>359</v>
      </c>
      <c r="D958" t="s">
        <v>360</v>
      </c>
      <c r="E958">
        <v>147</v>
      </c>
      <c r="F958" s="166">
        <v>997.03401360544217</v>
      </c>
      <c r="G958">
        <v>146564</v>
      </c>
    </row>
    <row r="959" spans="1:7">
      <c r="A959" t="s">
        <v>364</v>
      </c>
      <c r="B959" s="165">
        <v>41802</v>
      </c>
      <c r="C959" t="s">
        <v>359</v>
      </c>
      <c r="D959" t="s">
        <v>360</v>
      </c>
      <c r="E959">
        <v>4</v>
      </c>
      <c r="F959" s="166">
        <v>132.25</v>
      </c>
      <c r="G959">
        <v>529</v>
      </c>
    </row>
    <row r="960" spans="1:7">
      <c r="A960" t="s">
        <v>364</v>
      </c>
      <c r="B960" s="165">
        <v>41802</v>
      </c>
      <c r="C960" t="s">
        <v>359</v>
      </c>
      <c r="D960" t="s">
        <v>360</v>
      </c>
      <c r="E960">
        <v>1</v>
      </c>
      <c r="F960" s="166">
        <v>641</v>
      </c>
      <c r="G960">
        <v>641</v>
      </c>
    </row>
    <row r="961" spans="1:7">
      <c r="A961" t="s">
        <v>364</v>
      </c>
      <c r="B961" s="165">
        <v>41810</v>
      </c>
      <c r="C961" t="s">
        <v>359</v>
      </c>
      <c r="D961" t="s">
        <v>360</v>
      </c>
      <c r="E961">
        <v>10</v>
      </c>
      <c r="F961" s="166">
        <v>625</v>
      </c>
      <c r="G961">
        <v>6250</v>
      </c>
    </row>
    <row r="962" spans="1:7">
      <c r="A962" t="s">
        <v>364</v>
      </c>
      <c r="B962" s="165">
        <v>41823</v>
      </c>
      <c r="C962" t="s">
        <v>359</v>
      </c>
      <c r="D962" t="s">
        <v>360</v>
      </c>
      <c r="E962">
        <v>10</v>
      </c>
      <c r="F962" s="166">
        <v>331.2</v>
      </c>
      <c r="G962">
        <v>3312</v>
      </c>
    </row>
    <row r="963" spans="1:7">
      <c r="A963" t="s">
        <v>364</v>
      </c>
      <c r="B963" s="165">
        <v>41830</v>
      </c>
      <c r="C963" t="s">
        <v>359</v>
      </c>
      <c r="D963" t="s">
        <v>360</v>
      </c>
      <c r="E963">
        <v>2</v>
      </c>
      <c r="F963" s="166">
        <v>409</v>
      </c>
      <c r="G963">
        <v>818</v>
      </c>
    </row>
    <row r="964" spans="1:7">
      <c r="A964" t="s">
        <v>364</v>
      </c>
      <c r="B964" s="165">
        <v>41844</v>
      </c>
      <c r="C964" t="s">
        <v>359</v>
      </c>
      <c r="D964" t="s">
        <v>360</v>
      </c>
      <c r="E964">
        <v>4</v>
      </c>
      <c r="F964" s="166">
        <v>550</v>
      </c>
      <c r="G964">
        <v>2200</v>
      </c>
    </row>
    <row r="965" spans="1:7">
      <c r="A965" t="s">
        <v>364</v>
      </c>
      <c r="B965" s="165">
        <v>41844</v>
      </c>
      <c r="C965" t="s">
        <v>359</v>
      </c>
      <c r="D965" t="s">
        <v>360</v>
      </c>
      <c r="E965">
        <v>5</v>
      </c>
      <c r="F965" s="166">
        <v>677</v>
      </c>
      <c r="G965">
        <v>3385</v>
      </c>
    </row>
    <row r="966" spans="1:7">
      <c r="A966" t="s">
        <v>364</v>
      </c>
      <c r="B966" s="165">
        <v>41872</v>
      </c>
      <c r="C966" t="s">
        <v>359</v>
      </c>
      <c r="D966" t="s">
        <v>360</v>
      </c>
      <c r="E966">
        <v>8</v>
      </c>
      <c r="F966" s="166">
        <v>805.75</v>
      </c>
      <c r="G966">
        <v>6446</v>
      </c>
    </row>
    <row r="967" spans="1:7">
      <c r="A967" t="s">
        <v>364</v>
      </c>
      <c r="B967" s="165">
        <v>41893</v>
      </c>
      <c r="C967" t="s">
        <v>359</v>
      </c>
      <c r="D967" t="s">
        <v>360</v>
      </c>
      <c r="E967">
        <v>1</v>
      </c>
      <c r="F967" s="166">
        <v>650</v>
      </c>
      <c r="G967">
        <v>650</v>
      </c>
    </row>
    <row r="968" spans="1:7">
      <c r="A968" t="s">
        <v>364</v>
      </c>
      <c r="B968" s="165">
        <v>41893</v>
      </c>
      <c r="C968" t="s">
        <v>359</v>
      </c>
      <c r="D968" t="s">
        <v>360</v>
      </c>
      <c r="E968">
        <v>11</v>
      </c>
      <c r="F968" s="166">
        <v>268.18181818181819</v>
      </c>
      <c r="G968">
        <v>2950</v>
      </c>
    </row>
    <row r="969" spans="1:7">
      <c r="A969" t="s">
        <v>364</v>
      </c>
      <c r="B969" s="165">
        <v>41900</v>
      </c>
      <c r="C969" t="s">
        <v>359</v>
      </c>
      <c r="D969" t="s">
        <v>360</v>
      </c>
      <c r="E969">
        <v>5</v>
      </c>
      <c r="F969" s="166">
        <v>674.4</v>
      </c>
      <c r="G969">
        <v>3372</v>
      </c>
    </row>
    <row r="970" spans="1:7">
      <c r="A970" t="s">
        <v>364</v>
      </c>
      <c r="B970" s="165">
        <v>41921</v>
      </c>
      <c r="C970" t="s">
        <v>359</v>
      </c>
      <c r="D970" t="s">
        <v>360</v>
      </c>
      <c r="E970">
        <v>6</v>
      </c>
      <c r="F970" s="166">
        <v>730</v>
      </c>
      <c r="G970">
        <v>4380</v>
      </c>
    </row>
    <row r="971" spans="1:7">
      <c r="A971" t="s">
        <v>364</v>
      </c>
      <c r="B971" s="165">
        <v>41921</v>
      </c>
      <c r="C971" t="s">
        <v>359</v>
      </c>
      <c r="D971" t="s">
        <v>360</v>
      </c>
      <c r="E971">
        <v>10</v>
      </c>
      <c r="F971" s="166">
        <v>450</v>
      </c>
      <c r="G971">
        <v>4500</v>
      </c>
    </row>
    <row r="972" spans="1:7">
      <c r="A972" t="s">
        <v>364</v>
      </c>
      <c r="B972" s="165">
        <v>41921</v>
      </c>
      <c r="C972" t="s">
        <v>359</v>
      </c>
      <c r="D972" t="s">
        <v>360</v>
      </c>
      <c r="E972">
        <v>5</v>
      </c>
      <c r="F972" s="166">
        <v>1000</v>
      </c>
      <c r="G972">
        <v>5000</v>
      </c>
    </row>
    <row r="973" spans="1:7">
      <c r="A973" t="s">
        <v>364</v>
      </c>
      <c r="B973" s="165">
        <v>41943</v>
      </c>
      <c r="C973" t="s">
        <v>359</v>
      </c>
      <c r="D973" t="s">
        <v>360</v>
      </c>
      <c r="E973">
        <v>4</v>
      </c>
      <c r="F973" s="166">
        <v>670</v>
      </c>
      <c r="G973">
        <v>2680</v>
      </c>
    </row>
    <row r="974" spans="1:7">
      <c r="A974" t="s">
        <v>364</v>
      </c>
      <c r="B974" s="165">
        <v>41949</v>
      </c>
      <c r="C974" t="s">
        <v>359</v>
      </c>
      <c r="D974" t="s">
        <v>360</v>
      </c>
      <c r="E974">
        <v>2</v>
      </c>
      <c r="F974" s="166">
        <v>390</v>
      </c>
      <c r="G974">
        <v>780</v>
      </c>
    </row>
    <row r="975" spans="1:7">
      <c r="A975" t="s">
        <v>364</v>
      </c>
      <c r="B975" s="165">
        <v>41957</v>
      </c>
      <c r="C975" t="s">
        <v>359</v>
      </c>
      <c r="D975" t="s">
        <v>360</v>
      </c>
      <c r="E975">
        <v>2</v>
      </c>
      <c r="F975" s="166">
        <v>680</v>
      </c>
      <c r="G975">
        <v>1360</v>
      </c>
    </row>
    <row r="976" spans="1:7">
      <c r="A976" t="s">
        <v>364</v>
      </c>
      <c r="B976" s="165">
        <v>41963</v>
      </c>
      <c r="C976" t="s">
        <v>359</v>
      </c>
      <c r="D976" t="s">
        <v>360</v>
      </c>
      <c r="E976">
        <v>12</v>
      </c>
      <c r="F976" s="166">
        <v>295</v>
      </c>
      <c r="G976">
        <v>3540</v>
      </c>
    </row>
    <row r="977" spans="1:8">
      <c r="A977" t="s">
        <v>364</v>
      </c>
      <c r="B977" s="165">
        <v>41977</v>
      </c>
      <c r="C977" t="s">
        <v>359</v>
      </c>
      <c r="D977" t="s">
        <v>360</v>
      </c>
      <c r="E977">
        <v>17</v>
      </c>
      <c r="F977" s="166">
        <v>690</v>
      </c>
      <c r="G977">
        <v>11730</v>
      </c>
    </row>
    <row r="978" spans="1:8">
      <c r="A978" t="s">
        <v>364</v>
      </c>
      <c r="B978" s="165">
        <v>41977</v>
      </c>
      <c r="C978" t="s">
        <v>359</v>
      </c>
      <c r="D978" t="s">
        <v>360</v>
      </c>
      <c r="E978">
        <v>32</v>
      </c>
      <c r="F978" s="166">
        <v>400</v>
      </c>
      <c r="G978">
        <v>12800</v>
      </c>
    </row>
    <row r="979" spans="1:8">
      <c r="A979" t="s">
        <v>364</v>
      </c>
      <c r="B979" s="165">
        <v>41999</v>
      </c>
      <c r="C979" t="s">
        <v>359</v>
      </c>
      <c r="D979" t="s">
        <v>360</v>
      </c>
      <c r="E979">
        <v>3</v>
      </c>
      <c r="F979" s="166">
        <v>700</v>
      </c>
      <c r="G979">
        <v>2100</v>
      </c>
    </row>
    <row r="980" spans="1:8">
      <c r="E980" s="119" t="s">
        <v>374</v>
      </c>
      <c r="F980" s="166">
        <f>AVERAGE($F$912:$F$979)</f>
        <v>629.50659329239716</v>
      </c>
    </row>
    <row r="981" spans="1:8">
      <c r="E981" s="119" t="s">
        <v>375</v>
      </c>
      <c r="F981" s="166">
        <f>MEDIAN($F$912:$F$979)</f>
        <v>580</v>
      </c>
    </row>
    <row r="982" spans="1:8">
      <c r="E982" s="119" t="s">
        <v>376</v>
      </c>
      <c r="F982" s="166">
        <f>PERCENTILE($F$912:$F$979,0.25)</f>
        <v>468.75</v>
      </c>
    </row>
    <row r="984" spans="1:8">
      <c r="A984" s="171"/>
      <c r="B984" s="171"/>
      <c r="C984" s="171"/>
      <c r="D984" s="171"/>
      <c r="E984" s="171"/>
      <c r="F984" s="171"/>
      <c r="G984" s="171"/>
      <c r="H984" s="171"/>
    </row>
    <row r="985" spans="1:8">
      <c r="A985" s="146" t="s">
        <v>356</v>
      </c>
    </row>
    <row r="986" spans="1:8">
      <c r="A986" t="s">
        <v>343</v>
      </c>
      <c r="B986" s="165" t="s">
        <v>344</v>
      </c>
      <c r="C986" t="s">
        <v>345</v>
      </c>
      <c r="D986" t="s">
        <v>346</v>
      </c>
      <c r="E986" t="s">
        <v>347</v>
      </c>
      <c r="F986" s="166" t="s">
        <v>348</v>
      </c>
      <c r="G986" t="s">
        <v>349</v>
      </c>
    </row>
    <row r="987" spans="1:8">
      <c r="A987" t="s">
        <v>350</v>
      </c>
      <c r="B987" s="165">
        <v>41704</v>
      </c>
      <c r="C987" t="s">
        <v>355</v>
      </c>
      <c r="D987" t="s">
        <v>356</v>
      </c>
      <c r="E987">
        <v>4</v>
      </c>
      <c r="F987" s="166">
        <v>1150</v>
      </c>
      <c r="G987">
        <v>4600</v>
      </c>
    </row>
    <row r="988" spans="1:8">
      <c r="A988" t="s">
        <v>350</v>
      </c>
      <c r="B988" s="165">
        <v>41718</v>
      </c>
      <c r="C988" t="s">
        <v>355</v>
      </c>
      <c r="D988" t="s">
        <v>356</v>
      </c>
      <c r="E988">
        <v>7</v>
      </c>
      <c r="F988" s="166">
        <v>735</v>
      </c>
      <c r="G988">
        <v>5145</v>
      </c>
    </row>
    <row r="989" spans="1:8">
      <c r="A989" t="s">
        <v>350</v>
      </c>
      <c r="B989" s="165">
        <v>41739</v>
      </c>
      <c r="C989" t="s">
        <v>355</v>
      </c>
      <c r="D989" t="s">
        <v>356</v>
      </c>
      <c r="E989">
        <v>3</v>
      </c>
      <c r="F989" s="166">
        <v>850</v>
      </c>
      <c r="G989">
        <v>2550</v>
      </c>
    </row>
    <row r="990" spans="1:8">
      <c r="A990" t="s">
        <v>350</v>
      </c>
      <c r="B990" s="165">
        <v>41739</v>
      </c>
      <c r="C990" t="s">
        <v>355</v>
      </c>
      <c r="D990" t="s">
        <v>356</v>
      </c>
      <c r="E990">
        <v>8</v>
      </c>
      <c r="F990" s="166">
        <v>492.5</v>
      </c>
      <c r="G990">
        <v>3940</v>
      </c>
    </row>
    <row r="991" spans="1:8">
      <c r="A991" t="s">
        <v>350</v>
      </c>
      <c r="B991" s="165">
        <v>41739</v>
      </c>
      <c r="C991" t="s">
        <v>355</v>
      </c>
      <c r="D991" t="s">
        <v>356</v>
      </c>
      <c r="E991">
        <v>10</v>
      </c>
      <c r="F991" s="166">
        <v>492.5</v>
      </c>
      <c r="G991">
        <v>4925</v>
      </c>
    </row>
    <row r="992" spans="1:8">
      <c r="A992" t="s">
        <v>350</v>
      </c>
      <c r="B992" s="165">
        <v>41739</v>
      </c>
      <c r="C992" t="s">
        <v>355</v>
      </c>
      <c r="D992" t="s">
        <v>356</v>
      </c>
      <c r="E992">
        <v>12</v>
      </c>
      <c r="F992" s="166">
        <v>492.5</v>
      </c>
      <c r="G992">
        <v>5910</v>
      </c>
    </row>
    <row r="993" spans="1:7">
      <c r="A993" t="s">
        <v>350</v>
      </c>
      <c r="B993" s="165">
        <v>41739</v>
      </c>
      <c r="C993" t="s">
        <v>355</v>
      </c>
      <c r="D993" t="s">
        <v>356</v>
      </c>
      <c r="E993">
        <v>12</v>
      </c>
      <c r="F993" s="166">
        <v>492.5</v>
      </c>
      <c r="G993">
        <v>5910</v>
      </c>
    </row>
    <row r="994" spans="1:7">
      <c r="A994" t="s">
        <v>350</v>
      </c>
      <c r="B994" s="165">
        <v>41739</v>
      </c>
      <c r="C994" t="s">
        <v>355</v>
      </c>
      <c r="D994" t="s">
        <v>356</v>
      </c>
      <c r="E994">
        <v>16</v>
      </c>
      <c r="F994" s="166">
        <v>492.5</v>
      </c>
      <c r="G994">
        <v>7880</v>
      </c>
    </row>
    <row r="995" spans="1:7">
      <c r="A995" t="s">
        <v>350</v>
      </c>
      <c r="B995" s="165">
        <v>41753</v>
      </c>
      <c r="C995" t="s">
        <v>355</v>
      </c>
      <c r="D995" t="s">
        <v>356</v>
      </c>
      <c r="E995">
        <v>2</v>
      </c>
      <c r="F995" s="166">
        <v>780</v>
      </c>
      <c r="G995">
        <v>1560</v>
      </c>
    </row>
    <row r="996" spans="1:7">
      <c r="A996" t="s">
        <v>350</v>
      </c>
      <c r="B996" s="165">
        <v>41753</v>
      </c>
      <c r="C996" t="s">
        <v>355</v>
      </c>
      <c r="D996" t="s">
        <v>356</v>
      </c>
      <c r="E996">
        <v>6</v>
      </c>
      <c r="F996" s="166">
        <v>525</v>
      </c>
      <c r="G996">
        <v>3150</v>
      </c>
    </row>
    <row r="997" spans="1:7">
      <c r="A997" t="s">
        <v>350</v>
      </c>
      <c r="B997" s="165">
        <v>41753</v>
      </c>
      <c r="C997" t="s">
        <v>355</v>
      </c>
      <c r="D997" t="s">
        <v>356</v>
      </c>
      <c r="E997">
        <v>9</v>
      </c>
      <c r="F997" s="166">
        <v>492.55555555555554</v>
      </c>
      <c r="G997">
        <v>4433</v>
      </c>
    </row>
    <row r="998" spans="1:7">
      <c r="A998" t="s">
        <v>350</v>
      </c>
      <c r="B998" s="165">
        <v>41753</v>
      </c>
      <c r="C998" t="s">
        <v>355</v>
      </c>
      <c r="D998" t="s">
        <v>356</v>
      </c>
      <c r="E998">
        <v>10</v>
      </c>
      <c r="F998" s="166">
        <v>492.5</v>
      </c>
      <c r="G998">
        <v>4925</v>
      </c>
    </row>
    <row r="999" spans="1:7">
      <c r="A999" t="s">
        <v>350</v>
      </c>
      <c r="B999" s="165">
        <v>41760</v>
      </c>
      <c r="C999" t="s">
        <v>355</v>
      </c>
      <c r="D999" t="s">
        <v>356</v>
      </c>
      <c r="E999">
        <v>2</v>
      </c>
      <c r="F999" s="166">
        <v>409</v>
      </c>
      <c r="G999">
        <v>818</v>
      </c>
    </row>
    <row r="1000" spans="1:7">
      <c r="A1000" t="s">
        <v>350</v>
      </c>
      <c r="B1000" s="165">
        <v>41760</v>
      </c>
      <c r="C1000" t="s">
        <v>355</v>
      </c>
      <c r="D1000" t="s">
        <v>356</v>
      </c>
      <c r="E1000">
        <v>2</v>
      </c>
      <c r="F1000" s="166">
        <v>675</v>
      </c>
      <c r="G1000">
        <v>1350</v>
      </c>
    </row>
    <row r="1001" spans="1:7">
      <c r="A1001" t="s">
        <v>350</v>
      </c>
      <c r="B1001" s="165">
        <v>41767</v>
      </c>
      <c r="C1001" t="s">
        <v>355</v>
      </c>
      <c r="D1001" t="s">
        <v>356</v>
      </c>
      <c r="E1001">
        <v>20</v>
      </c>
      <c r="F1001" s="166">
        <v>492.5</v>
      </c>
      <c r="G1001">
        <v>9850</v>
      </c>
    </row>
    <row r="1002" spans="1:7">
      <c r="A1002" t="s">
        <v>350</v>
      </c>
      <c r="B1002" s="165">
        <v>41767</v>
      </c>
      <c r="C1002" t="s">
        <v>355</v>
      </c>
      <c r="D1002" t="s">
        <v>356</v>
      </c>
      <c r="E1002">
        <v>18</v>
      </c>
      <c r="F1002" s="166">
        <v>550</v>
      </c>
      <c r="G1002">
        <v>9900</v>
      </c>
    </row>
    <row r="1003" spans="1:7">
      <c r="A1003" t="s">
        <v>350</v>
      </c>
      <c r="B1003" s="165">
        <v>41767</v>
      </c>
      <c r="C1003" t="s">
        <v>355</v>
      </c>
      <c r="D1003" t="s">
        <v>356</v>
      </c>
      <c r="E1003">
        <v>11</v>
      </c>
      <c r="F1003" s="166">
        <v>1048.5454545454545</v>
      </c>
      <c r="G1003">
        <v>11534</v>
      </c>
    </row>
    <row r="1004" spans="1:7">
      <c r="A1004" t="s">
        <v>350</v>
      </c>
      <c r="B1004" s="165">
        <v>41774</v>
      </c>
      <c r="C1004" t="s">
        <v>355</v>
      </c>
      <c r="D1004" t="s">
        <v>356</v>
      </c>
      <c r="E1004">
        <v>6</v>
      </c>
      <c r="F1004" s="166">
        <v>695</v>
      </c>
      <c r="G1004">
        <v>4170</v>
      </c>
    </row>
    <row r="1005" spans="1:7">
      <c r="A1005" t="s">
        <v>350</v>
      </c>
      <c r="B1005" s="165">
        <v>41774</v>
      </c>
      <c r="C1005" t="s">
        <v>355</v>
      </c>
      <c r="D1005" t="s">
        <v>356</v>
      </c>
      <c r="E1005">
        <v>20</v>
      </c>
      <c r="F1005" s="166">
        <v>575</v>
      </c>
      <c r="G1005">
        <v>11500</v>
      </c>
    </row>
    <row r="1006" spans="1:7">
      <c r="A1006" t="s">
        <v>350</v>
      </c>
      <c r="B1006" s="165">
        <v>41795</v>
      </c>
      <c r="C1006" t="s">
        <v>355</v>
      </c>
      <c r="D1006" t="s">
        <v>356</v>
      </c>
      <c r="E1006">
        <v>36</v>
      </c>
      <c r="F1006" s="166">
        <v>359</v>
      </c>
      <c r="G1006">
        <v>12924</v>
      </c>
    </row>
    <row r="1007" spans="1:7">
      <c r="A1007" t="s">
        <v>350</v>
      </c>
      <c r="B1007" s="165">
        <v>41810</v>
      </c>
      <c r="C1007" t="s">
        <v>355</v>
      </c>
      <c r="D1007" t="s">
        <v>356</v>
      </c>
      <c r="E1007">
        <v>21</v>
      </c>
      <c r="F1007" s="166">
        <v>1062.3809523809523</v>
      </c>
      <c r="G1007">
        <v>22310</v>
      </c>
    </row>
    <row r="1008" spans="1:7">
      <c r="A1008" t="s">
        <v>350</v>
      </c>
      <c r="B1008" s="165">
        <v>41816</v>
      </c>
      <c r="C1008" t="s">
        <v>355</v>
      </c>
      <c r="D1008" t="s">
        <v>356</v>
      </c>
      <c r="E1008">
        <v>12</v>
      </c>
      <c r="F1008" s="166">
        <v>320.25</v>
      </c>
      <c r="G1008">
        <v>3843</v>
      </c>
    </row>
    <row r="1009" spans="1:7">
      <c r="A1009" t="s">
        <v>350</v>
      </c>
      <c r="B1009" s="165">
        <v>41816</v>
      </c>
      <c r="C1009" t="s">
        <v>355</v>
      </c>
      <c r="D1009" t="s">
        <v>356</v>
      </c>
      <c r="E1009">
        <v>10</v>
      </c>
      <c r="F1009" s="166">
        <v>595</v>
      </c>
      <c r="G1009">
        <v>5950</v>
      </c>
    </row>
    <row r="1010" spans="1:7">
      <c r="A1010" t="s">
        <v>350</v>
      </c>
      <c r="B1010" s="165">
        <v>41816</v>
      </c>
      <c r="C1010" t="s">
        <v>355</v>
      </c>
      <c r="D1010" t="s">
        <v>356</v>
      </c>
      <c r="E1010">
        <v>12</v>
      </c>
      <c r="F1010" s="166">
        <v>501</v>
      </c>
      <c r="G1010">
        <v>6012</v>
      </c>
    </row>
    <row r="1011" spans="1:7">
      <c r="A1011" t="s">
        <v>350</v>
      </c>
      <c r="B1011" s="165">
        <v>41816</v>
      </c>
      <c r="C1011" t="s">
        <v>355</v>
      </c>
      <c r="D1011" t="s">
        <v>356</v>
      </c>
      <c r="E1011">
        <v>16</v>
      </c>
      <c r="F1011" s="166">
        <v>550</v>
      </c>
      <c r="G1011">
        <v>8800</v>
      </c>
    </row>
    <row r="1012" spans="1:7">
      <c r="A1012" t="s">
        <v>350</v>
      </c>
      <c r="B1012" s="165">
        <v>41823</v>
      </c>
      <c r="C1012" t="s">
        <v>355</v>
      </c>
      <c r="D1012" t="s">
        <v>356</v>
      </c>
      <c r="E1012">
        <v>2</v>
      </c>
      <c r="F1012" s="166">
        <v>480</v>
      </c>
      <c r="G1012">
        <v>960</v>
      </c>
    </row>
    <row r="1013" spans="1:7">
      <c r="A1013" t="s">
        <v>350</v>
      </c>
      <c r="B1013" s="165">
        <v>41823</v>
      </c>
      <c r="C1013" t="s">
        <v>355</v>
      </c>
      <c r="D1013" t="s">
        <v>356</v>
      </c>
      <c r="E1013">
        <v>2</v>
      </c>
      <c r="F1013" s="166">
        <v>648.5</v>
      </c>
      <c r="G1013">
        <v>1297</v>
      </c>
    </row>
    <row r="1014" spans="1:7">
      <c r="A1014" t="s">
        <v>350</v>
      </c>
      <c r="B1014" s="165">
        <v>41823</v>
      </c>
      <c r="C1014" t="s">
        <v>355</v>
      </c>
      <c r="D1014" t="s">
        <v>356</v>
      </c>
      <c r="E1014">
        <v>6</v>
      </c>
      <c r="F1014" s="166">
        <v>480</v>
      </c>
      <c r="G1014">
        <v>2880</v>
      </c>
    </row>
    <row r="1015" spans="1:7">
      <c r="A1015" t="s">
        <v>350</v>
      </c>
      <c r="B1015" s="165">
        <v>41823</v>
      </c>
      <c r="C1015" t="s">
        <v>355</v>
      </c>
      <c r="D1015" t="s">
        <v>356</v>
      </c>
      <c r="E1015">
        <v>6</v>
      </c>
      <c r="F1015" s="166">
        <v>641.66666666666663</v>
      </c>
      <c r="G1015">
        <v>3850</v>
      </c>
    </row>
    <row r="1016" spans="1:7">
      <c r="A1016" t="s">
        <v>350</v>
      </c>
      <c r="B1016" s="165">
        <v>41823</v>
      </c>
      <c r="C1016" t="s">
        <v>355</v>
      </c>
      <c r="D1016" t="s">
        <v>356</v>
      </c>
      <c r="E1016">
        <v>6</v>
      </c>
      <c r="F1016" s="166">
        <v>1034</v>
      </c>
      <c r="G1016">
        <v>6204</v>
      </c>
    </row>
    <row r="1017" spans="1:7">
      <c r="A1017" t="s">
        <v>350</v>
      </c>
      <c r="B1017" s="165">
        <v>41830</v>
      </c>
      <c r="C1017" t="s">
        <v>355</v>
      </c>
      <c r="D1017" t="s">
        <v>356</v>
      </c>
      <c r="E1017">
        <v>10</v>
      </c>
      <c r="F1017" s="166">
        <v>595</v>
      </c>
      <c r="G1017">
        <v>5950</v>
      </c>
    </row>
    <row r="1018" spans="1:7">
      <c r="A1018" t="s">
        <v>350</v>
      </c>
      <c r="B1018" s="165">
        <v>41830</v>
      </c>
      <c r="C1018" t="s">
        <v>355</v>
      </c>
      <c r="D1018" t="s">
        <v>356</v>
      </c>
      <c r="E1018">
        <v>24</v>
      </c>
      <c r="F1018" s="166">
        <v>406.33333333333331</v>
      </c>
      <c r="G1018">
        <v>9752</v>
      </c>
    </row>
    <row r="1019" spans="1:7">
      <c r="A1019" t="s">
        <v>350</v>
      </c>
      <c r="B1019" s="165">
        <v>41837</v>
      </c>
      <c r="C1019" t="s">
        <v>355</v>
      </c>
      <c r="D1019" t="s">
        <v>356</v>
      </c>
      <c r="E1019">
        <v>6</v>
      </c>
      <c r="F1019" s="166">
        <v>699</v>
      </c>
      <c r="G1019">
        <v>4194</v>
      </c>
    </row>
    <row r="1020" spans="1:7">
      <c r="A1020" t="s">
        <v>350</v>
      </c>
      <c r="B1020" s="165">
        <v>41837</v>
      </c>
      <c r="C1020" t="s">
        <v>355</v>
      </c>
      <c r="D1020" t="s">
        <v>356</v>
      </c>
      <c r="E1020">
        <v>17</v>
      </c>
      <c r="F1020" s="166">
        <v>471.94117647058823</v>
      </c>
      <c r="G1020">
        <v>8023</v>
      </c>
    </row>
    <row r="1021" spans="1:7">
      <c r="A1021" t="s">
        <v>350</v>
      </c>
      <c r="B1021" s="165">
        <v>41851</v>
      </c>
      <c r="C1021" t="s">
        <v>355</v>
      </c>
      <c r="D1021" t="s">
        <v>356</v>
      </c>
      <c r="E1021">
        <v>5</v>
      </c>
      <c r="F1021" s="166">
        <v>570</v>
      </c>
      <c r="G1021">
        <v>2850</v>
      </c>
    </row>
    <row r="1022" spans="1:7">
      <c r="A1022" t="s">
        <v>350</v>
      </c>
      <c r="B1022" s="165">
        <v>41851</v>
      </c>
      <c r="C1022" t="s">
        <v>355</v>
      </c>
      <c r="D1022" t="s">
        <v>356</v>
      </c>
      <c r="E1022">
        <v>8</v>
      </c>
      <c r="F1022" s="166">
        <v>539.125</v>
      </c>
      <c r="G1022">
        <v>4313</v>
      </c>
    </row>
    <row r="1023" spans="1:7">
      <c r="A1023" t="s">
        <v>350</v>
      </c>
      <c r="B1023" s="165">
        <v>41851</v>
      </c>
      <c r="C1023" t="s">
        <v>355</v>
      </c>
      <c r="D1023" t="s">
        <v>356</v>
      </c>
      <c r="E1023">
        <v>12</v>
      </c>
      <c r="F1023" s="166">
        <v>439.58333333333331</v>
      </c>
      <c r="G1023">
        <v>5275</v>
      </c>
    </row>
    <row r="1024" spans="1:7">
      <c r="A1024" t="s">
        <v>350</v>
      </c>
      <c r="B1024" s="165">
        <v>41851</v>
      </c>
      <c r="C1024" t="s">
        <v>355</v>
      </c>
      <c r="D1024" t="s">
        <v>356</v>
      </c>
      <c r="E1024">
        <v>12</v>
      </c>
      <c r="F1024" s="166">
        <v>550</v>
      </c>
      <c r="G1024">
        <v>6600</v>
      </c>
    </row>
    <row r="1025" spans="1:7">
      <c r="A1025" t="s">
        <v>350</v>
      </c>
      <c r="B1025" s="165">
        <v>41851</v>
      </c>
      <c r="C1025" t="s">
        <v>355</v>
      </c>
      <c r="D1025" t="s">
        <v>356</v>
      </c>
      <c r="E1025">
        <v>12</v>
      </c>
      <c r="F1025" s="166">
        <v>554.16666666666663</v>
      </c>
      <c r="G1025">
        <v>6650</v>
      </c>
    </row>
    <row r="1026" spans="1:7">
      <c r="A1026" t="s">
        <v>350</v>
      </c>
      <c r="B1026" s="165">
        <v>41851</v>
      </c>
      <c r="C1026" t="s">
        <v>355</v>
      </c>
      <c r="D1026" t="s">
        <v>356</v>
      </c>
      <c r="E1026">
        <v>13</v>
      </c>
      <c r="F1026" s="166">
        <v>605.76923076923072</v>
      </c>
      <c r="G1026">
        <v>7875</v>
      </c>
    </row>
    <row r="1027" spans="1:7">
      <c r="A1027" t="s">
        <v>350</v>
      </c>
      <c r="B1027" s="165">
        <v>41851</v>
      </c>
      <c r="C1027" t="s">
        <v>355</v>
      </c>
      <c r="D1027" t="s">
        <v>356</v>
      </c>
      <c r="E1027">
        <v>21</v>
      </c>
      <c r="F1027" s="166">
        <v>384.76190476190476</v>
      </c>
      <c r="G1027">
        <v>8080</v>
      </c>
    </row>
    <row r="1028" spans="1:7">
      <c r="A1028" t="s">
        <v>350</v>
      </c>
      <c r="B1028" s="165">
        <v>41851</v>
      </c>
      <c r="C1028" t="s">
        <v>355</v>
      </c>
      <c r="D1028" t="s">
        <v>356</v>
      </c>
      <c r="E1028">
        <v>13</v>
      </c>
      <c r="F1028" s="166">
        <v>830</v>
      </c>
      <c r="G1028">
        <v>10790</v>
      </c>
    </row>
    <row r="1029" spans="1:7">
      <c r="A1029" t="s">
        <v>350</v>
      </c>
      <c r="B1029" s="165">
        <v>41851</v>
      </c>
      <c r="C1029" t="s">
        <v>355</v>
      </c>
      <c r="D1029" t="s">
        <v>356</v>
      </c>
      <c r="E1029">
        <v>8</v>
      </c>
      <c r="F1029" s="166">
        <v>1423.5</v>
      </c>
      <c r="G1029">
        <v>11388</v>
      </c>
    </row>
    <row r="1030" spans="1:7">
      <c r="A1030" t="s">
        <v>350</v>
      </c>
      <c r="B1030" s="165">
        <v>41851</v>
      </c>
      <c r="C1030" t="s">
        <v>355</v>
      </c>
      <c r="D1030" t="s">
        <v>356</v>
      </c>
      <c r="E1030">
        <v>20</v>
      </c>
      <c r="F1030" s="166">
        <v>595</v>
      </c>
      <c r="G1030">
        <v>11900</v>
      </c>
    </row>
    <row r="1031" spans="1:7">
      <c r="A1031" t="s">
        <v>350</v>
      </c>
      <c r="B1031" s="165">
        <v>41858</v>
      </c>
      <c r="C1031" t="s">
        <v>355</v>
      </c>
      <c r="D1031" t="s">
        <v>356</v>
      </c>
      <c r="E1031">
        <v>10</v>
      </c>
      <c r="F1031" s="166">
        <v>301</v>
      </c>
      <c r="G1031">
        <v>3010</v>
      </c>
    </row>
    <row r="1032" spans="1:7">
      <c r="A1032" t="s">
        <v>350</v>
      </c>
      <c r="B1032" s="165">
        <v>41858</v>
      </c>
      <c r="C1032" t="s">
        <v>355</v>
      </c>
      <c r="D1032" t="s">
        <v>356</v>
      </c>
      <c r="E1032">
        <v>12</v>
      </c>
      <c r="F1032" s="166">
        <v>536.08333333333337</v>
      </c>
      <c r="G1032">
        <v>6433</v>
      </c>
    </row>
    <row r="1033" spans="1:7">
      <c r="A1033" t="s">
        <v>350</v>
      </c>
      <c r="B1033" s="165">
        <v>41872</v>
      </c>
      <c r="C1033" t="s">
        <v>355</v>
      </c>
      <c r="D1033" t="s">
        <v>356</v>
      </c>
      <c r="E1033">
        <v>11</v>
      </c>
      <c r="F1033" s="166">
        <v>985</v>
      </c>
      <c r="G1033">
        <v>10835</v>
      </c>
    </row>
    <row r="1034" spans="1:7">
      <c r="A1034" t="s">
        <v>350</v>
      </c>
      <c r="B1034" s="165">
        <v>41872</v>
      </c>
      <c r="C1034" t="s">
        <v>355</v>
      </c>
      <c r="D1034" t="s">
        <v>356</v>
      </c>
      <c r="E1034">
        <v>18</v>
      </c>
      <c r="F1034" s="166">
        <v>957.72222222222217</v>
      </c>
      <c r="G1034">
        <v>17239</v>
      </c>
    </row>
    <row r="1035" spans="1:7">
      <c r="A1035" t="s">
        <v>350</v>
      </c>
      <c r="B1035" s="165">
        <v>41879</v>
      </c>
      <c r="C1035" t="s">
        <v>355</v>
      </c>
      <c r="D1035" t="s">
        <v>356</v>
      </c>
      <c r="E1035">
        <v>20</v>
      </c>
      <c r="F1035" s="166">
        <v>497</v>
      </c>
      <c r="G1035">
        <v>9940</v>
      </c>
    </row>
    <row r="1036" spans="1:7">
      <c r="A1036" t="s">
        <v>350</v>
      </c>
      <c r="B1036" s="165">
        <v>41900</v>
      </c>
      <c r="C1036" t="s">
        <v>355</v>
      </c>
      <c r="D1036" t="s">
        <v>356</v>
      </c>
      <c r="E1036">
        <v>5</v>
      </c>
      <c r="F1036" s="166">
        <v>1245</v>
      </c>
      <c r="G1036">
        <v>6225</v>
      </c>
    </row>
    <row r="1037" spans="1:7">
      <c r="A1037" t="s">
        <v>350</v>
      </c>
      <c r="B1037" s="165">
        <v>41900</v>
      </c>
      <c r="C1037" t="s">
        <v>355</v>
      </c>
      <c r="D1037" t="s">
        <v>356</v>
      </c>
      <c r="E1037">
        <v>15</v>
      </c>
      <c r="F1037" s="166">
        <v>536.33333333333337</v>
      </c>
      <c r="G1037">
        <v>8045</v>
      </c>
    </row>
    <row r="1038" spans="1:7">
      <c r="A1038" t="s">
        <v>350</v>
      </c>
      <c r="B1038" s="165">
        <v>41900</v>
      </c>
      <c r="C1038" t="s">
        <v>355</v>
      </c>
      <c r="D1038" t="s">
        <v>356</v>
      </c>
      <c r="E1038">
        <v>7</v>
      </c>
      <c r="F1038" s="166">
        <v>1245</v>
      </c>
      <c r="G1038">
        <v>8715</v>
      </c>
    </row>
    <row r="1039" spans="1:7">
      <c r="A1039" t="s">
        <v>350</v>
      </c>
      <c r="B1039" s="165">
        <v>41900</v>
      </c>
      <c r="C1039" t="s">
        <v>355</v>
      </c>
      <c r="D1039" t="s">
        <v>356</v>
      </c>
      <c r="E1039">
        <v>10</v>
      </c>
      <c r="F1039" s="166">
        <v>1169.0999999999999</v>
      </c>
      <c r="G1039">
        <v>11691</v>
      </c>
    </row>
    <row r="1040" spans="1:7">
      <c r="A1040" t="s">
        <v>350</v>
      </c>
      <c r="B1040" s="165">
        <v>41900</v>
      </c>
      <c r="C1040" t="s">
        <v>355</v>
      </c>
      <c r="D1040" t="s">
        <v>356</v>
      </c>
      <c r="E1040">
        <v>20</v>
      </c>
      <c r="F1040" s="166">
        <v>610</v>
      </c>
      <c r="G1040">
        <v>12200</v>
      </c>
    </row>
    <row r="1041" spans="1:7">
      <c r="A1041" t="s">
        <v>350</v>
      </c>
      <c r="B1041" s="165">
        <v>41907</v>
      </c>
      <c r="C1041" t="s">
        <v>355</v>
      </c>
      <c r="D1041" t="s">
        <v>356</v>
      </c>
      <c r="E1041">
        <v>4</v>
      </c>
      <c r="F1041" s="166">
        <v>445</v>
      </c>
      <c r="G1041">
        <v>1780</v>
      </c>
    </row>
    <row r="1042" spans="1:7">
      <c r="A1042" t="s">
        <v>350</v>
      </c>
      <c r="B1042" s="165">
        <v>41907</v>
      </c>
      <c r="C1042" t="s">
        <v>355</v>
      </c>
      <c r="D1042" t="s">
        <v>356</v>
      </c>
      <c r="E1042">
        <v>4</v>
      </c>
      <c r="F1042" s="166">
        <v>700</v>
      </c>
      <c r="G1042">
        <v>2800</v>
      </c>
    </row>
    <row r="1043" spans="1:7">
      <c r="A1043" t="s">
        <v>350</v>
      </c>
      <c r="B1043" s="165">
        <v>41907</v>
      </c>
      <c r="C1043" t="s">
        <v>355</v>
      </c>
      <c r="D1043" t="s">
        <v>356</v>
      </c>
      <c r="E1043">
        <v>6</v>
      </c>
      <c r="F1043" s="166">
        <v>680</v>
      </c>
      <c r="G1043">
        <v>4080</v>
      </c>
    </row>
    <row r="1044" spans="1:7">
      <c r="A1044" t="s">
        <v>350</v>
      </c>
      <c r="B1044" s="165">
        <v>41907</v>
      </c>
      <c r="C1044" t="s">
        <v>355</v>
      </c>
      <c r="D1044" t="s">
        <v>356</v>
      </c>
      <c r="E1044">
        <v>4</v>
      </c>
      <c r="F1044" s="166">
        <v>1245</v>
      </c>
      <c r="G1044">
        <v>4980</v>
      </c>
    </row>
    <row r="1045" spans="1:7">
      <c r="A1045" t="s">
        <v>350</v>
      </c>
      <c r="B1045" s="165">
        <v>41907</v>
      </c>
      <c r="C1045" t="s">
        <v>355</v>
      </c>
      <c r="D1045" t="s">
        <v>356</v>
      </c>
      <c r="E1045">
        <v>17</v>
      </c>
      <c r="F1045" s="166">
        <v>486.76470588235293</v>
      </c>
      <c r="G1045">
        <v>8275</v>
      </c>
    </row>
    <row r="1046" spans="1:7">
      <c r="A1046" t="s">
        <v>350</v>
      </c>
      <c r="B1046" s="165">
        <v>41921</v>
      </c>
      <c r="C1046" t="s">
        <v>355</v>
      </c>
      <c r="D1046" t="s">
        <v>356</v>
      </c>
      <c r="E1046">
        <v>3</v>
      </c>
      <c r="F1046" s="166">
        <v>544</v>
      </c>
      <c r="G1046">
        <v>1632</v>
      </c>
    </row>
    <row r="1047" spans="1:7">
      <c r="A1047" t="s">
        <v>350</v>
      </c>
      <c r="B1047" s="165">
        <v>41921</v>
      </c>
      <c r="C1047" t="s">
        <v>355</v>
      </c>
      <c r="D1047" t="s">
        <v>356</v>
      </c>
      <c r="E1047">
        <v>7</v>
      </c>
      <c r="F1047" s="166">
        <v>1245</v>
      </c>
      <c r="G1047">
        <v>8715</v>
      </c>
    </row>
    <row r="1048" spans="1:7">
      <c r="A1048" t="s">
        <v>350</v>
      </c>
      <c r="B1048" s="165">
        <v>41936</v>
      </c>
      <c r="C1048" t="s">
        <v>355</v>
      </c>
      <c r="D1048" t="s">
        <v>356</v>
      </c>
      <c r="E1048">
        <v>4</v>
      </c>
      <c r="F1048" s="166">
        <v>750</v>
      </c>
      <c r="G1048">
        <v>3000</v>
      </c>
    </row>
    <row r="1049" spans="1:7">
      <c r="A1049" t="s">
        <v>350</v>
      </c>
      <c r="B1049" s="165">
        <v>41936</v>
      </c>
      <c r="C1049" t="s">
        <v>355</v>
      </c>
      <c r="D1049" t="s">
        <v>356</v>
      </c>
      <c r="E1049">
        <v>8</v>
      </c>
      <c r="F1049" s="166">
        <v>381.375</v>
      </c>
      <c r="G1049">
        <v>3051</v>
      </c>
    </row>
    <row r="1050" spans="1:7">
      <c r="A1050" t="s">
        <v>350</v>
      </c>
      <c r="B1050" s="165">
        <v>41936</v>
      </c>
      <c r="C1050" t="s">
        <v>355</v>
      </c>
      <c r="D1050" t="s">
        <v>356</v>
      </c>
      <c r="E1050">
        <v>11</v>
      </c>
      <c r="F1050" s="166">
        <v>412</v>
      </c>
      <c r="G1050">
        <v>4532</v>
      </c>
    </row>
    <row r="1051" spans="1:7">
      <c r="A1051" t="s">
        <v>350</v>
      </c>
      <c r="B1051" s="165">
        <v>41936</v>
      </c>
      <c r="C1051" t="s">
        <v>355</v>
      </c>
      <c r="D1051" t="s">
        <v>356</v>
      </c>
      <c r="E1051">
        <v>12</v>
      </c>
      <c r="F1051" s="166">
        <v>414.41666666666669</v>
      </c>
      <c r="G1051">
        <v>4973</v>
      </c>
    </row>
    <row r="1052" spans="1:7">
      <c r="A1052" t="s">
        <v>350</v>
      </c>
      <c r="B1052" s="165">
        <v>41936</v>
      </c>
      <c r="C1052" t="s">
        <v>355</v>
      </c>
      <c r="D1052" t="s">
        <v>356</v>
      </c>
      <c r="E1052">
        <v>12</v>
      </c>
      <c r="F1052" s="166">
        <v>414.41666666666669</v>
      </c>
      <c r="G1052">
        <v>4973</v>
      </c>
    </row>
    <row r="1053" spans="1:7">
      <c r="A1053" t="s">
        <v>350</v>
      </c>
      <c r="B1053" s="165">
        <v>41943</v>
      </c>
      <c r="C1053" t="s">
        <v>355</v>
      </c>
      <c r="D1053" t="s">
        <v>356</v>
      </c>
      <c r="E1053">
        <v>2</v>
      </c>
      <c r="F1053" s="166">
        <v>815</v>
      </c>
      <c r="G1053">
        <v>1630</v>
      </c>
    </row>
    <row r="1054" spans="1:7">
      <c r="A1054" t="s">
        <v>350</v>
      </c>
      <c r="B1054" s="165">
        <v>41943</v>
      </c>
      <c r="C1054" t="s">
        <v>355</v>
      </c>
      <c r="D1054" t="s">
        <v>356</v>
      </c>
      <c r="E1054">
        <v>15</v>
      </c>
      <c r="F1054" s="166">
        <v>299</v>
      </c>
      <c r="G1054">
        <v>4485</v>
      </c>
    </row>
    <row r="1055" spans="1:7">
      <c r="A1055" t="s">
        <v>350</v>
      </c>
      <c r="B1055" s="165">
        <v>41943</v>
      </c>
      <c r="C1055" t="s">
        <v>355</v>
      </c>
      <c r="D1055" t="s">
        <v>356</v>
      </c>
      <c r="E1055">
        <v>12</v>
      </c>
      <c r="F1055" s="166">
        <v>434.58333333333331</v>
      </c>
      <c r="G1055">
        <v>5215</v>
      </c>
    </row>
    <row r="1056" spans="1:7">
      <c r="A1056" t="s">
        <v>350</v>
      </c>
      <c r="B1056" s="165">
        <v>41943</v>
      </c>
      <c r="C1056" t="s">
        <v>355</v>
      </c>
      <c r="D1056" t="s">
        <v>356</v>
      </c>
      <c r="E1056">
        <v>12</v>
      </c>
      <c r="F1056" s="166">
        <v>445.08333333333331</v>
      </c>
      <c r="G1056">
        <v>5341</v>
      </c>
    </row>
    <row r="1057" spans="1:7">
      <c r="A1057" t="s">
        <v>350</v>
      </c>
      <c r="B1057" s="165">
        <v>41943</v>
      </c>
      <c r="C1057" t="s">
        <v>355</v>
      </c>
      <c r="D1057" t="s">
        <v>356</v>
      </c>
      <c r="E1057">
        <v>16</v>
      </c>
      <c r="F1057" s="166">
        <v>446.4375</v>
      </c>
      <c r="G1057">
        <v>7143</v>
      </c>
    </row>
    <row r="1058" spans="1:7">
      <c r="A1058" t="s">
        <v>350</v>
      </c>
      <c r="B1058" s="165">
        <v>41943</v>
      </c>
      <c r="C1058" t="s">
        <v>355</v>
      </c>
      <c r="D1058" t="s">
        <v>356</v>
      </c>
      <c r="E1058">
        <v>24</v>
      </c>
      <c r="F1058" s="166">
        <v>438.70833333333331</v>
      </c>
      <c r="G1058">
        <v>10529</v>
      </c>
    </row>
    <row r="1059" spans="1:7">
      <c r="A1059" t="s">
        <v>350</v>
      </c>
      <c r="B1059" s="165">
        <v>41943</v>
      </c>
      <c r="C1059" t="s">
        <v>355</v>
      </c>
      <c r="D1059" t="s">
        <v>356</v>
      </c>
      <c r="E1059">
        <v>24</v>
      </c>
      <c r="F1059" s="166">
        <v>445</v>
      </c>
      <c r="G1059">
        <v>10680</v>
      </c>
    </row>
    <row r="1060" spans="1:7">
      <c r="A1060" t="s">
        <v>350</v>
      </c>
      <c r="B1060" s="165">
        <v>41949</v>
      </c>
      <c r="C1060" t="s">
        <v>355</v>
      </c>
      <c r="D1060" t="s">
        <v>356</v>
      </c>
      <c r="E1060">
        <v>11</v>
      </c>
      <c r="F1060" s="166">
        <v>402.27272727272725</v>
      </c>
      <c r="G1060">
        <v>4425</v>
      </c>
    </row>
    <row r="1061" spans="1:7">
      <c r="A1061" t="s">
        <v>350</v>
      </c>
      <c r="B1061" s="165">
        <v>41949</v>
      </c>
      <c r="C1061" t="s">
        <v>355</v>
      </c>
      <c r="D1061" t="s">
        <v>356</v>
      </c>
      <c r="E1061">
        <v>12</v>
      </c>
      <c r="F1061" s="166">
        <v>446.41666666666669</v>
      </c>
      <c r="G1061">
        <v>5357</v>
      </c>
    </row>
    <row r="1062" spans="1:7">
      <c r="A1062" t="s">
        <v>350</v>
      </c>
      <c r="B1062" s="165">
        <v>41949</v>
      </c>
      <c r="C1062" t="s">
        <v>355</v>
      </c>
      <c r="D1062" t="s">
        <v>356</v>
      </c>
      <c r="E1062">
        <v>7</v>
      </c>
      <c r="F1062" s="166">
        <v>1245</v>
      </c>
      <c r="G1062">
        <v>8715</v>
      </c>
    </row>
    <row r="1063" spans="1:7">
      <c r="A1063" t="s">
        <v>350</v>
      </c>
      <c r="B1063" s="165">
        <v>41949</v>
      </c>
      <c r="C1063" t="s">
        <v>355</v>
      </c>
      <c r="D1063" t="s">
        <v>356</v>
      </c>
      <c r="E1063">
        <v>33</v>
      </c>
      <c r="F1063" s="166">
        <v>912.39393939393938</v>
      </c>
      <c r="G1063">
        <v>30109</v>
      </c>
    </row>
    <row r="1064" spans="1:7">
      <c r="A1064" t="s">
        <v>350</v>
      </c>
      <c r="B1064" s="165">
        <v>41957</v>
      </c>
      <c r="C1064" t="s">
        <v>355</v>
      </c>
      <c r="D1064" t="s">
        <v>356</v>
      </c>
      <c r="E1064">
        <v>2</v>
      </c>
      <c r="F1064" s="166">
        <v>360</v>
      </c>
      <c r="G1064">
        <v>720</v>
      </c>
    </row>
    <row r="1065" spans="1:7">
      <c r="A1065" t="s">
        <v>350</v>
      </c>
      <c r="B1065" s="165">
        <v>41957</v>
      </c>
      <c r="C1065" t="s">
        <v>355</v>
      </c>
      <c r="D1065" t="s">
        <v>356</v>
      </c>
      <c r="E1065">
        <v>4</v>
      </c>
      <c r="F1065" s="166">
        <v>556.75</v>
      </c>
      <c r="G1065">
        <v>2227</v>
      </c>
    </row>
    <row r="1066" spans="1:7">
      <c r="A1066" t="s">
        <v>350</v>
      </c>
      <c r="B1066" s="165">
        <v>41957</v>
      </c>
      <c r="C1066" t="s">
        <v>355</v>
      </c>
      <c r="D1066" t="s">
        <v>356</v>
      </c>
      <c r="E1066">
        <v>8</v>
      </c>
      <c r="F1066" s="166">
        <v>556.625</v>
      </c>
      <c r="G1066">
        <v>4453</v>
      </c>
    </row>
    <row r="1067" spans="1:7">
      <c r="A1067" t="s">
        <v>350</v>
      </c>
      <c r="B1067" s="165">
        <v>41957</v>
      </c>
      <c r="C1067" t="s">
        <v>355</v>
      </c>
      <c r="D1067" t="s">
        <v>356</v>
      </c>
      <c r="E1067">
        <v>8</v>
      </c>
      <c r="F1067" s="166">
        <v>556.625</v>
      </c>
      <c r="G1067">
        <v>4453</v>
      </c>
    </row>
    <row r="1068" spans="1:7">
      <c r="A1068" t="s">
        <v>350</v>
      </c>
      <c r="B1068" s="165">
        <v>41957</v>
      </c>
      <c r="C1068" t="s">
        <v>355</v>
      </c>
      <c r="D1068" t="s">
        <v>356</v>
      </c>
      <c r="E1068">
        <v>8</v>
      </c>
      <c r="F1068" s="166">
        <v>556.625</v>
      </c>
      <c r="G1068">
        <v>4453</v>
      </c>
    </row>
    <row r="1069" spans="1:7">
      <c r="A1069" t="s">
        <v>350</v>
      </c>
      <c r="B1069" s="165">
        <v>41957</v>
      </c>
      <c r="C1069" t="s">
        <v>355</v>
      </c>
      <c r="D1069" t="s">
        <v>356</v>
      </c>
      <c r="E1069">
        <v>16</v>
      </c>
      <c r="F1069" s="166">
        <v>550</v>
      </c>
      <c r="G1069">
        <v>8800</v>
      </c>
    </row>
    <row r="1070" spans="1:7">
      <c r="A1070" t="s">
        <v>350</v>
      </c>
      <c r="B1070" s="165">
        <v>41963</v>
      </c>
      <c r="C1070" t="s">
        <v>355</v>
      </c>
      <c r="D1070" t="s">
        <v>356</v>
      </c>
      <c r="E1070">
        <v>1</v>
      </c>
      <c r="F1070" s="166">
        <v>500</v>
      </c>
      <c r="G1070">
        <v>500</v>
      </c>
    </row>
    <row r="1071" spans="1:7">
      <c r="A1071" t="s">
        <v>350</v>
      </c>
      <c r="B1071" s="165">
        <v>41963</v>
      </c>
      <c r="C1071" t="s">
        <v>355</v>
      </c>
      <c r="D1071" t="s">
        <v>356</v>
      </c>
      <c r="E1071">
        <v>2</v>
      </c>
      <c r="F1071" s="166">
        <v>650</v>
      </c>
      <c r="G1071">
        <v>1300</v>
      </c>
    </row>
    <row r="1072" spans="1:7">
      <c r="A1072" t="s">
        <v>350</v>
      </c>
      <c r="B1072" s="165">
        <v>41963</v>
      </c>
      <c r="C1072" t="s">
        <v>355</v>
      </c>
      <c r="D1072" t="s">
        <v>356</v>
      </c>
      <c r="E1072">
        <v>6</v>
      </c>
      <c r="F1072" s="166">
        <v>390</v>
      </c>
      <c r="G1072">
        <v>2340</v>
      </c>
    </row>
    <row r="1073" spans="1:7">
      <c r="A1073" t="s">
        <v>350</v>
      </c>
      <c r="B1073" s="165">
        <v>41963</v>
      </c>
      <c r="C1073" t="s">
        <v>355</v>
      </c>
      <c r="D1073" t="s">
        <v>356</v>
      </c>
      <c r="E1073">
        <v>7</v>
      </c>
      <c r="F1073" s="166">
        <v>482.71428571428572</v>
      </c>
      <c r="G1073">
        <v>3379</v>
      </c>
    </row>
    <row r="1074" spans="1:7">
      <c r="A1074" t="s">
        <v>350</v>
      </c>
      <c r="B1074" s="165">
        <v>41963</v>
      </c>
      <c r="C1074" t="s">
        <v>355</v>
      </c>
      <c r="D1074" t="s">
        <v>356</v>
      </c>
      <c r="E1074">
        <v>16</v>
      </c>
      <c r="F1074" s="166">
        <v>385</v>
      </c>
      <c r="G1074">
        <v>6160</v>
      </c>
    </row>
    <row r="1075" spans="1:7">
      <c r="A1075" t="s">
        <v>350</v>
      </c>
      <c r="B1075" s="165">
        <v>41963</v>
      </c>
      <c r="C1075" t="s">
        <v>355</v>
      </c>
      <c r="D1075" t="s">
        <v>356</v>
      </c>
      <c r="E1075">
        <v>16</v>
      </c>
      <c r="F1075" s="166">
        <v>466</v>
      </c>
      <c r="G1075">
        <v>7456</v>
      </c>
    </row>
    <row r="1076" spans="1:7">
      <c r="A1076" t="s">
        <v>350</v>
      </c>
      <c r="B1076" s="165">
        <v>41977</v>
      </c>
      <c r="C1076" t="s">
        <v>355</v>
      </c>
      <c r="D1076" t="s">
        <v>356</v>
      </c>
      <c r="E1076">
        <v>9</v>
      </c>
      <c r="F1076" s="166">
        <v>1144.4444444444443</v>
      </c>
      <c r="G1076">
        <v>10300</v>
      </c>
    </row>
    <row r="1077" spans="1:7">
      <c r="A1077" t="s">
        <v>350</v>
      </c>
      <c r="B1077" s="165">
        <v>41991</v>
      </c>
      <c r="C1077" t="s">
        <v>355</v>
      </c>
      <c r="D1077" t="s">
        <v>356</v>
      </c>
      <c r="E1077">
        <v>3</v>
      </c>
      <c r="F1077" s="166">
        <v>815</v>
      </c>
      <c r="G1077">
        <v>2445</v>
      </c>
    </row>
    <row r="1078" spans="1:7">
      <c r="A1078" t="s">
        <v>350</v>
      </c>
      <c r="B1078" s="165">
        <v>41991</v>
      </c>
      <c r="C1078" t="s">
        <v>355</v>
      </c>
      <c r="D1078" t="s">
        <v>356</v>
      </c>
      <c r="E1078">
        <v>6</v>
      </c>
      <c r="F1078" s="166">
        <v>839.16666666666663</v>
      </c>
      <c r="G1078">
        <v>5035</v>
      </c>
    </row>
    <row r="1079" spans="1:7">
      <c r="A1079" t="s">
        <v>350</v>
      </c>
      <c r="B1079" s="165">
        <v>41999</v>
      </c>
      <c r="C1079" t="s">
        <v>355</v>
      </c>
      <c r="D1079" t="s">
        <v>356</v>
      </c>
      <c r="E1079">
        <v>3</v>
      </c>
      <c r="F1079" s="166">
        <v>700</v>
      </c>
      <c r="G1079">
        <v>2100</v>
      </c>
    </row>
    <row r="1080" spans="1:7">
      <c r="A1080" t="s">
        <v>350</v>
      </c>
      <c r="B1080" s="165">
        <v>41999</v>
      </c>
      <c r="C1080" t="s">
        <v>355</v>
      </c>
      <c r="D1080" t="s">
        <v>356</v>
      </c>
      <c r="E1080">
        <v>4</v>
      </c>
      <c r="F1080" s="166">
        <v>642</v>
      </c>
      <c r="G1080">
        <v>2568</v>
      </c>
    </row>
    <row r="1081" spans="1:7">
      <c r="A1081" t="s">
        <v>350</v>
      </c>
      <c r="B1081" s="165">
        <v>41999</v>
      </c>
      <c r="C1081" t="s">
        <v>355</v>
      </c>
      <c r="D1081" t="s">
        <v>356</v>
      </c>
      <c r="E1081">
        <v>6</v>
      </c>
      <c r="F1081" s="166">
        <v>528</v>
      </c>
      <c r="G1081">
        <v>3168</v>
      </c>
    </row>
    <row r="1082" spans="1:7">
      <c r="A1082" t="s">
        <v>350</v>
      </c>
      <c r="B1082" s="165">
        <v>41999</v>
      </c>
      <c r="C1082" t="s">
        <v>355</v>
      </c>
      <c r="D1082" t="s">
        <v>356</v>
      </c>
      <c r="E1082">
        <v>13</v>
      </c>
      <c r="F1082" s="166">
        <v>666.46153846153845</v>
      </c>
      <c r="G1082">
        <v>8664</v>
      </c>
    </row>
    <row r="1083" spans="1:7">
      <c r="A1083" t="s">
        <v>350</v>
      </c>
      <c r="B1083" s="165">
        <v>42004</v>
      </c>
      <c r="C1083" t="s">
        <v>355</v>
      </c>
      <c r="D1083" t="s">
        <v>356</v>
      </c>
      <c r="E1083">
        <v>2</v>
      </c>
      <c r="F1083" s="166">
        <v>596</v>
      </c>
      <c r="G1083">
        <v>1192</v>
      </c>
    </row>
    <row r="1084" spans="1:7">
      <c r="A1084" t="s">
        <v>350</v>
      </c>
      <c r="B1084" s="165">
        <v>42004</v>
      </c>
      <c r="C1084" t="s">
        <v>355</v>
      </c>
      <c r="D1084" t="s">
        <v>356</v>
      </c>
      <c r="E1084">
        <v>3</v>
      </c>
      <c r="F1084" s="166">
        <v>798</v>
      </c>
      <c r="G1084">
        <v>2394</v>
      </c>
    </row>
    <row r="1085" spans="1:7">
      <c r="A1085" t="s">
        <v>350</v>
      </c>
      <c r="B1085" s="165">
        <v>42004</v>
      </c>
      <c r="C1085" t="s">
        <v>355</v>
      </c>
      <c r="D1085" t="s">
        <v>356</v>
      </c>
      <c r="E1085">
        <v>4</v>
      </c>
      <c r="F1085" s="166">
        <v>910</v>
      </c>
      <c r="G1085">
        <v>3640</v>
      </c>
    </row>
    <row r="1086" spans="1:7">
      <c r="A1086" t="s">
        <v>350</v>
      </c>
      <c r="B1086" s="165">
        <v>42004</v>
      </c>
      <c r="C1086" t="s">
        <v>355</v>
      </c>
      <c r="D1086" t="s">
        <v>356</v>
      </c>
      <c r="E1086">
        <v>6</v>
      </c>
      <c r="F1086" s="166">
        <v>620</v>
      </c>
      <c r="G1086">
        <v>3720</v>
      </c>
    </row>
    <row r="1087" spans="1:7">
      <c r="A1087" t="s">
        <v>350</v>
      </c>
      <c r="B1087" s="165">
        <v>42004</v>
      </c>
      <c r="C1087" t="s">
        <v>355</v>
      </c>
      <c r="D1087" t="s">
        <v>356</v>
      </c>
      <c r="E1087">
        <v>9</v>
      </c>
      <c r="F1087" s="166">
        <v>486</v>
      </c>
      <c r="G1087">
        <v>4374</v>
      </c>
    </row>
    <row r="1088" spans="1:7">
      <c r="A1088" t="s">
        <v>350</v>
      </c>
      <c r="B1088" s="165">
        <v>42004</v>
      </c>
      <c r="C1088" t="s">
        <v>355</v>
      </c>
      <c r="D1088" t="s">
        <v>356</v>
      </c>
      <c r="E1088">
        <v>5</v>
      </c>
      <c r="F1088" s="166">
        <v>1200</v>
      </c>
      <c r="G1088">
        <v>6000</v>
      </c>
    </row>
    <row r="1089" spans="1:7">
      <c r="A1089" t="s">
        <v>350</v>
      </c>
      <c r="B1089" s="165">
        <v>42004</v>
      </c>
      <c r="C1089" t="s">
        <v>355</v>
      </c>
      <c r="D1089" t="s">
        <v>356</v>
      </c>
      <c r="E1089">
        <v>7</v>
      </c>
      <c r="F1089" s="166">
        <v>865</v>
      </c>
      <c r="G1089">
        <v>6055</v>
      </c>
    </row>
    <row r="1090" spans="1:7">
      <c r="A1090" t="s">
        <v>350</v>
      </c>
      <c r="B1090" s="165">
        <v>42004</v>
      </c>
      <c r="C1090" t="s">
        <v>355</v>
      </c>
      <c r="D1090" t="s">
        <v>356</v>
      </c>
      <c r="E1090">
        <v>4</v>
      </c>
      <c r="F1090" s="166">
        <v>1547</v>
      </c>
      <c r="G1090">
        <v>6188</v>
      </c>
    </row>
    <row r="1091" spans="1:7">
      <c r="A1091" t="s">
        <v>350</v>
      </c>
      <c r="B1091" s="165">
        <v>42004</v>
      </c>
      <c r="C1091" t="s">
        <v>355</v>
      </c>
      <c r="D1091" t="s">
        <v>356</v>
      </c>
      <c r="E1091">
        <v>7</v>
      </c>
      <c r="F1091" s="166">
        <v>995.71428571428567</v>
      </c>
      <c r="G1091">
        <v>6970</v>
      </c>
    </row>
    <row r="1092" spans="1:7">
      <c r="A1092" t="s">
        <v>350</v>
      </c>
      <c r="B1092" s="165">
        <v>42004</v>
      </c>
      <c r="C1092" t="s">
        <v>355</v>
      </c>
      <c r="D1092" t="s">
        <v>356</v>
      </c>
      <c r="E1092">
        <v>9</v>
      </c>
      <c r="F1092" s="166">
        <v>989</v>
      </c>
      <c r="G1092">
        <v>8901</v>
      </c>
    </row>
    <row r="1093" spans="1:7">
      <c r="A1093" t="s">
        <v>350</v>
      </c>
      <c r="B1093" s="165">
        <v>42004</v>
      </c>
      <c r="C1093" t="s">
        <v>355</v>
      </c>
      <c r="D1093" t="s">
        <v>356</v>
      </c>
      <c r="E1093">
        <v>24</v>
      </c>
      <c r="F1093" s="166">
        <v>995</v>
      </c>
      <c r="G1093">
        <v>23880</v>
      </c>
    </row>
    <row r="1094" spans="1:7">
      <c r="A1094" t="s">
        <v>350</v>
      </c>
      <c r="B1094" s="165">
        <v>42004</v>
      </c>
      <c r="C1094" t="s">
        <v>355</v>
      </c>
      <c r="D1094" t="s">
        <v>356</v>
      </c>
      <c r="E1094">
        <v>19</v>
      </c>
      <c r="F1094" s="166">
        <v>1376.578947368421</v>
      </c>
      <c r="G1094">
        <v>26155</v>
      </c>
    </row>
    <row r="1095" spans="1:7">
      <c r="A1095" t="s">
        <v>350</v>
      </c>
      <c r="B1095" s="165">
        <v>42004</v>
      </c>
      <c r="C1095" t="s">
        <v>355</v>
      </c>
      <c r="D1095" t="s">
        <v>356</v>
      </c>
      <c r="E1095">
        <v>93</v>
      </c>
      <c r="F1095" s="166">
        <v>520</v>
      </c>
      <c r="G1095">
        <v>48360</v>
      </c>
    </row>
    <row r="1096" spans="1:7">
      <c r="A1096" t="s">
        <v>363</v>
      </c>
      <c r="B1096" s="165">
        <v>41697</v>
      </c>
      <c r="C1096" t="s">
        <v>355</v>
      </c>
      <c r="D1096" t="s">
        <v>356</v>
      </c>
      <c r="E1096">
        <v>4</v>
      </c>
      <c r="F1096" s="166">
        <v>638</v>
      </c>
      <c r="G1096">
        <v>2552</v>
      </c>
    </row>
    <row r="1097" spans="1:7">
      <c r="A1097" t="s">
        <v>363</v>
      </c>
      <c r="B1097" s="165">
        <v>41810</v>
      </c>
      <c r="C1097" t="s">
        <v>355</v>
      </c>
      <c r="D1097" t="s">
        <v>356</v>
      </c>
      <c r="E1097">
        <v>4</v>
      </c>
      <c r="F1097" s="166">
        <v>387.5</v>
      </c>
      <c r="G1097">
        <v>1550</v>
      </c>
    </row>
    <row r="1098" spans="1:7">
      <c r="A1098" t="s">
        <v>364</v>
      </c>
      <c r="B1098" s="165">
        <v>41767</v>
      </c>
      <c r="C1098" t="s">
        <v>355</v>
      </c>
      <c r="D1098" t="s">
        <v>356</v>
      </c>
      <c r="E1098">
        <v>1</v>
      </c>
      <c r="F1098" s="166">
        <v>602</v>
      </c>
      <c r="G1098">
        <v>602</v>
      </c>
    </row>
    <row r="1099" spans="1:7">
      <c r="A1099" t="s">
        <v>364</v>
      </c>
      <c r="B1099" s="165">
        <v>41781</v>
      </c>
      <c r="C1099" t="s">
        <v>355</v>
      </c>
      <c r="D1099" t="s">
        <v>356</v>
      </c>
      <c r="E1099">
        <v>2</v>
      </c>
      <c r="F1099" s="166">
        <v>570</v>
      </c>
      <c r="G1099">
        <v>1140</v>
      </c>
    </row>
    <row r="1100" spans="1:7">
      <c r="A1100" t="s">
        <v>364</v>
      </c>
      <c r="B1100" s="165">
        <v>41802</v>
      </c>
      <c r="C1100" t="s">
        <v>355</v>
      </c>
      <c r="D1100" t="s">
        <v>356</v>
      </c>
      <c r="E1100">
        <v>2</v>
      </c>
      <c r="F1100" s="166">
        <v>595</v>
      </c>
      <c r="G1100">
        <v>1190</v>
      </c>
    </row>
    <row r="1101" spans="1:7">
      <c r="A1101" t="s">
        <v>364</v>
      </c>
      <c r="B1101" s="165">
        <v>41844</v>
      </c>
      <c r="C1101" t="s">
        <v>355</v>
      </c>
      <c r="D1101" t="s">
        <v>356</v>
      </c>
      <c r="E1101">
        <v>1</v>
      </c>
      <c r="F1101" s="166">
        <v>547</v>
      </c>
      <c r="G1101">
        <v>547</v>
      </c>
    </row>
    <row r="1102" spans="1:7">
      <c r="A1102" t="s">
        <v>364</v>
      </c>
      <c r="B1102" s="165">
        <v>41844</v>
      </c>
      <c r="C1102" t="s">
        <v>355</v>
      </c>
      <c r="D1102" t="s">
        <v>356</v>
      </c>
      <c r="E1102">
        <v>5</v>
      </c>
      <c r="F1102" s="166">
        <v>732</v>
      </c>
      <c r="G1102">
        <v>3660</v>
      </c>
    </row>
    <row r="1103" spans="1:7">
      <c r="A1103" t="s">
        <v>364</v>
      </c>
      <c r="B1103" s="165">
        <v>41858</v>
      </c>
      <c r="C1103" t="s">
        <v>355</v>
      </c>
      <c r="D1103" t="s">
        <v>356</v>
      </c>
      <c r="E1103">
        <v>4</v>
      </c>
      <c r="F1103" s="166">
        <v>695</v>
      </c>
      <c r="G1103">
        <v>2780</v>
      </c>
    </row>
    <row r="1104" spans="1:7">
      <c r="A1104" t="s">
        <v>364</v>
      </c>
      <c r="B1104" s="165">
        <v>41865</v>
      </c>
      <c r="C1104" t="s">
        <v>355</v>
      </c>
      <c r="D1104" t="s">
        <v>356</v>
      </c>
      <c r="E1104">
        <v>5</v>
      </c>
      <c r="F1104" s="166">
        <v>864</v>
      </c>
      <c r="G1104">
        <v>4320</v>
      </c>
    </row>
    <row r="1105" spans="1:7">
      <c r="A1105" t="s">
        <v>364</v>
      </c>
      <c r="B1105" s="165">
        <v>41893</v>
      </c>
      <c r="C1105" t="s">
        <v>355</v>
      </c>
      <c r="D1105" t="s">
        <v>356</v>
      </c>
      <c r="E1105">
        <v>6</v>
      </c>
      <c r="F1105" s="166">
        <v>1200</v>
      </c>
      <c r="G1105">
        <v>7200</v>
      </c>
    </row>
    <row r="1106" spans="1:7">
      <c r="A1106" t="s">
        <v>364</v>
      </c>
      <c r="B1106" s="165">
        <v>41900</v>
      </c>
      <c r="C1106" t="s">
        <v>355</v>
      </c>
      <c r="D1106" t="s">
        <v>356</v>
      </c>
      <c r="E1106">
        <v>18</v>
      </c>
      <c r="F1106" s="166">
        <v>854</v>
      </c>
      <c r="G1106">
        <v>15372</v>
      </c>
    </row>
    <row r="1107" spans="1:7">
      <c r="A1107" t="s">
        <v>364</v>
      </c>
      <c r="B1107" s="165">
        <v>41915</v>
      </c>
      <c r="C1107" t="s">
        <v>355</v>
      </c>
      <c r="D1107" t="s">
        <v>356</v>
      </c>
      <c r="E1107">
        <v>4</v>
      </c>
      <c r="F1107" s="166">
        <v>510</v>
      </c>
      <c r="G1107">
        <v>2040</v>
      </c>
    </row>
    <row r="1108" spans="1:7">
      <c r="A1108" t="s">
        <v>364</v>
      </c>
      <c r="B1108" s="165">
        <v>41921</v>
      </c>
      <c r="C1108" t="s">
        <v>355</v>
      </c>
      <c r="D1108" t="s">
        <v>356</v>
      </c>
      <c r="E1108">
        <v>4</v>
      </c>
      <c r="F1108" s="166">
        <v>189.5</v>
      </c>
      <c r="G1108">
        <v>758</v>
      </c>
    </row>
    <row r="1109" spans="1:7">
      <c r="A1109" t="s">
        <v>364</v>
      </c>
      <c r="B1109" s="165">
        <v>41921</v>
      </c>
      <c r="C1109" t="s">
        <v>355</v>
      </c>
      <c r="D1109" t="s">
        <v>356</v>
      </c>
      <c r="E1109">
        <v>3</v>
      </c>
      <c r="F1109" s="166">
        <v>1000</v>
      </c>
      <c r="G1109">
        <v>3000</v>
      </c>
    </row>
    <row r="1110" spans="1:7">
      <c r="A1110" t="s">
        <v>364</v>
      </c>
      <c r="B1110" s="165">
        <v>41921</v>
      </c>
      <c r="C1110" t="s">
        <v>355</v>
      </c>
      <c r="D1110" t="s">
        <v>356</v>
      </c>
      <c r="E1110">
        <v>7</v>
      </c>
      <c r="F1110" s="166">
        <v>868</v>
      </c>
      <c r="G1110">
        <v>6076</v>
      </c>
    </row>
    <row r="1111" spans="1:7">
      <c r="A1111" t="s">
        <v>364</v>
      </c>
      <c r="B1111" s="165">
        <v>41936</v>
      </c>
      <c r="C1111" t="s">
        <v>355</v>
      </c>
      <c r="D1111" t="s">
        <v>356</v>
      </c>
      <c r="E1111">
        <v>8</v>
      </c>
      <c r="F1111" s="166">
        <v>685</v>
      </c>
      <c r="G1111">
        <v>5480</v>
      </c>
    </row>
    <row r="1112" spans="1:7">
      <c r="A1112" t="s">
        <v>364</v>
      </c>
      <c r="B1112" s="165">
        <v>41943</v>
      </c>
      <c r="C1112" t="s">
        <v>355</v>
      </c>
      <c r="D1112" t="s">
        <v>356</v>
      </c>
      <c r="E1112">
        <v>1</v>
      </c>
      <c r="F1112" s="166">
        <v>796</v>
      </c>
      <c r="G1112">
        <v>796</v>
      </c>
    </row>
    <row r="1113" spans="1:7">
      <c r="A1113" t="s">
        <v>364</v>
      </c>
      <c r="B1113" s="165">
        <v>41943</v>
      </c>
      <c r="C1113" t="s">
        <v>355</v>
      </c>
      <c r="D1113" t="s">
        <v>356</v>
      </c>
      <c r="E1113">
        <v>10</v>
      </c>
      <c r="F1113" s="166">
        <v>796</v>
      </c>
      <c r="G1113">
        <v>7960</v>
      </c>
    </row>
    <row r="1114" spans="1:7">
      <c r="A1114" t="s">
        <v>364</v>
      </c>
      <c r="B1114" s="165">
        <v>41949</v>
      </c>
      <c r="C1114" t="s">
        <v>355</v>
      </c>
      <c r="D1114" t="s">
        <v>356</v>
      </c>
      <c r="E1114">
        <v>3</v>
      </c>
      <c r="F1114" s="166">
        <v>1950</v>
      </c>
      <c r="G1114">
        <v>5850</v>
      </c>
    </row>
    <row r="1115" spans="1:7">
      <c r="A1115" t="s">
        <v>364</v>
      </c>
      <c r="B1115" s="165">
        <v>41957</v>
      </c>
      <c r="C1115" t="s">
        <v>355</v>
      </c>
      <c r="D1115" t="s">
        <v>356</v>
      </c>
      <c r="E1115">
        <v>17</v>
      </c>
      <c r="F1115" s="166">
        <v>677.88235294117646</v>
      </c>
      <c r="G1115">
        <v>11524</v>
      </c>
    </row>
    <row r="1116" spans="1:7">
      <c r="A1116" t="s">
        <v>364</v>
      </c>
      <c r="B1116" s="165">
        <v>41977</v>
      </c>
      <c r="C1116" t="s">
        <v>355</v>
      </c>
      <c r="D1116" t="s">
        <v>356</v>
      </c>
      <c r="E1116">
        <v>6</v>
      </c>
      <c r="F1116" s="166">
        <v>400</v>
      </c>
      <c r="G1116">
        <v>2400</v>
      </c>
    </row>
    <row r="1117" spans="1:7">
      <c r="A1117" t="s">
        <v>364</v>
      </c>
      <c r="B1117" s="165">
        <v>42004</v>
      </c>
      <c r="C1117" t="s">
        <v>355</v>
      </c>
      <c r="D1117" t="s">
        <v>356</v>
      </c>
      <c r="E1117">
        <v>3</v>
      </c>
      <c r="F1117" s="166">
        <v>313.66666666666669</v>
      </c>
      <c r="G1117">
        <v>941</v>
      </c>
    </row>
    <row r="1118" spans="1:7">
      <c r="E1118" s="119" t="s">
        <v>374</v>
      </c>
      <c r="F1118" s="166">
        <f>AVERAGE($F$987:$F$1117)</f>
        <v>675.6713070526647</v>
      </c>
    </row>
    <row r="1119" spans="1:7">
      <c r="E1119" s="119" t="s">
        <v>375</v>
      </c>
      <c r="F1119" s="166">
        <f>MEDIAN($F$987:$F$1117)</f>
        <v>575</v>
      </c>
    </row>
    <row r="1120" spans="1:7">
      <c r="E1120" s="119" t="s">
        <v>376</v>
      </c>
      <c r="F1120" s="166">
        <f>PERCENTILE($F$987:$F$1117,0.25)</f>
        <v>486.38235294117646</v>
      </c>
    </row>
    <row r="1122" spans="1:8">
      <c r="A1122" s="171"/>
      <c r="B1122" s="171"/>
      <c r="C1122" s="171"/>
      <c r="D1122" s="171"/>
      <c r="E1122" s="171"/>
      <c r="F1122" s="171"/>
      <c r="G1122" s="171"/>
      <c r="H1122" s="171"/>
    </row>
    <row r="1123" spans="1:8">
      <c r="A1123" s="146" t="s">
        <v>354</v>
      </c>
    </row>
    <row r="1124" spans="1:8">
      <c r="A1124" t="s">
        <v>343</v>
      </c>
      <c r="B1124" s="165" t="s">
        <v>344</v>
      </c>
      <c r="C1124" t="s">
        <v>345</v>
      </c>
      <c r="D1124" t="s">
        <v>346</v>
      </c>
      <c r="E1124" t="s">
        <v>347</v>
      </c>
      <c r="F1124" s="166" t="s">
        <v>348</v>
      </c>
      <c r="G1124" t="s">
        <v>349</v>
      </c>
    </row>
    <row r="1125" spans="1:8">
      <c r="A1125" t="s">
        <v>350</v>
      </c>
      <c r="B1125" s="165">
        <v>41697</v>
      </c>
      <c r="C1125" t="s">
        <v>353</v>
      </c>
      <c r="D1125" t="s">
        <v>354</v>
      </c>
      <c r="E1125">
        <v>2</v>
      </c>
      <c r="F1125" s="166">
        <v>775</v>
      </c>
      <c r="G1125">
        <v>1550</v>
      </c>
    </row>
    <row r="1126" spans="1:8">
      <c r="A1126" t="s">
        <v>350</v>
      </c>
      <c r="B1126" s="165">
        <v>41697</v>
      </c>
      <c r="C1126" t="s">
        <v>353</v>
      </c>
      <c r="D1126" t="s">
        <v>354</v>
      </c>
      <c r="E1126">
        <v>4</v>
      </c>
      <c r="F1126" s="166">
        <v>850</v>
      </c>
      <c r="G1126">
        <v>3400</v>
      </c>
    </row>
    <row r="1127" spans="1:8">
      <c r="A1127" t="s">
        <v>350</v>
      </c>
      <c r="B1127" s="165">
        <v>41718</v>
      </c>
      <c r="C1127" t="s">
        <v>353</v>
      </c>
      <c r="D1127" t="s">
        <v>354</v>
      </c>
      <c r="E1127">
        <v>11</v>
      </c>
      <c r="F1127" s="166">
        <v>850</v>
      </c>
      <c r="G1127">
        <v>9350</v>
      </c>
    </row>
    <row r="1128" spans="1:8">
      <c r="A1128" t="s">
        <v>350</v>
      </c>
      <c r="B1128" s="165">
        <v>41739</v>
      </c>
      <c r="C1128" t="s">
        <v>353</v>
      </c>
      <c r="D1128" t="s">
        <v>354</v>
      </c>
      <c r="E1128">
        <v>4</v>
      </c>
      <c r="F1128" s="166">
        <v>540</v>
      </c>
      <c r="G1128">
        <v>2160</v>
      </c>
    </row>
    <row r="1129" spans="1:8">
      <c r="A1129" t="s">
        <v>350</v>
      </c>
      <c r="B1129" s="165">
        <v>41746</v>
      </c>
      <c r="C1129" t="s">
        <v>353</v>
      </c>
      <c r="D1129" t="s">
        <v>354</v>
      </c>
      <c r="E1129">
        <v>1</v>
      </c>
      <c r="F1129" s="166">
        <v>998</v>
      </c>
      <c r="G1129">
        <v>998</v>
      </c>
    </row>
    <row r="1130" spans="1:8">
      <c r="A1130" t="s">
        <v>350</v>
      </c>
      <c r="B1130" s="165">
        <v>41774</v>
      </c>
      <c r="C1130" t="s">
        <v>353</v>
      </c>
      <c r="D1130" t="s">
        <v>354</v>
      </c>
      <c r="E1130">
        <v>2</v>
      </c>
      <c r="F1130" s="166">
        <v>807</v>
      </c>
      <c r="G1130">
        <v>1614</v>
      </c>
    </row>
    <row r="1131" spans="1:8">
      <c r="A1131" t="s">
        <v>350</v>
      </c>
      <c r="B1131" s="165">
        <v>41802</v>
      </c>
      <c r="C1131" t="s">
        <v>353</v>
      </c>
      <c r="D1131" t="s">
        <v>354</v>
      </c>
      <c r="E1131">
        <v>5</v>
      </c>
      <c r="F1131" s="166">
        <v>962</v>
      </c>
      <c r="G1131">
        <v>4810</v>
      </c>
    </row>
    <row r="1132" spans="1:8">
      <c r="A1132" t="s">
        <v>350</v>
      </c>
      <c r="B1132" s="165">
        <v>41830</v>
      </c>
      <c r="C1132" t="s">
        <v>353</v>
      </c>
      <c r="D1132" t="s">
        <v>354</v>
      </c>
      <c r="E1132">
        <v>5</v>
      </c>
      <c r="F1132" s="166">
        <v>868</v>
      </c>
      <c r="G1132">
        <v>4340</v>
      </c>
    </row>
    <row r="1133" spans="1:8">
      <c r="A1133" t="s">
        <v>350</v>
      </c>
      <c r="B1133" s="165">
        <v>41851</v>
      </c>
      <c r="C1133" t="s">
        <v>353</v>
      </c>
      <c r="D1133" t="s">
        <v>354</v>
      </c>
      <c r="E1133">
        <v>4</v>
      </c>
      <c r="F1133" s="166">
        <v>820.75</v>
      </c>
      <c r="G1133">
        <v>3283</v>
      </c>
    </row>
    <row r="1134" spans="1:8">
      <c r="A1134" t="s">
        <v>350</v>
      </c>
      <c r="B1134" s="165">
        <v>41872</v>
      </c>
      <c r="C1134" t="s">
        <v>353</v>
      </c>
      <c r="D1134" t="s">
        <v>354</v>
      </c>
      <c r="E1134">
        <v>2</v>
      </c>
      <c r="F1134" s="166">
        <v>1239</v>
      </c>
      <c r="G1134">
        <v>2478</v>
      </c>
    </row>
    <row r="1135" spans="1:8">
      <c r="A1135" t="s">
        <v>350</v>
      </c>
      <c r="B1135" s="165">
        <v>41872</v>
      </c>
      <c r="C1135" t="s">
        <v>353</v>
      </c>
      <c r="D1135" t="s">
        <v>354</v>
      </c>
      <c r="E1135">
        <v>14</v>
      </c>
      <c r="F1135" s="166">
        <v>450</v>
      </c>
      <c r="G1135">
        <v>6300</v>
      </c>
    </row>
    <row r="1136" spans="1:8">
      <c r="A1136" t="s">
        <v>350</v>
      </c>
      <c r="B1136" s="165">
        <v>41900</v>
      </c>
      <c r="C1136" t="s">
        <v>353</v>
      </c>
      <c r="D1136" t="s">
        <v>354</v>
      </c>
      <c r="E1136">
        <v>3</v>
      </c>
      <c r="F1136" s="166">
        <v>598</v>
      </c>
      <c r="G1136">
        <v>1794</v>
      </c>
    </row>
    <row r="1137" spans="1:7">
      <c r="A1137" t="s">
        <v>350</v>
      </c>
      <c r="B1137" s="165">
        <v>41907</v>
      </c>
      <c r="C1137" t="s">
        <v>353</v>
      </c>
      <c r="D1137" t="s">
        <v>354</v>
      </c>
      <c r="E1137">
        <v>6</v>
      </c>
      <c r="F1137" s="166">
        <v>975</v>
      </c>
      <c r="G1137">
        <v>5850</v>
      </c>
    </row>
    <row r="1138" spans="1:7">
      <c r="A1138" t="s">
        <v>350</v>
      </c>
      <c r="B1138" s="165">
        <v>41921</v>
      </c>
      <c r="C1138" t="s">
        <v>353</v>
      </c>
      <c r="D1138" t="s">
        <v>354</v>
      </c>
      <c r="E1138">
        <v>11</v>
      </c>
      <c r="F1138" s="166">
        <v>915.90909090909088</v>
      </c>
      <c r="G1138">
        <v>10075</v>
      </c>
    </row>
    <row r="1139" spans="1:7">
      <c r="A1139" t="s">
        <v>350</v>
      </c>
      <c r="B1139" s="165">
        <v>41921</v>
      </c>
      <c r="C1139" t="s">
        <v>353</v>
      </c>
      <c r="D1139" t="s">
        <v>354</v>
      </c>
      <c r="E1139">
        <v>20</v>
      </c>
      <c r="F1139" s="166">
        <v>1733</v>
      </c>
      <c r="G1139">
        <v>34660</v>
      </c>
    </row>
    <row r="1140" spans="1:7">
      <c r="A1140" t="s">
        <v>350</v>
      </c>
      <c r="B1140" s="165">
        <v>41936</v>
      </c>
      <c r="C1140" t="s">
        <v>353</v>
      </c>
      <c r="D1140" t="s">
        <v>354</v>
      </c>
      <c r="E1140">
        <v>4</v>
      </c>
      <c r="F1140" s="166">
        <v>1070</v>
      </c>
      <c r="G1140">
        <v>4280</v>
      </c>
    </row>
    <row r="1141" spans="1:7">
      <c r="A1141" t="s">
        <v>350</v>
      </c>
      <c r="B1141" s="165">
        <v>41936</v>
      </c>
      <c r="C1141" t="s">
        <v>353</v>
      </c>
      <c r="D1141" t="s">
        <v>354</v>
      </c>
      <c r="E1141">
        <v>14</v>
      </c>
      <c r="F1141" s="166">
        <v>1094.7857142857142</v>
      </c>
      <c r="G1141">
        <v>15327</v>
      </c>
    </row>
    <row r="1142" spans="1:7">
      <c r="A1142" t="s">
        <v>350</v>
      </c>
      <c r="B1142" s="165">
        <v>41943</v>
      </c>
      <c r="C1142" t="s">
        <v>353</v>
      </c>
      <c r="D1142" t="s">
        <v>354</v>
      </c>
      <c r="E1142">
        <v>2</v>
      </c>
      <c r="F1142" s="166">
        <v>880</v>
      </c>
      <c r="G1142">
        <v>1760</v>
      </c>
    </row>
    <row r="1143" spans="1:7">
      <c r="A1143" t="s">
        <v>350</v>
      </c>
      <c r="B1143" s="165">
        <v>41943</v>
      </c>
      <c r="C1143" t="s">
        <v>353</v>
      </c>
      <c r="D1143" t="s">
        <v>354</v>
      </c>
      <c r="E1143">
        <v>2</v>
      </c>
      <c r="F1143" s="166">
        <v>880</v>
      </c>
      <c r="G1143">
        <v>1760</v>
      </c>
    </row>
    <row r="1144" spans="1:7">
      <c r="A1144" t="s">
        <v>350</v>
      </c>
      <c r="B1144" s="165">
        <v>41943</v>
      </c>
      <c r="C1144" t="s">
        <v>353</v>
      </c>
      <c r="D1144" t="s">
        <v>354</v>
      </c>
      <c r="E1144">
        <v>4</v>
      </c>
      <c r="F1144" s="166">
        <v>497</v>
      </c>
      <c r="G1144">
        <v>1988</v>
      </c>
    </row>
    <row r="1145" spans="1:7">
      <c r="A1145" t="s">
        <v>350</v>
      </c>
      <c r="B1145" s="165">
        <v>41943</v>
      </c>
      <c r="C1145" t="s">
        <v>353</v>
      </c>
      <c r="D1145" t="s">
        <v>354</v>
      </c>
      <c r="E1145">
        <v>5</v>
      </c>
      <c r="F1145" s="166">
        <v>880</v>
      </c>
      <c r="G1145">
        <v>4400</v>
      </c>
    </row>
    <row r="1146" spans="1:7">
      <c r="A1146" t="s">
        <v>350</v>
      </c>
      <c r="B1146" s="165">
        <v>41943</v>
      </c>
      <c r="C1146" t="s">
        <v>353</v>
      </c>
      <c r="D1146" t="s">
        <v>354</v>
      </c>
      <c r="E1146">
        <v>5</v>
      </c>
      <c r="F1146" s="166">
        <v>1750</v>
      </c>
      <c r="G1146">
        <v>8750</v>
      </c>
    </row>
    <row r="1147" spans="1:7">
      <c r="A1147" t="s">
        <v>350</v>
      </c>
      <c r="B1147" s="165">
        <v>41943</v>
      </c>
      <c r="C1147" t="s">
        <v>353</v>
      </c>
      <c r="D1147" t="s">
        <v>354</v>
      </c>
      <c r="E1147">
        <v>49</v>
      </c>
      <c r="F1147" s="166">
        <v>1704.9795918367347</v>
      </c>
      <c r="G1147">
        <v>83544</v>
      </c>
    </row>
    <row r="1148" spans="1:7">
      <c r="A1148" t="s">
        <v>350</v>
      </c>
      <c r="B1148" s="165">
        <v>41949</v>
      </c>
      <c r="C1148" t="s">
        <v>353</v>
      </c>
      <c r="D1148" t="s">
        <v>354</v>
      </c>
      <c r="E1148">
        <v>5</v>
      </c>
      <c r="F1148" s="166">
        <v>872.2</v>
      </c>
      <c r="G1148">
        <v>4361</v>
      </c>
    </row>
    <row r="1149" spans="1:7">
      <c r="A1149" t="s">
        <v>350</v>
      </c>
      <c r="B1149" s="165">
        <v>41957</v>
      </c>
      <c r="C1149" t="s">
        <v>353</v>
      </c>
      <c r="D1149" t="s">
        <v>354</v>
      </c>
      <c r="E1149">
        <v>3</v>
      </c>
      <c r="F1149" s="166">
        <v>875</v>
      </c>
      <c r="G1149">
        <v>2625</v>
      </c>
    </row>
    <row r="1150" spans="1:7">
      <c r="A1150" t="s">
        <v>350</v>
      </c>
      <c r="B1150" s="165">
        <v>41957</v>
      </c>
      <c r="C1150" t="s">
        <v>353</v>
      </c>
      <c r="D1150" t="s">
        <v>354</v>
      </c>
      <c r="E1150">
        <v>4</v>
      </c>
      <c r="F1150" s="166">
        <v>846.5</v>
      </c>
      <c r="G1150">
        <v>3386</v>
      </c>
    </row>
    <row r="1151" spans="1:7">
      <c r="A1151" t="s">
        <v>350</v>
      </c>
      <c r="B1151" s="165">
        <v>41957</v>
      </c>
      <c r="C1151" t="s">
        <v>353</v>
      </c>
      <c r="D1151" t="s">
        <v>354</v>
      </c>
      <c r="E1151">
        <v>5</v>
      </c>
      <c r="F1151" s="166">
        <v>836</v>
      </c>
      <c r="G1151">
        <v>4180</v>
      </c>
    </row>
    <row r="1152" spans="1:7">
      <c r="A1152" t="s">
        <v>350</v>
      </c>
      <c r="B1152" s="165">
        <v>41957</v>
      </c>
      <c r="C1152" t="s">
        <v>353</v>
      </c>
      <c r="D1152" t="s">
        <v>354</v>
      </c>
      <c r="E1152">
        <v>6</v>
      </c>
      <c r="F1152" s="166">
        <v>828.16666666666663</v>
      </c>
      <c r="G1152">
        <v>4969</v>
      </c>
    </row>
    <row r="1153" spans="1:7">
      <c r="A1153" t="s">
        <v>350</v>
      </c>
      <c r="B1153" s="165">
        <v>41957</v>
      </c>
      <c r="C1153" t="s">
        <v>353</v>
      </c>
      <c r="D1153" t="s">
        <v>354</v>
      </c>
      <c r="E1153">
        <v>6</v>
      </c>
      <c r="F1153" s="166">
        <v>828.16666666666663</v>
      </c>
      <c r="G1153">
        <v>4969</v>
      </c>
    </row>
    <row r="1154" spans="1:7">
      <c r="A1154" t="s">
        <v>350</v>
      </c>
      <c r="B1154" s="165">
        <v>41957</v>
      </c>
      <c r="C1154" t="s">
        <v>353</v>
      </c>
      <c r="D1154" t="s">
        <v>354</v>
      </c>
      <c r="E1154">
        <v>8</v>
      </c>
      <c r="F1154" s="166">
        <v>802.875</v>
      </c>
      <c r="G1154">
        <v>6423</v>
      </c>
    </row>
    <row r="1155" spans="1:7">
      <c r="A1155" t="s">
        <v>350</v>
      </c>
      <c r="B1155" s="165">
        <v>41957</v>
      </c>
      <c r="C1155" t="s">
        <v>353</v>
      </c>
      <c r="D1155" t="s">
        <v>354</v>
      </c>
      <c r="E1155">
        <v>8</v>
      </c>
      <c r="F1155" s="166">
        <v>802.875</v>
      </c>
      <c r="G1155">
        <v>6423</v>
      </c>
    </row>
    <row r="1156" spans="1:7">
      <c r="A1156" t="s">
        <v>350</v>
      </c>
      <c r="B1156" s="165">
        <v>41957</v>
      </c>
      <c r="C1156" t="s">
        <v>353</v>
      </c>
      <c r="D1156" t="s">
        <v>354</v>
      </c>
      <c r="E1156">
        <v>9</v>
      </c>
      <c r="F1156" s="166">
        <v>794.55555555555554</v>
      </c>
      <c r="G1156">
        <v>7151</v>
      </c>
    </row>
    <row r="1157" spans="1:7">
      <c r="A1157" t="s">
        <v>350</v>
      </c>
      <c r="B1157" s="165">
        <v>41957</v>
      </c>
      <c r="C1157" t="s">
        <v>353</v>
      </c>
      <c r="D1157" t="s">
        <v>354</v>
      </c>
      <c r="E1157">
        <v>9</v>
      </c>
      <c r="F1157" s="166">
        <v>794.55555555555554</v>
      </c>
      <c r="G1157">
        <v>7151</v>
      </c>
    </row>
    <row r="1158" spans="1:7">
      <c r="A1158" t="s">
        <v>350</v>
      </c>
      <c r="B1158" s="165">
        <v>41957</v>
      </c>
      <c r="C1158" t="s">
        <v>353</v>
      </c>
      <c r="D1158" t="s">
        <v>354</v>
      </c>
      <c r="E1158">
        <v>9</v>
      </c>
      <c r="F1158" s="166">
        <v>794.55555555555554</v>
      </c>
      <c r="G1158">
        <v>7151</v>
      </c>
    </row>
    <row r="1159" spans="1:7">
      <c r="A1159" t="s">
        <v>350</v>
      </c>
      <c r="B1159" s="165">
        <v>41957</v>
      </c>
      <c r="C1159" t="s">
        <v>353</v>
      </c>
      <c r="D1159" t="s">
        <v>354</v>
      </c>
      <c r="E1159">
        <v>11</v>
      </c>
      <c r="F1159" s="166">
        <v>782.18181818181813</v>
      </c>
      <c r="G1159">
        <v>8604</v>
      </c>
    </row>
    <row r="1160" spans="1:7">
      <c r="A1160" t="s">
        <v>350</v>
      </c>
      <c r="B1160" s="165">
        <v>41957</v>
      </c>
      <c r="C1160" t="s">
        <v>353</v>
      </c>
      <c r="D1160" t="s">
        <v>354</v>
      </c>
      <c r="E1160">
        <v>8</v>
      </c>
      <c r="F1160" s="166">
        <v>2400</v>
      </c>
      <c r="G1160">
        <v>19200</v>
      </c>
    </row>
    <row r="1161" spans="1:7">
      <c r="A1161" t="s">
        <v>350</v>
      </c>
      <c r="B1161" s="165">
        <v>41963</v>
      </c>
      <c r="C1161" t="s">
        <v>353</v>
      </c>
      <c r="D1161" t="s">
        <v>354</v>
      </c>
      <c r="E1161">
        <v>4</v>
      </c>
      <c r="F1161" s="166">
        <v>999</v>
      </c>
      <c r="G1161">
        <v>3996</v>
      </c>
    </row>
    <row r="1162" spans="1:7">
      <c r="A1162" t="s">
        <v>350</v>
      </c>
      <c r="B1162" s="165">
        <v>41963</v>
      </c>
      <c r="C1162" t="s">
        <v>353</v>
      </c>
      <c r="D1162" t="s">
        <v>354</v>
      </c>
      <c r="E1162">
        <v>11</v>
      </c>
      <c r="F1162" s="166">
        <v>390</v>
      </c>
      <c r="G1162">
        <v>4290</v>
      </c>
    </row>
    <row r="1163" spans="1:7">
      <c r="A1163" t="s">
        <v>350</v>
      </c>
      <c r="B1163" s="165">
        <v>41963</v>
      </c>
      <c r="C1163" t="s">
        <v>353</v>
      </c>
      <c r="D1163" t="s">
        <v>354</v>
      </c>
      <c r="E1163">
        <v>62</v>
      </c>
      <c r="F1163" s="166">
        <v>1250</v>
      </c>
      <c r="G1163">
        <v>77500</v>
      </c>
    </row>
    <row r="1164" spans="1:7">
      <c r="A1164" t="s">
        <v>350</v>
      </c>
      <c r="B1164" s="165">
        <v>41977</v>
      </c>
      <c r="C1164" t="s">
        <v>353</v>
      </c>
      <c r="D1164" t="s">
        <v>354</v>
      </c>
      <c r="E1164">
        <v>9</v>
      </c>
      <c r="F1164" s="166">
        <v>794.55555555555554</v>
      </c>
      <c r="G1164">
        <v>7151</v>
      </c>
    </row>
    <row r="1165" spans="1:7">
      <c r="A1165" t="s">
        <v>350</v>
      </c>
      <c r="B1165" s="165">
        <v>41991</v>
      </c>
      <c r="C1165" t="s">
        <v>353</v>
      </c>
      <c r="D1165" t="s">
        <v>354</v>
      </c>
      <c r="E1165">
        <v>2</v>
      </c>
      <c r="F1165" s="166">
        <v>575</v>
      </c>
      <c r="G1165">
        <v>1150</v>
      </c>
    </row>
    <row r="1166" spans="1:7">
      <c r="A1166" t="s">
        <v>350</v>
      </c>
      <c r="B1166" s="165">
        <v>42004</v>
      </c>
      <c r="C1166" t="s">
        <v>353</v>
      </c>
      <c r="D1166" t="s">
        <v>354</v>
      </c>
      <c r="E1166">
        <v>42</v>
      </c>
      <c r="F1166" s="166">
        <v>1085</v>
      </c>
      <c r="G1166">
        <v>45570</v>
      </c>
    </row>
    <row r="1167" spans="1:7">
      <c r="A1167" t="s">
        <v>350</v>
      </c>
      <c r="B1167" s="165">
        <v>42004</v>
      </c>
      <c r="C1167" t="s">
        <v>353</v>
      </c>
      <c r="D1167" t="s">
        <v>354</v>
      </c>
      <c r="E1167">
        <v>55</v>
      </c>
      <c r="F1167" s="166">
        <v>1192.090909090909</v>
      </c>
      <c r="G1167">
        <v>65565</v>
      </c>
    </row>
    <row r="1168" spans="1:7">
      <c r="A1168" t="s">
        <v>350</v>
      </c>
      <c r="B1168" s="165">
        <v>42004</v>
      </c>
      <c r="C1168" t="s">
        <v>353</v>
      </c>
      <c r="D1168" t="s">
        <v>354</v>
      </c>
      <c r="E1168">
        <v>81</v>
      </c>
      <c r="F1168" s="166">
        <v>1200</v>
      </c>
      <c r="G1168">
        <v>97200</v>
      </c>
    </row>
    <row r="1169" spans="1:8">
      <c r="A1169" t="s">
        <v>363</v>
      </c>
      <c r="B1169" s="165">
        <v>41865</v>
      </c>
      <c r="C1169" t="s">
        <v>353</v>
      </c>
      <c r="D1169" t="s">
        <v>354</v>
      </c>
      <c r="E1169">
        <v>12</v>
      </c>
      <c r="F1169" s="166">
        <v>787.5</v>
      </c>
      <c r="G1169">
        <v>9450</v>
      </c>
    </row>
    <row r="1170" spans="1:8">
      <c r="A1170" t="s">
        <v>363</v>
      </c>
      <c r="B1170" s="165">
        <v>41872</v>
      </c>
      <c r="C1170" t="s">
        <v>353</v>
      </c>
      <c r="D1170" t="s">
        <v>354</v>
      </c>
      <c r="E1170">
        <v>3</v>
      </c>
      <c r="F1170" s="166">
        <v>835</v>
      </c>
      <c r="G1170">
        <v>2505</v>
      </c>
    </row>
    <row r="1171" spans="1:8">
      <c r="A1171" t="s">
        <v>364</v>
      </c>
      <c r="B1171" s="165">
        <v>41795</v>
      </c>
      <c r="C1171" t="s">
        <v>353</v>
      </c>
      <c r="D1171" t="s">
        <v>354</v>
      </c>
      <c r="E1171">
        <v>11</v>
      </c>
      <c r="F1171" s="166">
        <v>780</v>
      </c>
      <c r="G1171">
        <v>8580</v>
      </c>
    </row>
    <row r="1172" spans="1:8">
      <c r="A1172" t="s">
        <v>364</v>
      </c>
      <c r="B1172" s="165">
        <v>41844</v>
      </c>
      <c r="C1172" t="s">
        <v>353</v>
      </c>
      <c r="D1172" t="s">
        <v>354</v>
      </c>
      <c r="E1172">
        <v>3</v>
      </c>
      <c r="F1172" s="166">
        <v>547.33333333333337</v>
      </c>
      <c r="G1172">
        <v>1642</v>
      </c>
    </row>
    <row r="1173" spans="1:8">
      <c r="A1173" t="s">
        <v>364</v>
      </c>
      <c r="B1173" s="165">
        <v>41900</v>
      </c>
      <c r="C1173" t="s">
        <v>353</v>
      </c>
      <c r="D1173" t="s">
        <v>354</v>
      </c>
      <c r="E1173">
        <v>12</v>
      </c>
      <c r="F1173" s="166">
        <v>885.5</v>
      </c>
      <c r="G1173">
        <v>10626</v>
      </c>
    </row>
    <row r="1174" spans="1:8">
      <c r="A1174" t="s">
        <v>364</v>
      </c>
      <c r="B1174" s="165">
        <v>41921</v>
      </c>
      <c r="C1174" t="s">
        <v>353</v>
      </c>
      <c r="D1174" t="s">
        <v>354</v>
      </c>
      <c r="E1174">
        <v>6</v>
      </c>
      <c r="F1174" s="166">
        <v>1182</v>
      </c>
      <c r="G1174">
        <v>7092</v>
      </c>
    </row>
    <row r="1175" spans="1:8">
      <c r="A1175" t="s">
        <v>364</v>
      </c>
      <c r="B1175" s="165">
        <v>41949</v>
      </c>
      <c r="C1175" t="s">
        <v>353</v>
      </c>
      <c r="D1175" t="s">
        <v>354</v>
      </c>
      <c r="E1175">
        <v>3</v>
      </c>
      <c r="F1175" s="166">
        <v>1900</v>
      </c>
      <c r="G1175">
        <v>5700</v>
      </c>
    </row>
    <row r="1176" spans="1:8">
      <c r="A1176" t="s">
        <v>364</v>
      </c>
      <c r="B1176" s="165">
        <v>41949</v>
      </c>
      <c r="C1176" t="s">
        <v>353</v>
      </c>
      <c r="D1176" t="s">
        <v>354</v>
      </c>
      <c r="E1176">
        <v>12</v>
      </c>
      <c r="F1176" s="166">
        <v>800</v>
      </c>
      <c r="G1176">
        <v>9600</v>
      </c>
    </row>
    <row r="1177" spans="1:8">
      <c r="A1177" t="s">
        <v>364</v>
      </c>
      <c r="B1177" s="165">
        <v>41971</v>
      </c>
      <c r="C1177" t="s">
        <v>353</v>
      </c>
      <c r="D1177" t="s">
        <v>354</v>
      </c>
      <c r="E1177">
        <v>4</v>
      </c>
      <c r="F1177" s="166">
        <v>1622.5</v>
      </c>
      <c r="G1177">
        <v>6490</v>
      </c>
    </row>
    <row r="1178" spans="1:8">
      <c r="A1178" t="s">
        <v>364</v>
      </c>
      <c r="B1178" s="165">
        <v>41977</v>
      </c>
      <c r="C1178" t="s">
        <v>353</v>
      </c>
      <c r="D1178" t="s">
        <v>354</v>
      </c>
      <c r="E1178">
        <v>288</v>
      </c>
      <c r="F1178" s="166">
        <v>847.08333333333337</v>
      </c>
      <c r="G1178">
        <v>243960</v>
      </c>
    </row>
    <row r="1179" spans="1:8">
      <c r="E1179" s="119" t="s">
        <v>374</v>
      </c>
      <c r="F1179" s="166">
        <f>AVERAGE($F$1125:$F$1178)</f>
        <v>964.23369160234267</v>
      </c>
    </row>
    <row r="1180" spans="1:8">
      <c r="E1180" s="119" t="s">
        <v>375</v>
      </c>
      <c r="F1180" s="166">
        <f>MEDIAN($F$1125:$F$1178)</f>
        <v>850</v>
      </c>
    </row>
    <row r="1181" spans="1:8">
      <c r="E1181" s="119" t="s">
        <v>376</v>
      </c>
      <c r="F1181" s="166">
        <f>PERCENTILE($F$1125:$F$1178,0.25)</f>
        <v>794.55555555555554</v>
      </c>
    </row>
    <row r="1183" spans="1:8">
      <c r="A1183" s="171"/>
      <c r="B1183" s="171"/>
      <c r="C1183" s="171"/>
      <c r="D1183" s="171"/>
      <c r="E1183" s="171"/>
      <c r="F1183" s="171"/>
      <c r="G1183" s="171"/>
      <c r="H1183" s="171"/>
    </row>
    <row r="1184" spans="1:8">
      <c r="A1184" s="146" t="s">
        <v>362</v>
      </c>
    </row>
    <row r="1185" spans="1:7">
      <c r="A1185" t="s">
        <v>343</v>
      </c>
      <c r="B1185" s="165" t="s">
        <v>344</v>
      </c>
      <c r="C1185" t="s">
        <v>345</v>
      </c>
      <c r="D1185" t="s">
        <v>346</v>
      </c>
      <c r="E1185" t="s">
        <v>347</v>
      </c>
      <c r="F1185" s="166" t="s">
        <v>348</v>
      </c>
      <c r="G1185" t="s">
        <v>349</v>
      </c>
    </row>
    <row r="1186" spans="1:7">
      <c r="A1186" t="s">
        <v>350</v>
      </c>
      <c r="B1186" s="165">
        <v>41977</v>
      </c>
      <c r="C1186" t="s">
        <v>361</v>
      </c>
      <c r="D1186" t="s">
        <v>362</v>
      </c>
      <c r="E1186">
        <v>5</v>
      </c>
      <c r="F1186" s="166">
        <v>975</v>
      </c>
      <c r="G1186">
        <v>4875</v>
      </c>
    </row>
    <row r="1187" spans="1:7">
      <c r="A1187" t="s">
        <v>350</v>
      </c>
      <c r="B1187" s="165">
        <v>42004</v>
      </c>
      <c r="C1187" t="s">
        <v>361</v>
      </c>
      <c r="D1187" t="s">
        <v>362</v>
      </c>
      <c r="E1187">
        <v>8</v>
      </c>
      <c r="F1187" s="166">
        <v>1502</v>
      </c>
      <c r="G1187">
        <v>12016</v>
      </c>
    </row>
    <row r="1188" spans="1:7">
      <c r="A1188" t="s">
        <v>350</v>
      </c>
      <c r="B1188" s="165">
        <v>42004</v>
      </c>
      <c r="C1188" t="s">
        <v>361</v>
      </c>
      <c r="D1188" t="s">
        <v>362</v>
      </c>
      <c r="E1188">
        <v>23</v>
      </c>
      <c r="F1188" s="166">
        <v>1502</v>
      </c>
      <c r="G1188">
        <v>34546</v>
      </c>
    </row>
    <row r="1189" spans="1:7">
      <c r="A1189" t="s">
        <v>364</v>
      </c>
      <c r="B1189" s="165">
        <v>41999</v>
      </c>
      <c r="C1189" t="s">
        <v>361</v>
      </c>
      <c r="D1189" t="s">
        <v>362</v>
      </c>
      <c r="E1189">
        <v>2</v>
      </c>
      <c r="F1189" s="166">
        <v>980</v>
      </c>
      <c r="G1189">
        <v>1960</v>
      </c>
    </row>
    <row r="1190" spans="1:7">
      <c r="A1190" t="s">
        <v>365</v>
      </c>
      <c r="B1190" s="165">
        <v>41977</v>
      </c>
      <c r="C1190" t="s">
        <v>361</v>
      </c>
      <c r="D1190" t="s">
        <v>362</v>
      </c>
      <c r="E1190">
        <v>11</v>
      </c>
      <c r="F1190" s="166">
        <v>890.90909090909088</v>
      </c>
      <c r="G1190">
        <v>9800</v>
      </c>
    </row>
    <row r="1191" spans="1:7">
      <c r="A1191" t="s">
        <v>365</v>
      </c>
      <c r="B1191" s="165">
        <v>41977</v>
      </c>
      <c r="C1191" t="s">
        <v>361</v>
      </c>
      <c r="D1191" t="s">
        <v>362</v>
      </c>
      <c r="E1191">
        <v>11</v>
      </c>
      <c r="F1191" s="166">
        <v>1021.4545454545455</v>
      </c>
      <c r="G1191">
        <v>11236</v>
      </c>
    </row>
    <row r="1192" spans="1:7">
      <c r="E1192" s="119" t="s">
        <v>374</v>
      </c>
      <c r="F1192" s="166">
        <f>AVERAGE($F$1186:$F$1191)</f>
        <v>1145.2272727272727</v>
      </c>
    </row>
    <row r="1193" spans="1:7">
      <c r="E1193" s="119" t="s">
        <v>375</v>
      </c>
      <c r="F1193" s="166">
        <f>MEDIAN($F$1186:$F$1191)</f>
        <v>1000.7272727272727</v>
      </c>
    </row>
    <row r="1194" spans="1:7">
      <c r="E1194" s="119" t="s">
        <v>376</v>
      </c>
      <c r="F1194" s="166">
        <f>PERCENTILE($F$1186:$F$1191,0.25)</f>
        <v>976.25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BD34"/>
  <sheetViews>
    <sheetView topLeftCell="P1" workbookViewId="0">
      <selection activeCell="C25" sqref="C25"/>
    </sheetView>
  </sheetViews>
  <sheetFormatPr defaultRowHeight="12.75"/>
  <cols>
    <col min="1" max="1" width="14.42578125" customWidth="1"/>
    <col min="2" max="2" width="14.7109375" customWidth="1"/>
    <col min="3" max="3" width="29.85546875" customWidth="1"/>
    <col min="4" max="4" width="12.28515625" bestFit="1" customWidth="1"/>
    <col min="5" max="5" width="12.140625" customWidth="1"/>
    <col min="6" max="8" width="11.85546875" customWidth="1"/>
    <col min="9" max="9" width="42" customWidth="1"/>
  </cols>
  <sheetData>
    <row r="1" spans="1:56" ht="15.75" thickBot="1">
      <c r="A1" s="263" t="s">
        <v>1003</v>
      </c>
      <c r="B1" s="263" t="s">
        <v>1004</v>
      </c>
      <c r="C1" s="263" t="s">
        <v>1005</v>
      </c>
      <c r="D1" s="263" t="s">
        <v>1006</v>
      </c>
      <c r="E1" s="263" t="s">
        <v>1007</v>
      </c>
      <c r="F1" s="263" t="s">
        <v>1008</v>
      </c>
      <c r="G1" s="263" t="s">
        <v>1009</v>
      </c>
      <c r="H1" s="263" t="s">
        <v>1010</v>
      </c>
      <c r="I1" s="263" t="s">
        <v>710</v>
      </c>
      <c r="J1" s="263" t="s">
        <v>711</v>
      </c>
      <c r="K1" s="267">
        <v>2016</v>
      </c>
      <c r="L1" s="268">
        <v>2017</v>
      </c>
      <c r="M1" s="268">
        <v>2018</v>
      </c>
      <c r="N1" s="268">
        <v>2019</v>
      </c>
      <c r="O1" s="268">
        <v>2020</v>
      </c>
      <c r="P1" s="268">
        <v>2021</v>
      </c>
      <c r="Q1" s="268">
        <v>2022</v>
      </c>
      <c r="R1" s="268">
        <v>2023</v>
      </c>
      <c r="S1" s="268">
        <v>2024</v>
      </c>
      <c r="T1" s="268">
        <v>2025</v>
      </c>
      <c r="U1" s="268">
        <v>2026</v>
      </c>
      <c r="V1" s="268">
        <v>2027</v>
      </c>
      <c r="W1" s="268">
        <v>2028</v>
      </c>
      <c r="X1" s="268">
        <v>2029</v>
      </c>
      <c r="Y1" s="268">
        <v>2030</v>
      </c>
      <c r="Z1" s="268">
        <v>2031</v>
      </c>
      <c r="AA1" s="268">
        <v>2032</v>
      </c>
      <c r="AB1" s="268">
        <v>2033</v>
      </c>
      <c r="AC1" s="268">
        <v>2034</v>
      </c>
      <c r="AD1" s="268">
        <v>2035</v>
      </c>
      <c r="AE1" s="392" t="s">
        <v>1011</v>
      </c>
      <c r="AF1" s="192" t="s">
        <v>386</v>
      </c>
      <c r="AG1" s="193"/>
      <c r="AH1" s="193"/>
      <c r="AI1" s="193"/>
      <c r="AJ1" s="193"/>
      <c r="AK1" s="193"/>
      <c r="AL1" s="193"/>
      <c r="AM1" s="193"/>
      <c r="AN1" s="193"/>
      <c r="AO1" s="193"/>
      <c r="AP1" s="193"/>
      <c r="AQ1" s="194"/>
      <c r="AR1" s="191"/>
      <c r="AS1" s="192" t="s">
        <v>387</v>
      </c>
      <c r="AT1" s="193"/>
      <c r="AU1" s="193"/>
      <c r="AV1" s="193"/>
      <c r="AW1" s="193"/>
      <c r="AX1" s="193"/>
      <c r="AY1" s="193"/>
      <c r="AZ1" s="193"/>
      <c r="BA1" s="193"/>
      <c r="BB1" s="193"/>
      <c r="BC1" s="193"/>
      <c r="BD1" s="194"/>
    </row>
    <row r="2" spans="1:56" ht="15">
      <c r="A2" s="263"/>
      <c r="B2" s="263"/>
      <c r="C2" s="263"/>
      <c r="D2" s="263"/>
      <c r="E2" s="263"/>
      <c r="F2" s="263" t="s">
        <v>401</v>
      </c>
      <c r="G2" s="263" t="s">
        <v>390</v>
      </c>
      <c r="H2" s="263" t="s">
        <v>709</v>
      </c>
      <c r="I2" s="263">
        <f>'SC-New'!D62</f>
        <v>1000</v>
      </c>
      <c r="J2" s="263"/>
      <c r="K2" s="269" t="str">
        <f t="shared" ref="K2:AD2" si="0">CONCATENATE("aMW_",K$1)</f>
        <v>aMW_2016</v>
      </c>
      <c r="L2" s="270" t="str">
        <f t="shared" si="0"/>
        <v>aMW_2017</v>
      </c>
      <c r="M2" s="270" t="str">
        <f t="shared" si="0"/>
        <v>aMW_2018</v>
      </c>
      <c r="N2" s="270" t="str">
        <f t="shared" si="0"/>
        <v>aMW_2019</v>
      </c>
      <c r="O2" s="270" t="str">
        <f t="shared" si="0"/>
        <v>aMW_2020</v>
      </c>
      <c r="P2" s="270" t="str">
        <f t="shared" si="0"/>
        <v>aMW_2021</v>
      </c>
      <c r="Q2" s="270" t="str">
        <f t="shared" si="0"/>
        <v>aMW_2022</v>
      </c>
      <c r="R2" s="270" t="str">
        <f t="shared" si="0"/>
        <v>aMW_2023</v>
      </c>
      <c r="S2" s="270" t="str">
        <f t="shared" si="0"/>
        <v>aMW_2024</v>
      </c>
      <c r="T2" s="270" t="str">
        <f t="shared" si="0"/>
        <v>aMW_2025</v>
      </c>
      <c r="U2" s="270" t="str">
        <f t="shared" si="0"/>
        <v>aMW_2026</v>
      </c>
      <c r="V2" s="270" t="str">
        <f t="shared" si="0"/>
        <v>aMW_2027</v>
      </c>
      <c r="W2" s="270" t="str">
        <f t="shared" si="0"/>
        <v>aMW_2028</v>
      </c>
      <c r="X2" s="270" t="str">
        <f t="shared" si="0"/>
        <v>aMW_2029</v>
      </c>
      <c r="Y2" s="270" t="str">
        <f t="shared" si="0"/>
        <v>aMW_2030</v>
      </c>
      <c r="Z2" s="270" t="str">
        <f t="shared" si="0"/>
        <v>aMW_2031</v>
      </c>
      <c r="AA2" s="270" t="str">
        <f t="shared" si="0"/>
        <v>aMW_2032</v>
      </c>
      <c r="AB2" s="270" t="str">
        <f t="shared" si="0"/>
        <v>aMW_2033</v>
      </c>
      <c r="AC2" s="270" t="str">
        <f t="shared" si="0"/>
        <v>aMW_2034</v>
      </c>
      <c r="AD2" s="270" t="str">
        <f t="shared" si="0"/>
        <v>aMW_2035</v>
      </c>
      <c r="AE2" s="393" t="s">
        <v>1011</v>
      </c>
      <c r="AF2" s="197" t="s">
        <v>402</v>
      </c>
      <c r="AG2" s="197" t="s">
        <v>403</v>
      </c>
      <c r="AH2" s="197" t="s">
        <v>404</v>
      </c>
      <c r="AI2" s="197" t="s">
        <v>405</v>
      </c>
      <c r="AJ2" s="197" t="s">
        <v>406</v>
      </c>
      <c r="AK2" s="197" t="s">
        <v>407</v>
      </c>
      <c r="AL2" s="197" t="s">
        <v>408</v>
      </c>
      <c r="AM2" s="197" t="s">
        <v>409</v>
      </c>
      <c r="AN2" s="197" t="s">
        <v>410</v>
      </c>
      <c r="AO2" s="197" t="s">
        <v>411</v>
      </c>
      <c r="AP2" s="197" t="s">
        <v>412</v>
      </c>
      <c r="AQ2" s="197" t="s">
        <v>413</v>
      </c>
      <c r="AR2" s="197"/>
      <c r="AS2" s="197" t="s">
        <v>402</v>
      </c>
      <c r="AT2" s="197" t="s">
        <v>403</v>
      </c>
      <c r="AU2" s="197" t="s">
        <v>404</v>
      </c>
      <c r="AV2" s="197" t="s">
        <v>405</v>
      </c>
      <c r="AW2" s="197" t="s">
        <v>406</v>
      </c>
      <c r="AX2" s="197" t="s">
        <v>407</v>
      </c>
      <c r="AY2" s="197" t="s">
        <v>408</v>
      </c>
      <c r="AZ2" s="197" t="s">
        <v>409</v>
      </c>
      <c r="BA2" s="197" t="s">
        <v>410</v>
      </c>
      <c r="BB2" s="197" t="s">
        <v>411</v>
      </c>
      <c r="BC2" s="197" t="s">
        <v>412</v>
      </c>
      <c r="BD2" s="197" t="s">
        <v>413</v>
      </c>
    </row>
    <row r="3" spans="1:56" ht="15">
      <c r="A3" s="283" t="str">
        <f>VLOOKUP(CONCATENATE(C3,"-",B3),[1]!ACHIEV,2,FALSE)</f>
        <v>LO20Fast</v>
      </c>
      <c r="B3" s="283" t="str">
        <f>'SC-New'!$D$7</f>
        <v>New</v>
      </c>
      <c r="C3" s="283" t="str">
        <f>[1]MLIST!$B$66</f>
        <v>Exterior Building Lighting</v>
      </c>
      <c r="D3" s="283" t="s">
        <v>908</v>
      </c>
      <c r="E3" s="283" t="s">
        <v>1012</v>
      </c>
      <c r="F3" s="394">
        <f>VLOOKUP(I3,M_Input_Out!$A$1:$AM$3999,14,FALSE)</f>
        <v>3.4432533259467366E-2</v>
      </c>
      <c r="G3" s="395">
        <f>VLOOKUP(I3,M_Input_Out!$A$1:$AM$3999,3,FALSE)</f>
        <v>147.30939530738755</v>
      </c>
      <c r="H3" s="395">
        <f>VLOOKUP(I3,M_Input_Out!$A$1:$AM$3999,11,FALSE)</f>
        <v>-20.650247166381963</v>
      </c>
      <c r="I3" s="24" t="str">
        <f>'SC-New'!C64</f>
        <v>Exterior Lighting: Parking Lot - HPS 250W - New</v>
      </c>
      <c r="J3" s="24"/>
      <c r="K3" s="45">
        <f>'SC-New'!E64</f>
        <v>0.12640717570355209</v>
      </c>
      <c r="L3" s="45">
        <f>'SC-New'!F64</f>
        <v>0.19432003148270208</v>
      </c>
      <c r="M3" s="45">
        <f>'SC-New'!G64</f>
        <v>0.22639710805639535</v>
      </c>
      <c r="N3" s="45">
        <f>'SC-New'!H64</f>
        <v>0.27050901472930905</v>
      </c>
      <c r="O3" s="45">
        <f>'SC-New'!I64</f>
        <v>0.26099473516494448</v>
      </c>
      <c r="P3" s="45">
        <f>'SC-New'!J64</f>
        <v>0.25920862714169146</v>
      </c>
      <c r="Q3" s="45">
        <f>'SC-New'!K64</f>
        <v>0.30186803886979796</v>
      </c>
      <c r="R3" s="45">
        <f>'SC-New'!L64</f>
        <v>0.31415810216231888</v>
      </c>
      <c r="S3" s="45">
        <f>'SC-New'!M64</f>
        <v>0.34963528152495021</v>
      </c>
      <c r="T3" s="45">
        <f>'SC-New'!N64</f>
        <v>0.38317939986690208</v>
      </c>
      <c r="U3" s="45">
        <f>'SC-New'!O64</f>
        <v>0.41545759165835155</v>
      </c>
      <c r="V3" s="45">
        <f>'SC-New'!P64</f>
        <v>0.47471172616480911</v>
      </c>
      <c r="W3" s="45">
        <f>'SC-New'!Q64</f>
        <v>0.51895590801268865</v>
      </c>
      <c r="X3" s="45">
        <f>'SC-New'!R64</f>
        <v>0.49982336492416296</v>
      </c>
      <c r="Y3" s="45">
        <f>'SC-New'!S64</f>
        <v>0.52818669469478796</v>
      </c>
      <c r="Z3" s="45">
        <f>'SC-New'!T64</f>
        <v>0.51302167685392686</v>
      </c>
      <c r="AA3" s="45">
        <f>'SC-New'!U64</f>
        <v>0.50336429698593421</v>
      </c>
      <c r="AB3" s="45">
        <f>'SC-New'!V64</f>
        <v>0.47837912673870575</v>
      </c>
      <c r="AC3" s="45">
        <f>'SC-New'!W64</f>
        <v>0.46863442429941132</v>
      </c>
      <c r="AD3" s="45">
        <f>'SC-New'!X64</f>
        <v>0.47391933044771722</v>
      </c>
      <c r="AE3" s="45">
        <f>'SC-New'!Y64</f>
        <v>7.5611316554830594</v>
      </c>
      <c r="AF3" s="396">
        <f>VLOOKUP($I3,M_Input_Out!$A$1:$AM$3999,15,FALSE)</f>
        <v>6.1214275281786348</v>
      </c>
      <c r="AG3" s="396">
        <f>VLOOKUP($I3,M_Input_Out!$A$1:$AM$3999,16,FALSE)</f>
        <v>4.5012253649611278</v>
      </c>
      <c r="AH3" s="396">
        <f>VLOOKUP($I3,M_Input_Out!$A$1:$AM$3999,17,FALSE)</f>
        <v>4.1671281536517206</v>
      </c>
      <c r="AI3" s="396">
        <f>VLOOKUP($I3,M_Input_Out!$A$1:$AM$3999,18,FALSE)</f>
        <v>2.3829983843623639</v>
      </c>
      <c r="AJ3" s="396">
        <f>VLOOKUP($I3,M_Input_Out!$A$1:$AM$3999,19,FALSE)</f>
        <v>1.914118422159945</v>
      </c>
      <c r="AK3" s="396">
        <f>VLOOKUP($I3,M_Input_Out!$A$1:$AM$3999,20,FALSE)</f>
        <v>1.4855513534589628</v>
      </c>
      <c r="AL3" s="396">
        <f>VLOOKUP($I3,M_Input_Out!$A$1:$AM$3999,21,FALSE)</f>
        <v>1.5559194638995804</v>
      </c>
      <c r="AM3" s="396">
        <f>VLOOKUP($I3,M_Input_Out!$A$1:$AM$3999,22,FALSE)</f>
        <v>2.2593752178613391</v>
      </c>
      <c r="AN3" s="396">
        <f>VLOOKUP($I3,M_Input_Out!$A$1:$AM$3999,23,FALSE)</f>
        <v>2.8494539364356686</v>
      </c>
      <c r="AO3" s="396">
        <f>VLOOKUP($I3,M_Input_Out!$A$1:$AM$3999,24,FALSE)</f>
        <v>4.6441338465490487</v>
      </c>
      <c r="AP3" s="396">
        <f>VLOOKUP($I3,M_Input_Out!$A$1:$AM$3999,25,FALSE)</f>
        <v>5.4143844104985908</v>
      </c>
      <c r="AQ3" s="396">
        <f>VLOOKUP($I3,M_Input_Out!$A$1:$AM$3999,26,FALSE)</f>
        <v>6.4230876376300188</v>
      </c>
      <c r="AR3" s="396"/>
      <c r="AS3" s="396">
        <f>VLOOKUP($I3,M_Input_Out!$A$1:$AM$3999,28,FALSE)</f>
        <v>10.051032197863719</v>
      </c>
      <c r="AT3" s="396">
        <f>VLOOKUP($I3,M_Input_Out!$A$1:$AM$3999,29,FALSE)</f>
        <v>8.6948980365836448</v>
      </c>
      <c r="AU3" s="396">
        <f>VLOOKUP($I3,M_Input_Out!$A$1:$AM$3999,30,FALSE)</f>
        <v>8.7374957486895504</v>
      </c>
      <c r="AV3" s="396">
        <f>VLOOKUP($I3,M_Input_Out!$A$1:$AM$3999,31,FALSE)</f>
        <v>8.279007135819942</v>
      </c>
      <c r="AW3" s="396">
        <f>VLOOKUP($I3,M_Input_Out!$A$1:$AM$3999,32,FALSE)</f>
        <v>7.6241768312418259</v>
      </c>
      <c r="AX3" s="396">
        <f>VLOOKUP($I3,M_Input_Out!$A$1:$AM$3999,33,FALSE)</f>
        <v>6.925143416401017</v>
      </c>
      <c r="AY3" s="396">
        <f>VLOOKUP($I3,M_Input_Out!$A$1:$AM$3999,34,FALSE)</f>
        <v>7.5709521345430195</v>
      </c>
      <c r="AZ3" s="396">
        <f>VLOOKUP($I3,M_Input_Out!$A$1:$AM$3999,35,FALSE)</f>
        <v>8.1823140592106416</v>
      </c>
      <c r="BA3" s="396">
        <f>VLOOKUP($I3,M_Input_Out!$A$1:$AM$3999,36,FALSE)</f>
        <v>8.7840949411056624</v>
      </c>
      <c r="BB3" s="396">
        <f>VLOOKUP($I3,M_Input_Out!$A$1:$AM$3999,37,FALSE)</f>
        <v>9.0923742042230877</v>
      </c>
      <c r="BC3" s="396">
        <f>VLOOKUP($I3,M_Input_Out!$A$1:$AM$3999,38,FALSE)</f>
        <v>9.5858396301302093</v>
      </c>
      <c r="BD3" s="396">
        <f>VLOOKUP($I3,M_Input_Out!$A$1:$AM$3999,39,FALSE)</f>
        <v>10.063263251928216</v>
      </c>
    </row>
    <row r="4" spans="1:56" ht="15">
      <c r="A4" s="283" t="str">
        <f>VLOOKUP(CONCATENATE(C4,"-",B4),[1]!ACHIEV,2,FALSE)</f>
        <v>LO20Fast</v>
      </c>
      <c r="B4" s="283" t="str">
        <f>'SC-New'!$D$7</f>
        <v>New</v>
      </c>
      <c r="C4" s="283" t="str">
        <f>[1]MLIST!$B$66</f>
        <v>Exterior Building Lighting</v>
      </c>
      <c r="D4" s="283" t="s">
        <v>908</v>
      </c>
      <c r="E4" s="283" t="s">
        <v>1012</v>
      </c>
      <c r="F4" s="394">
        <f>VLOOKUP(I4,M_Input_Out!$A$1:$AM$3999,14,FALSE)</f>
        <v>1.7661552594090916E-2</v>
      </c>
      <c r="G4" s="395">
        <f>VLOOKUP(I4,M_Input_Out!$A$1:$AM$3999,3,FALSE)</f>
        <v>75.559721767198283</v>
      </c>
      <c r="H4" s="395">
        <f>VLOOKUP(I4,M_Input_Out!$A$1:$AM$3999,11,FALSE)</f>
        <v>-22.291408773955858</v>
      </c>
      <c r="I4" s="24" t="str">
        <f>'SC-New'!C65</f>
        <v>Exterior Lighting: Walkway - HID 150W - New</v>
      </c>
      <c r="K4" s="45">
        <f>'SC-New'!E65</f>
        <v>6.946960903231153E-2</v>
      </c>
      <c r="L4" s="45">
        <f>'SC-New'!F65</f>
        <v>0.10679248657456115</v>
      </c>
      <c r="M4" s="45">
        <f>'SC-New'!G65</f>
        <v>0.12442108998312042</v>
      </c>
      <c r="N4" s="45">
        <f>'SC-New'!H65</f>
        <v>0.14866367663361088</v>
      </c>
      <c r="O4" s="45">
        <f>'SC-New'!I65</f>
        <v>0.1434349126976886</v>
      </c>
      <c r="P4" s="45">
        <f>'SC-New'!J65</f>
        <v>0.14245332106434772</v>
      </c>
      <c r="Q4" s="45">
        <f>'SC-New'!K65</f>
        <v>0.16589765986715427</v>
      </c>
      <c r="R4" s="45">
        <f>'SC-New'!L65</f>
        <v>0.17265191165042379</v>
      </c>
      <c r="S4" s="45">
        <f>'SC-New'!M65</f>
        <v>0.19214911001890167</v>
      </c>
      <c r="T4" s="45">
        <f>'SC-New'!N65</f>
        <v>0.21058395577492076</v>
      </c>
      <c r="U4" s="45">
        <f>'SC-New'!O65</f>
        <v>0.22832308610151469</v>
      </c>
      <c r="V4" s="45">
        <f>'SC-New'!P65</f>
        <v>0.26088738899651198</v>
      </c>
      <c r="W4" s="45">
        <f>'SC-New'!Q65</f>
        <v>0.28520267013320066</v>
      </c>
      <c r="X4" s="45">
        <f>'SC-New'!R65</f>
        <v>0.27468799578219083</v>
      </c>
      <c r="Y4" s="45">
        <f>'SC-New'!S65</f>
        <v>0.29027563484661212</v>
      </c>
      <c r="Z4" s="45">
        <f>'SC-New'!T65</f>
        <v>0.28194139389463219</v>
      </c>
      <c r="AA4" s="45">
        <f>'SC-New'!U65</f>
        <v>0.27663398630505559</v>
      </c>
      <c r="AB4" s="45">
        <f>'SC-New'!V65</f>
        <v>0.26290288283707491</v>
      </c>
      <c r="AC4" s="45">
        <f>'SC-New'!W65</f>
        <v>0.25754748536991218</v>
      </c>
      <c r="AD4" s="45">
        <f>'SC-New'!X65</f>
        <v>0.26045191197268891</v>
      </c>
      <c r="AE4" s="45">
        <f>'SC-New'!Y65</f>
        <v>4.1553721695364354</v>
      </c>
      <c r="AF4" s="396">
        <f>VLOOKUP($I4,M_Input_Out!$A$1:$AM$3999,15,FALSE)</f>
        <v>3.1398768549832607</v>
      </c>
      <c r="AG4" s="396">
        <f>VLOOKUP($I4,M_Input_Out!$A$1:$AM$3999,16,FALSE)</f>
        <v>2.3088231098784622</v>
      </c>
      <c r="AH4" s="396">
        <f>VLOOKUP($I4,M_Input_Out!$A$1:$AM$3999,17,FALSE)</f>
        <v>2.1374539159648025</v>
      </c>
      <c r="AI4" s="396">
        <f>VLOOKUP($I4,M_Input_Out!$A$1:$AM$3999,18,FALSE)</f>
        <v>1.2223164348640381</v>
      </c>
      <c r="AJ4" s="396">
        <f>VLOOKUP($I4,M_Input_Out!$A$1:$AM$3999,19,FALSE)</f>
        <v>0.98181283757276283</v>
      </c>
      <c r="AK4" s="396">
        <f>VLOOKUP($I4,M_Input_Out!$A$1:$AM$3999,20,FALSE)</f>
        <v>0.76198701857419704</v>
      </c>
      <c r="AL4" s="396">
        <f>VLOOKUP($I4,M_Input_Out!$A$1:$AM$3999,21,FALSE)</f>
        <v>0.79808108328121508</v>
      </c>
      <c r="AM4" s="396">
        <f>VLOOKUP($I4,M_Input_Out!$A$1:$AM$3999,22,FALSE)</f>
        <v>1.1589061408681534</v>
      </c>
      <c r="AN4" s="396">
        <f>VLOOKUP($I4,M_Input_Out!$A$1:$AM$3999,23,FALSE)</f>
        <v>1.4615764743060453</v>
      </c>
      <c r="AO4" s="396">
        <f>VLOOKUP($I4,M_Input_Out!$A$1:$AM$3999,24,FALSE)</f>
        <v>2.3821254616016763</v>
      </c>
      <c r="AP4" s="396">
        <f>VLOOKUP($I4,M_Input_Out!$A$1:$AM$3999,25,FALSE)</f>
        <v>2.7772117232865496</v>
      </c>
      <c r="AQ4" s="396">
        <f>VLOOKUP($I4,M_Input_Out!$A$1:$AM$3999,26,FALSE)</f>
        <v>3.2946080171799874</v>
      </c>
      <c r="AR4" s="396"/>
      <c r="AS4" s="396">
        <f>VLOOKUP($I4,M_Input_Out!$A$1:$AM$3999,28,FALSE)</f>
        <v>5.1554973446126651</v>
      </c>
      <c r="AT4" s="396">
        <f>VLOOKUP($I4,M_Input_Out!$A$1:$AM$3999,29,FALSE)</f>
        <v>4.4598925619611922</v>
      </c>
      <c r="AU4" s="396">
        <f>VLOOKUP($I4,M_Input_Out!$A$1:$AM$3999,30,FALSE)</f>
        <v>4.4817422971252334</v>
      </c>
      <c r="AV4" s="396">
        <f>VLOOKUP($I4,M_Input_Out!$A$1:$AM$3999,31,FALSE)</f>
        <v>4.2465687567711585</v>
      </c>
      <c r="AW4" s="396">
        <f>VLOOKUP($I4,M_Input_Out!$A$1:$AM$3999,32,FALSE)</f>
        <v>3.9106852544636124</v>
      </c>
      <c r="AX4" s="396">
        <f>VLOOKUP($I4,M_Input_Out!$A$1:$AM$3999,33,FALSE)</f>
        <v>3.5521285566974572</v>
      </c>
      <c r="AY4" s="396">
        <f>VLOOKUP($I4,M_Input_Out!$A$1:$AM$3999,34,FALSE)</f>
        <v>3.8833845974667289</v>
      </c>
      <c r="AZ4" s="396">
        <f>VLOOKUP($I4,M_Input_Out!$A$1:$AM$3999,35,FALSE)</f>
        <v>4.1969717711195127</v>
      </c>
      <c r="BA4" s="396">
        <f>VLOOKUP($I4,M_Input_Out!$A$1:$AM$3999,36,FALSE)</f>
        <v>4.5056445201042248</v>
      </c>
      <c r="BB4" s="396">
        <f>VLOOKUP($I4,M_Input_Out!$A$1:$AM$3999,37,FALSE)</f>
        <v>4.6637708588835229</v>
      </c>
      <c r="BC4" s="396">
        <f>VLOOKUP($I4,M_Input_Out!$A$1:$AM$3999,38,FALSE)</f>
        <v>4.916885130417052</v>
      </c>
      <c r="BD4" s="396">
        <f>VLOOKUP($I4,M_Input_Out!$A$1:$AM$3999,39,FALSE)</f>
        <v>5.1617710452147518</v>
      </c>
    </row>
    <row r="5" spans="1:56" ht="15">
      <c r="A5" s="283" t="str">
        <f>VLOOKUP(CONCATENATE(C5,"-",B5),[1]!ACHIEV,2,FALSE)</f>
        <v>LO20Fast</v>
      </c>
      <c r="B5" s="283" t="str">
        <f>'SC-New'!$D$7</f>
        <v>New</v>
      </c>
      <c r="C5" s="283" t="str">
        <f>[1]MLIST!$B$66</f>
        <v>Exterior Building Lighting</v>
      </c>
      <c r="D5" s="283" t="s">
        <v>908</v>
      </c>
      <c r="E5" s="283" t="s">
        <v>1012</v>
      </c>
      <c r="F5" s="394">
        <f>VLOOKUP(I5,M_Input_Out!$A$1:$AM$3999,14,FALSE)</f>
        <v>1.770222123302621E-2</v>
      </c>
      <c r="G5" s="395">
        <f>VLOOKUP(I5,M_Input_Out!$A$1:$AM$3999,3,FALSE)</f>
        <v>75.7337104936271</v>
      </c>
      <c r="H5" s="395">
        <f>VLOOKUP(I5,M_Input_Out!$A$1:$AM$3999,11,FALSE)</f>
        <v>-22.537866130177878</v>
      </c>
      <c r="I5" s="24" t="str">
        <f>'SC-New'!C66</f>
        <v>Exterior Lighting: Façade - HID 150W - New</v>
      </c>
      <c r="K5" s="45">
        <f>'SC-New'!E66</f>
        <v>6.9629574269323369E-2</v>
      </c>
      <c r="L5" s="45">
        <f>'SC-New'!F66</f>
        <v>0.10703839389524349</v>
      </c>
      <c r="M5" s="45">
        <f>'SC-New'!G66</f>
        <v>0.12470759007180188</v>
      </c>
      <c r="N5" s="45">
        <f>'SC-New'!H66</f>
        <v>0.14900599927798752</v>
      </c>
      <c r="O5" s="45">
        <f>'SC-New'!I66</f>
        <v>0.14376519525037704</v>
      </c>
      <c r="P5" s="45">
        <f>'SC-New'!J66</f>
        <v>0.14278134334034157</v>
      </c>
      <c r="Q5" s="45">
        <f>'SC-New'!K66</f>
        <v>0.1662796666014662</v>
      </c>
      <c r="R5" s="45">
        <f>'SC-New'!L66</f>
        <v>0.17304947116389197</v>
      </c>
      <c r="S5" s="45">
        <f>'SC-New'!M66</f>
        <v>0.19259156504857505</v>
      </c>
      <c r="T5" s="45">
        <f>'SC-New'!N66</f>
        <v>0.21106886007862513</v>
      </c>
      <c r="U5" s="45">
        <f>'SC-New'!O66</f>
        <v>0.22884883767968348</v>
      </c>
      <c r="V5" s="45">
        <f>'SC-New'!P66</f>
        <v>0.26148812525507964</v>
      </c>
      <c r="W5" s="45">
        <f>'SC-New'!Q66</f>
        <v>0.28585939633851226</v>
      </c>
      <c r="X5" s="45">
        <f>'SC-New'!R66</f>
        <v>0.27532051021492893</v>
      </c>
      <c r="Y5" s="45">
        <f>'SC-New'!S66</f>
        <v>0.29094404239019578</v>
      </c>
      <c r="Z5" s="45">
        <f>'SC-New'!T66</f>
        <v>0.28259061047330658</v>
      </c>
      <c r="AA5" s="45">
        <f>'SC-New'!U66</f>
        <v>0.27727098170205344</v>
      </c>
      <c r="AB5" s="45">
        <f>'SC-New'!V66</f>
        <v>0.26350826010275913</v>
      </c>
      <c r="AC5" s="45">
        <f>'SC-New'!W66</f>
        <v>0.2581405309493085</v>
      </c>
      <c r="AD5" s="45">
        <f>'SC-New'!X66</f>
        <v>0.26105164547355719</v>
      </c>
      <c r="AE5" s="45">
        <f>'SC-New'!Y66</f>
        <v>4.1649405995770179</v>
      </c>
      <c r="AF5" s="396">
        <f>VLOOKUP($I5,M_Input_Out!$A$1:$AM$3999,15,FALSE)</f>
        <v>3.1471069395093139</v>
      </c>
      <c r="AG5" s="396">
        <f>VLOOKUP($I5,M_Input_Out!$A$1:$AM$3999,16,FALSE)</f>
        <v>2.31413955603578</v>
      </c>
      <c r="AH5" s="396">
        <f>VLOOKUP($I5,M_Input_Out!$A$1:$AM$3999,17,FALSE)</f>
        <v>2.1423757562778842</v>
      </c>
      <c r="AI5" s="396">
        <f>VLOOKUP($I5,M_Input_Out!$A$1:$AM$3999,18,FALSE)</f>
        <v>1.2251310201327645</v>
      </c>
      <c r="AJ5" s="396">
        <f>VLOOKUP($I5,M_Input_Out!$A$1:$AM$3999,19,FALSE)</f>
        <v>0.98407362362656903</v>
      </c>
      <c r="AK5" s="396">
        <f>VLOOKUP($I5,M_Input_Out!$A$1:$AM$3999,20,FALSE)</f>
        <v>0.76374161940935492</v>
      </c>
      <c r="AL5" s="396">
        <f>VLOOKUP($I5,M_Input_Out!$A$1:$AM$3999,21,FALSE)</f>
        <v>0.79991879665574095</v>
      </c>
      <c r="AM5" s="396">
        <f>VLOOKUP($I5,M_Input_Out!$A$1:$AM$3999,22,FALSE)</f>
        <v>1.1615747134725027</v>
      </c>
      <c r="AN5" s="396">
        <f>VLOOKUP($I5,M_Input_Out!$A$1:$AM$3999,23,FALSE)</f>
        <v>1.4649419952925617</v>
      </c>
      <c r="AO5" s="396">
        <f>VLOOKUP($I5,M_Input_Out!$A$1:$AM$3999,24,FALSE)</f>
        <v>2.3876106985184391</v>
      </c>
      <c r="AP5" s="396">
        <f>VLOOKUP($I5,M_Input_Out!$A$1:$AM$3999,25,FALSE)</f>
        <v>2.7836067115085368</v>
      </c>
      <c r="AQ5" s="396">
        <f>VLOOKUP($I5,M_Input_Out!$A$1:$AM$3999,26,FALSE)</f>
        <v>3.3021943957370379</v>
      </c>
      <c r="AR5" s="396"/>
      <c r="AS5" s="396">
        <f>VLOOKUP($I5,M_Input_Out!$A$1:$AM$3999,28,FALSE)</f>
        <v>5.1673687278856217</v>
      </c>
      <c r="AT5" s="396">
        <f>VLOOKUP($I5,M_Input_Out!$A$1:$AM$3999,29,FALSE)</f>
        <v>4.4701622004500132</v>
      </c>
      <c r="AU5" s="396">
        <f>VLOOKUP($I5,M_Input_Out!$A$1:$AM$3999,30,FALSE)</f>
        <v>4.492062248234391</v>
      </c>
      <c r="AV5" s="396">
        <f>VLOOKUP($I5,M_Input_Out!$A$1:$AM$3999,31,FALSE)</f>
        <v>4.2563471820009324</v>
      </c>
      <c r="AW5" s="396">
        <f>VLOOKUP($I5,M_Input_Out!$A$1:$AM$3999,32,FALSE)</f>
        <v>3.9196902525098531</v>
      </c>
      <c r="AX5" s="396">
        <f>VLOOKUP($I5,M_Input_Out!$A$1:$AM$3999,33,FALSE)</f>
        <v>3.5603079187866329</v>
      </c>
      <c r="AY5" s="396">
        <f>VLOOKUP($I5,M_Input_Out!$A$1:$AM$3999,34,FALSE)</f>
        <v>3.8923267312457321</v>
      </c>
      <c r="AZ5" s="396">
        <f>VLOOKUP($I5,M_Input_Out!$A$1:$AM$3999,35,FALSE)</f>
        <v>4.2066359911065145</v>
      </c>
      <c r="BA5" s="396">
        <f>VLOOKUP($I5,M_Input_Out!$A$1:$AM$3999,36,FALSE)</f>
        <v>4.5160195100255649</v>
      </c>
      <c r="BB5" s="396">
        <f>VLOOKUP($I5,M_Input_Out!$A$1:$AM$3999,37,FALSE)</f>
        <v>4.6745099607901333</v>
      </c>
      <c r="BC5" s="396">
        <f>VLOOKUP($I5,M_Input_Out!$A$1:$AM$3999,38,FALSE)</f>
        <v>4.9282070696967377</v>
      </c>
      <c r="BD5" s="396">
        <f>VLOOKUP($I5,M_Input_Out!$A$1:$AM$3999,39,FALSE)</f>
        <v>5.173656874718481</v>
      </c>
    </row>
    <row r="6" spans="1:56" ht="15">
      <c r="A6" s="283" t="str">
        <f>VLOOKUP(CONCATENATE(C6,"-",B6),[1]!ACHIEV,2,FALSE)</f>
        <v>LO20Fast</v>
      </c>
      <c r="B6" s="283" t="str">
        <f>'SC-New'!$D$7</f>
        <v>New</v>
      </c>
      <c r="C6" s="283" t="str">
        <f>[1]MLIST!$B$66</f>
        <v>Exterior Building Lighting</v>
      </c>
      <c r="D6" s="283" t="s">
        <v>908</v>
      </c>
      <c r="E6" s="283" t="s">
        <v>1012</v>
      </c>
      <c r="F6" s="394">
        <f>VLOOKUP(I6,M_Input_Out!$A$1:$AM$3999,14,FALSE)</f>
        <v>4.5372564079253387E-4</v>
      </c>
      <c r="G6" s="395">
        <f>VLOOKUP(I6,M_Input_Out!$A$1:$AM$3999,3,FALSE)</f>
        <v>1.9411307694657556</v>
      </c>
      <c r="H6" s="395">
        <f>VLOOKUP(I6,M_Input_Out!$A$1:$AM$3999,11,FALSE)</f>
        <v>-126.37002300184083</v>
      </c>
      <c r="I6" s="24" t="str">
        <f>'SC-New'!C67</f>
        <v>Exterior Lighting: Walkway - INC 75W - New</v>
      </c>
      <c r="K6" s="45">
        <f>'SC-New'!E67</f>
        <v>1.7846756510148571E-3</v>
      </c>
      <c r="L6" s="45">
        <f>'SC-New'!F67</f>
        <v>2.7435011245320758E-3</v>
      </c>
      <c r="M6" s="45">
        <f>'SC-New'!G67</f>
        <v>3.1963803000866699E-3</v>
      </c>
      <c r="N6" s="45">
        <f>'SC-New'!H67</f>
        <v>3.8191728379376429E-3</v>
      </c>
      <c r="O6" s="45">
        <f>'SC-New'!I67</f>
        <v>3.684845787428336E-3</v>
      </c>
      <c r="P6" s="45">
        <f>'SC-New'!J67</f>
        <v>3.6596286786570952E-3</v>
      </c>
      <c r="Q6" s="45">
        <f>'SC-New'!K67</f>
        <v>4.2619142132719638E-3</v>
      </c>
      <c r="R6" s="45">
        <f>'SC-New'!L67</f>
        <v>4.435431077211967E-3</v>
      </c>
      <c r="S6" s="45">
        <f>'SC-New'!M67</f>
        <v>4.9363144948089297E-3</v>
      </c>
      <c r="T6" s="45">
        <f>'SC-New'!N67</f>
        <v>5.4099060524594039E-3</v>
      </c>
      <c r="U6" s="45">
        <f>'SC-New'!O67</f>
        <v>5.8656246667577296E-3</v>
      </c>
      <c r="V6" s="45">
        <f>'SC-New'!P67</f>
        <v>6.7022022620331417E-3</v>
      </c>
      <c r="W6" s="45">
        <f>'SC-New'!Q67</f>
        <v>7.3268623226942792E-3</v>
      </c>
      <c r="X6" s="45">
        <f>'SC-New'!R67</f>
        <v>7.0567401274783878E-3</v>
      </c>
      <c r="Y6" s="45">
        <f>'SC-New'!S67</f>
        <v>7.4571868880487788E-3</v>
      </c>
      <c r="Z6" s="45">
        <f>'SC-New'!T67</f>
        <v>7.243080070637853E-3</v>
      </c>
      <c r="AA6" s="45">
        <f>'SC-New'!U67</f>
        <v>7.1067326630869744E-3</v>
      </c>
      <c r="AB6" s="45">
        <f>'SC-New'!V67</f>
        <v>6.7539803392690457E-3</v>
      </c>
      <c r="AC6" s="45">
        <f>'SC-New'!W67</f>
        <v>6.6164000707993253E-3</v>
      </c>
      <c r="AD6" s="45">
        <f>'SC-New'!X67</f>
        <v>6.691014848546591E-3</v>
      </c>
      <c r="AE6" s="45">
        <f>'SC-New'!Y67</f>
        <v>0.10675159447676105</v>
      </c>
      <c r="AF6" s="396">
        <f>VLOOKUP($I6,M_Input_Out!$A$1:$AM$3999,15,FALSE)</f>
        <v>8.0663499454378285E-2</v>
      </c>
      <c r="AG6" s="396">
        <f>VLOOKUP($I6,M_Input_Out!$A$1:$AM$3999,16,FALSE)</f>
        <v>5.9313712054777444E-2</v>
      </c>
      <c r="AH6" s="396">
        <f>VLOOKUP($I6,M_Input_Out!$A$1:$AM$3999,17,FALSE)</f>
        <v>5.4911234021980379E-2</v>
      </c>
      <c r="AI6" s="396">
        <f>VLOOKUP($I6,M_Input_Out!$A$1:$AM$3999,18,FALSE)</f>
        <v>3.1401333756211465E-2</v>
      </c>
      <c r="AJ6" s="396">
        <f>VLOOKUP($I6,M_Input_Out!$A$1:$AM$3999,19,FALSE)</f>
        <v>2.5222791512399732E-2</v>
      </c>
      <c r="AK6" s="396">
        <f>VLOOKUP($I6,M_Input_Out!$A$1:$AM$3999,20,FALSE)</f>
        <v>1.9575461808144946E-2</v>
      </c>
      <c r="AL6" s="396">
        <f>VLOOKUP($I6,M_Input_Out!$A$1:$AM$3999,21,FALSE)</f>
        <v>2.0502719055250057E-2</v>
      </c>
      <c r="AM6" s="396">
        <f>VLOOKUP($I6,M_Input_Out!$A$1:$AM$3999,22,FALSE)</f>
        <v>2.9772322030155639E-2</v>
      </c>
      <c r="AN6" s="396">
        <f>VLOOKUP($I6,M_Input_Out!$A$1:$AM$3999,23,FALSE)</f>
        <v>3.754792897390441E-2</v>
      </c>
      <c r="AO6" s="396">
        <f>VLOOKUP($I6,M_Input_Out!$A$1:$AM$3999,24,FALSE)</f>
        <v>6.1196850942484442E-2</v>
      </c>
      <c r="AP6" s="396">
        <f>VLOOKUP($I6,M_Input_Out!$A$1:$AM$3999,25,FALSE)</f>
        <v>7.1346624938643285E-2</v>
      </c>
      <c r="AQ6" s="396">
        <f>VLOOKUP($I6,M_Input_Out!$A$1:$AM$3999,26,FALSE)</f>
        <v>8.4638546118269667E-2</v>
      </c>
      <c r="AR6" s="396"/>
      <c r="AS6" s="396">
        <f>VLOOKUP($I6,M_Input_Out!$A$1:$AM$3999,28,FALSE)</f>
        <v>0.13244483030734319</v>
      </c>
      <c r="AT6" s="396">
        <f>VLOOKUP($I6,M_Input_Out!$A$1:$AM$3999,29,FALSE)</f>
        <v>0.11457472947303225</v>
      </c>
      <c r="AU6" s="396">
        <f>VLOOKUP($I6,M_Input_Out!$A$1:$AM$3999,30,FALSE)</f>
        <v>0.11513604960814702</v>
      </c>
      <c r="AV6" s="396">
        <f>VLOOKUP($I6,M_Input_Out!$A$1:$AM$3999,31,FALSE)</f>
        <v>0.10909443663408144</v>
      </c>
      <c r="AW6" s="396">
        <f>VLOOKUP($I6,M_Input_Out!$A$1:$AM$3999,32,FALSE)</f>
        <v>0.10046558271513885</v>
      </c>
      <c r="AX6" s="396">
        <f>VLOOKUP($I6,M_Input_Out!$A$1:$AM$3999,33,FALSE)</f>
        <v>9.1254253949578673E-2</v>
      </c>
      <c r="AY6" s="396">
        <f>VLOOKUP($I6,M_Input_Out!$A$1:$AM$3999,34,FALSE)</f>
        <v>9.976422828868188E-2</v>
      </c>
      <c r="AZ6" s="396">
        <f>VLOOKUP($I6,M_Input_Out!$A$1:$AM$3999,35,FALSE)</f>
        <v>0.1078202890767653</v>
      </c>
      <c r="BA6" s="396">
        <f>VLOOKUP($I6,M_Input_Out!$A$1:$AM$3999,36,FALSE)</f>
        <v>0.11575009819644255</v>
      </c>
      <c r="BB6" s="396">
        <f>VLOOKUP($I6,M_Input_Out!$A$1:$AM$3999,37,FALSE)</f>
        <v>0.11981236701491657</v>
      </c>
      <c r="BC6" s="396">
        <f>VLOOKUP($I6,M_Input_Out!$A$1:$AM$3999,38,FALSE)</f>
        <v>0.12631487773323868</v>
      </c>
      <c r="BD6" s="396">
        <f>VLOOKUP($I6,M_Input_Out!$A$1:$AM$3999,39,FALSE)</f>
        <v>0.13260600180178897</v>
      </c>
    </row>
    <row r="7" spans="1:56" ht="15">
      <c r="A7" s="283" t="str">
        <f>VLOOKUP(CONCATENATE(C7,"-",B7),[1]!ACHIEV,2,FALSE)</f>
        <v>LO20Fast</v>
      </c>
      <c r="B7" s="283" t="str">
        <f>'SC-New'!$D$7</f>
        <v>New</v>
      </c>
      <c r="C7" s="283" t="str">
        <f>[1]MLIST!$B$66</f>
        <v>Exterior Building Lighting</v>
      </c>
      <c r="D7" s="283" t="s">
        <v>908</v>
      </c>
      <c r="E7" s="283" t="s">
        <v>1012</v>
      </c>
      <c r="F7" s="394">
        <f>VLOOKUP(I7,M_Input_Out!$A$1:$AM$3999,14,FALSE)</f>
        <v>7.6380346401149751E-3</v>
      </c>
      <c r="G7" s="395">
        <f>VLOOKUP(I7,M_Input_Out!$A$1:$AM$3999,3,FALSE)</f>
        <v>32.677068971184418</v>
      </c>
      <c r="H7" s="395">
        <f>VLOOKUP(I7,M_Input_Out!$A$1:$AM$3999,11,FALSE)</f>
        <v>-19.102367372714323</v>
      </c>
      <c r="I7" s="24" t="str">
        <f>'SC-New'!C68</f>
        <v>Exterior Lighting: Façade - HID 400W - New</v>
      </c>
      <c r="K7" s="45">
        <f>'SC-New'!E68</f>
        <v>3.0043297575184182E-2</v>
      </c>
      <c r="L7" s="45">
        <f>'SC-New'!F68</f>
        <v>4.6184201950253106E-2</v>
      </c>
      <c r="M7" s="45">
        <f>'SC-New'!G68</f>
        <v>5.3807987162458867E-2</v>
      </c>
      <c r="N7" s="45">
        <f>'SC-New'!H68</f>
        <v>6.429210035782916E-2</v>
      </c>
      <c r="O7" s="45">
        <f>'SC-New'!I68</f>
        <v>6.2030833696543643E-2</v>
      </c>
      <c r="P7" s="45">
        <f>'SC-New'!J68</f>
        <v>6.1606327931381578E-2</v>
      </c>
      <c r="Q7" s="45">
        <f>'SC-New'!K68</f>
        <v>7.1745225456752007E-2</v>
      </c>
      <c r="R7" s="45">
        <f>'SC-New'!L68</f>
        <v>7.466621492321214E-2</v>
      </c>
      <c r="S7" s="45">
        <f>'SC-New'!M68</f>
        <v>8.3098105366040578E-2</v>
      </c>
      <c r="T7" s="45">
        <f>'SC-New'!N68</f>
        <v>9.1070563603758606E-2</v>
      </c>
      <c r="U7" s="45">
        <f>'SC-New'!O68</f>
        <v>9.8742148035433686E-2</v>
      </c>
      <c r="V7" s="45">
        <f>'SC-New'!P68</f>
        <v>0.11282512699315018</v>
      </c>
      <c r="W7" s="45">
        <f>'SC-New'!Q68</f>
        <v>0.12334067813831393</v>
      </c>
      <c r="X7" s="45">
        <f>'SC-New'!R68</f>
        <v>0.11879343086236314</v>
      </c>
      <c r="Y7" s="45">
        <f>'SC-New'!S68</f>
        <v>0.12553456681274913</v>
      </c>
      <c r="Z7" s="45">
        <f>'SC-New'!T68</f>
        <v>0.12193028453059088</v>
      </c>
      <c r="AA7" s="45">
        <f>'SC-New'!U68</f>
        <v>0.11963500710226573</v>
      </c>
      <c r="AB7" s="45">
        <f>'SC-New'!V68</f>
        <v>0.11369676110850585</v>
      </c>
      <c r="AC7" s="45">
        <f>'SC-New'!W68</f>
        <v>0.11138072965272895</v>
      </c>
      <c r="AD7" s="45">
        <f>'SC-New'!X68</f>
        <v>0.11263679765034666</v>
      </c>
      <c r="AE7" s="45">
        <f>'SC-New'!Y68</f>
        <v>1.7970603889098622</v>
      </c>
      <c r="AF7" s="396">
        <f>VLOOKUP($I7,M_Input_Out!$A$1:$AM$3999,15,FALSE)</f>
        <v>1.3578924081726151</v>
      </c>
      <c r="AG7" s="396">
        <f>VLOOKUP($I7,M_Input_Out!$A$1:$AM$3999,16,FALSE)</f>
        <v>0.99848927761027284</v>
      </c>
      <c r="AH7" s="396">
        <f>VLOOKUP($I7,M_Input_Out!$A$1:$AM$3999,17,FALSE)</f>
        <v>0.92437779548615628</v>
      </c>
      <c r="AI7" s="396">
        <f>VLOOKUP($I7,M_Input_Out!$A$1:$AM$3999,18,FALSE)</f>
        <v>0.52861124303403384</v>
      </c>
      <c r="AJ7" s="396">
        <f>VLOOKUP($I7,M_Input_Out!$A$1:$AM$3999,19,FALSE)</f>
        <v>0.42460142864219907</v>
      </c>
      <c r="AK7" s="396">
        <f>VLOOKUP($I7,M_Input_Out!$A$1:$AM$3999,20,FALSE)</f>
        <v>0.32953406628219623</v>
      </c>
      <c r="AL7" s="396">
        <f>VLOOKUP($I7,M_Input_Out!$A$1:$AM$3999,21,FALSE)</f>
        <v>0.34514354993693402</v>
      </c>
      <c r="AM7" s="396">
        <f>VLOOKUP($I7,M_Input_Out!$A$1:$AM$3999,22,FALSE)</f>
        <v>0.50118839787360969</v>
      </c>
      <c r="AN7" s="396">
        <f>VLOOKUP($I7,M_Input_Out!$A$1:$AM$3999,23,FALSE)</f>
        <v>0.63208325997691295</v>
      </c>
      <c r="AO7" s="396">
        <f>VLOOKUP($I7,M_Input_Out!$A$1:$AM$3999,24,FALSE)</f>
        <v>1.0301901090451673</v>
      </c>
      <c r="AP7" s="396">
        <f>VLOOKUP($I7,M_Input_Out!$A$1:$AM$3999,25,FALSE)</f>
        <v>1.2010517893253161</v>
      </c>
      <c r="AQ7" s="396">
        <f>VLOOKUP($I7,M_Input_Out!$A$1:$AM$3999,26,FALSE)</f>
        <v>1.4248084944265076</v>
      </c>
      <c r="AR7" s="396"/>
      <c r="AS7" s="396">
        <f>VLOOKUP($I7,M_Input_Out!$A$1:$AM$3999,28,FALSE)</f>
        <v>2.2295812950412466</v>
      </c>
      <c r="AT7" s="396">
        <f>VLOOKUP($I7,M_Input_Out!$A$1:$AM$3999,29,FALSE)</f>
        <v>1.9287553400513546</v>
      </c>
      <c r="AU7" s="396">
        <f>VLOOKUP($I7,M_Input_Out!$A$1:$AM$3999,30,FALSE)</f>
        <v>1.9382046244883369</v>
      </c>
      <c r="AV7" s="396">
        <f>VLOOKUP($I7,M_Input_Out!$A$1:$AM$3999,31,FALSE)</f>
        <v>1.8364998826150838</v>
      </c>
      <c r="AW7" s="396">
        <f>VLOOKUP($I7,M_Input_Out!$A$1:$AM$3999,32,FALSE)</f>
        <v>1.6912414285804978</v>
      </c>
      <c r="AX7" s="396">
        <f>VLOOKUP($I7,M_Input_Out!$A$1:$AM$3999,33,FALSE)</f>
        <v>1.5361775708934102</v>
      </c>
      <c r="AY7" s="396">
        <f>VLOOKUP($I7,M_Input_Out!$A$1:$AM$3999,34,FALSE)</f>
        <v>1.6794348015736593</v>
      </c>
      <c r="AZ7" s="396">
        <f>VLOOKUP($I7,M_Input_Out!$A$1:$AM$3999,35,FALSE)</f>
        <v>1.8150508343259031</v>
      </c>
      <c r="BA7" s="396">
        <f>VLOOKUP($I7,M_Input_Out!$A$1:$AM$3999,36,FALSE)</f>
        <v>1.948541541705364</v>
      </c>
      <c r="BB7" s="396">
        <f>VLOOKUP($I7,M_Input_Out!$A$1:$AM$3999,37,FALSE)</f>
        <v>2.0169259290165296</v>
      </c>
      <c r="BC7" s="396">
        <f>VLOOKUP($I7,M_Input_Out!$A$1:$AM$3999,38,FALSE)</f>
        <v>2.1263894409915411</v>
      </c>
      <c r="BD7" s="396">
        <f>VLOOKUP($I7,M_Input_Out!$A$1:$AM$3999,39,FALSE)</f>
        <v>2.2322944620895657</v>
      </c>
    </row>
    <row r="8" spans="1:56" ht="15">
      <c r="A8" s="283" t="str">
        <f>VLOOKUP(CONCATENATE(C8,"-",B8),[1]!ACHIEV,2,FALSE)</f>
        <v>LO20Fast</v>
      </c>
      <c r="B8" s="283" t="str">
        <f>'SC-New'!$D$7</f>
        <v>New</v>
      </c>
      <c r="C8" s="283" t="str">
        <f>[1]MLIST!$B$66</f>
        <v>Exterior Building Lighting</v>
      </c>
      <c r="D8" s="283" t="s">
        <v>908</v>
      </c>
      <c r="E8" s="283" t="s">
        <v>1012</v>
      </c>
      <c r="F8" s="394">
        <f>VLOOKUP(I8,M_Input_Out!$A$1:$AM$3999,14,FALSE)</f>
        <v>6.1124116107701858E-4</v>
      </c>
      <c r="G8" s="395">
        <f>VLOOKUP(I8,M_Input_Out!$A$1:$AM$3999,3,FALSE)</f>
        <v>2.6150142699850236</v>
      </c>
      <c r="H8" s="395">
        <f>VLOOKUP(I8,M_Input_Out!$A$1:$AM$3999,11,FALSE)</f>
        <v>-43.838014609514389</v>
      </c>
      <c r="I8" s="24" t="str">
        <f>'SC-New'!C69</f>
        <v>Exterior Lighting: Walkway - CFL 26W - New</v>
      </c>
      <c r="K8" s="45">
        <f>'SC-New'!E69</f>
        <v>2.4042441488798393E-3</v>
      </c>
      <c r="L8" s="45">
        <f>'SC-New'!F69</f>
        <v>3.6959357417974837E-3</v>
      </c>
      <c r="M8" s="45">
        <f>'SC-New'!G69</f>
        <v>4.3060365785279522E-3</v>
      </c>
      <c r="N8" s="45">
        <f>'SC-New'!H69</f>
        <v>5.1450379479043773E-3</v>
      </c>
      <c r="O8" s="45">
        <f>'SC-New'!I69</f>
        <v>4.9640778809927006E-3</v>
      </c>
      <c r="P8" s="45">
        <f>'SC-New'!J69</f>
        <v>4.9301063936916627E-3</v>
      </c>
      <c r="Q8" s="45">
        <f>'SC-New'!K69</f>
        <v>5.7414815428563498E-3</v>
      </c>
      <c r="R8" s="45">
        <f>'SC-New'!L69</f>
        <v>5.975236569783794E-3</v>
      </c>
      <c r="S8" s="45">
        <f>'SC-New'!M69</f>
        <v>6.6500068146423718E-3</v>
      </c>
      <c r="T8" s="45">
        <f>'SC-New'!N69</f>
        <v>7.2880105498267225E-3</v>
      </c>
      <c r="U8" s="45">
        <f>'SC-New'!O69</f>
        <v>7.9019365656488854E-3</v>
      </c>
      <c r="V8" s="45">
        <f>'SC-New'!P69</f>
        <v>9.0289406727431503E-3</v>
      </c>
      <c r="W8" s="45">
        <f>'SC-New'!Q69</f>
        <v>9.870457894670533E-3</v>
      </c>
      <c r="X8" s="45">
        <f>'SC-New'!R69</f>
        <v>9.5065600026580099E-3</v>
      </c>
      <c r="Y8" s="45">
        <f>'SC-New'!S69</f>
        <v>1.004602597256227E-2</v>
      </c>
      <c r="Z8" s="45">
        <f>'SC-New'!T69</f>
        <v>9.7575897725710962E-3</v>
      </c>
      <c r="AA8" s="45">
        <f>'SC-New'!U69</f>
        <v>9.5739079609025602E-3</v>
      </c>
      <c r="AB8" s="45">
        <f>'SC-New'!V69</f>
        <v>9.0986940417454587E-3</v>
      </c>
      <c r="AC8" s="45">
        <f>'SC-New'!W69</f>
        <v>8.9133513688168797E-3</v>
      </c>
      <c r="AD8" s="45">
        <f>'SC-New'!X69</f>
        <v>9.0138694336634653E-3</v>
      </c>
      <c r="AE8" s="45">
        <f>'SC-New'!Y69</f>
        <v>0.14381150785488558</v>
      </c>
      <c r="AF8" s="396">
        <f>VLOOKUP($I8,M_Input_Out!$A$1:$AM$3999,15,FALSE)</f>
        <v>0.10866666247229853</v>
      </c>
      <c r="AG8" s="396">
        <f>VLOOKUP($I8,M_Input_Out!$A$1:$AM$3999,16,FALSE)</f>
        <v>7.9905076911286385E-2</v>
      </c>
      <c r="AH8" s="396">
        <f>VLOOKUP($I8,M_Input_Out!$A$1:$AM$3999,17,FALSE)</f>
        <v>7.3974233374027726E-2</v>
      </c>
      <c r="AI8" s="396">
        <f>VLOOKUP($I8,M_Input_Out!$A$1:$AM$3999,18,FALSE)</f>
        <v>4.2302629560426443E-2</v>
      </c>
      <c r="AJ8" s="396">
        <f>VLOOKUP($I8,M_Input_Out!$A$1:$AM$3999,19,FALSE)</f>
        <v>3.397914286420569E-2</v>
      </c>
      <c r="AK8" s="396">
        <f>VLOOKUP($I8,M_Input_Out!$A$1:$AM$3999,20,FALSE)</f>
        <v>2.6371284601260828E-2</v>
      </c>
      <c r="AL8" s="396">
        <f>VLOOKUP($I8,M_Input_Out!$A$1:$AM$3999,21,FALSE)</f>
        <v>2.7620448733461079E-2</v>
      </c>
      <c r="AM8" s="396">
        <f>VLOOKUP($I8,M_Input_Out!$A$1:$AM$3999,22,FALSE)</f>
        <v>4.0108089668206129E-2</v>
      </c>
      <c r="AN8" s="396">
        <f>VLOOKUP($I8,M_Input_Out!$A$1:$AM$3999,23,FALSE)</f>
        <v>5.0583078492011067E-2</v>
      </c>
      <c r="AO8" s="396">
        <f>VLOOKUP($I8,M_Input_Out!$A$1:$AM$3999,24,FALSE)</f>
        <v>8.2441966821631199E-2</v>
      </c>
      <c r="AP8" s="396">
        <f>VLOOKUP($I8,M_Input_Out!$A$1:$AM$3999,25,FALSE)</f>
        <v>9.6115339195396221E-2</v>
      </c>
      <c r="AQ8" s="396">
        <f>VLOOKUP($I8,M_Input_Out!$A$1:$AM$3999,26,FALSE)</f>
        <v>0.11402168744714514</v>
      </c>
      <c r="AR8" s="396"/>
      <c r="AS8" s="396">
        <f>VLOOKUP($I8,M_Input_Out!$A$1:$AM$3999,28,FALSE)</f>
        <v>0.1784244146182741</v>
      </c>
      <c r="AT8" s="396">
        <f>VLOOKUP($I8,M_Input_Out!$A$1:$AM$3999,29,FALSE)</f>
        <v>0.15435052458321183</v>
      </c>
      <c r="AU8" s="396">
        <f>VLOOKUP($I8,M_Input_Out!$A$1:$AM$3999,30,FALSE)</f>
        <v>0.15510671277333518</v>
      </c>
      <c r="AV8" s="396">
        <f>VLOOKUP($I8,M_Input_Out!$A$1:$AM$3999,31,FALSE)</f>
        <v>0.14696769175042057</v>
      </c>
      <c r="AW8" s="396">
        <f>VLOOKUP($I8,M_Input_Out!$A$1:$AM$3999,32,FALSE)</f>
        <v>0.135343242493011</v>
      </c>
      <c r="AX8" s="396">
        <f>VLOOKUP($I8,M_Input_Out!$A$1:$AM$3999,33,FALSE)</f>
        <v>0.12293410625841673</v>
      </c>
      <c r="AY8" s="396">
        <f>VLOOKUP($I8,M_Input_Out!$A$1:$AM$3999,34,FALSE)</f>
        <v>0.13439840566782024</v>
      </c>
      <c r="AZ8" s="396">
        <f>VLOOKUP($I8,M_Input_Out!$A$1:$AM$3999,35,FALSE)</f>
        <v>0.14525121077095249</v>
      </c>
      <c r="BA8" s="396">
        <f>VLOOKUP($I8,M_Input_Out!$A$1:$AM$3999,36,FALSE)</f>
        <v>0.15593393464118435</v>
      </c>
      <c r="BB8" s="396">
        <f>VLOOKUP($I8,M_Input_Out!$A$1:$AM$3999,37,FALSE)</f>
        <v>0.16140646183817914</v>
      </c>
      <c r="BC8" s="396">
        <f>VLOOKUP($I8,M_Input_Out!$A$1:$AM$3999,38,FALSE)</f>
        <v>0.17016638599507808</v>
      </c>
      <c r="BD8" s="396">
        <f>VLOOKUP($I8,M_Input_Out!$A$1:$AM$3999,39,FALSE)</f>
        <v>0.17864153845378286</v>
      </c>
    </row>
    <row r="9" spans="1:56" ht="15">
      <c r="A9" s="283" t="str">
        <f>VLOOKUP(CONCATENATE(C9,"-",B9),[1]!ACHIEV,2,FALSE)</f>
        <v>LO20Fast</v>
      </c>
      <c r="B9" s="283" t="str">
        <f>'SC-New'!$D$7</f>
        <v>New</v>
      </c>
      <c r="C9" s="283" t="str">
        <f>[1]MLIST!$B$66</f>
        <v>Exterior Building Lighting</v>
      </c>
      <c r="D9" s="283" t="s">
        <v>908</v>
      </c>
      <c r="E9" s="283" t="s">
        <v>1012</v>
      </c>
      <c r="F9" s="394">
        <f>VLOOKUP(I9,M_Input_Out!$A$1:$AM$3999,14,FALSE)</f>
        <v>1.3594360573231034E-2</v>
      </c>
      <c r="G9" s="395">
        <f>VLOOKUP(I9,M_Input_Out!$A$1:$AM$3999,3,FALSE)</f>
        <v>58.159445328717929</v>
      </c>
      <c r="H9" s="395">
        <f>VLOOKUP(I9,M_Input_Out!$A$1:$AM$3999,11,FALSE)</f>
        <v>-11.973200574277088</v>
      </c>
      <c r="I9" s="24" t="str">
        <f>'SC-New'!C70</f>
        <v>Exterior Lighting: Parking Lot - MH 400W - New</v>
      </c>
      <c r="K9" s="45">
        <f>'SC-New'!E70</f>
        <v>4.9907008369341192E-2</v>
      </c>
      <c r="L9" s="45">
        <f>'SC-New'!F70</f>
        <v>7.6719785752363254E-2</v>
      </c>
      <c r="M9" s="45">
        <f>'SC-New'!G70</f>
        <v>8.938418490626604E-2</v>
      </c>
      <c r="N9" s="45">
        <f>'SC-New'!H70</f>
        <v>0.10680007354755337</v>
      </c>
      <c r="O9" s="45">
        <f>'SC-New'!I70</f>
        <v>0.103043726431939</v>
      </c>
      <c r="P9" s="45">
        <f>'SC-New'!J70</f>
        <v>0.10233855041982651</v>
      </c>
      <c r="Q9" s="45">
        <f>'SC-New'!K70</f>
        <v>0.11918097733345905</v>
      </c>
      <c r="R9" s="45">
        <f>'SC-New'!L70</f>
        <v>0.1240332358242113</v>
      </c>
      <c r="S9" s="45">
        <f>'SC-New'!M70</f>
        <v>0.13804003470660819</v>
      </c>
      <c r="T9" s="45">
        <f>'SC-New'!N70</f>
        <v>0.15128363884155066</v>
      </c>
      <c r="U9" s="45">
        <f>'SC-New'!O70</f>
        <v>0.16402744059898364</v>
      </c>
      <c r="V9" s="45">
        <f>'SC-New'!P70</f>
        <v>0.18742165513049899</v>
      </c>
      <c r="W9" s="45">
        <f>'SC-New'!Q70</f>
        <v>0.20488976753382612</v>
      </c>
      <c r="X9" s="45">
        <f>'SC-New'!R70</f>
        <v>0.19733601923804012</v>
      </c>
      <c r="Y9" s="45">
        <f>'SC-New'!S70</f>
        <v>0.20853418839549873</v>
      </c>
      <c r="Z9" s="45">
        <f>'SC-New'!T70</f>
        <v>0.20254686474798686</v>
      </c>
      <c r="AA9" s="45">
        <f>'SC-New'!U70</f>
        <v>0.19873401998490056</v>
      </c>
      <c r="AB9" s="45">
        <f>'SC-New'!V70</f>
        <v>0.18886958710205431</v>
      </c>
      <c r="AC9" s="45">
        <f>'SC-New'!W70</f>
        <v>0.185022266382421</v>
      </c>
      <c r="AD9" s="45">
        <f>'SC-New'!X70</f>
        <v>0.18710880817806427</v>
      </c>
      <c r="AE9" s="45">
        <f>'SC-New'!Y70</f>
        <v>2.9852218334253933</v>
      </c>
      <c r="AF9" s="396">
        <f>VLOOKUP($I9,M_Input_Out!$A$1:$AM$3999,15,FALSE)</f>
        <v>2.4168100677890703</v>
      </c>
      <c r="AG9" s="396">
        <f>VLOOKUP($I9,M_Input_Out!$A$1:$AM$3999,16,FALSE)</f>
        <v>1.7771355993921891</v>
      </c>
      <c r="AH9" s="396">
        <f>VLOOKUP($I9,M_Input_Out!$A$1:$AM$3999,17,FALSE)</f>
        <v>1.6452301737057928</v>
      </c>
      <c r="AI9" s="396">
        <f>VLOOKUP($I9,M_Input_Out!$A$1:$AM$3999,18,FALSE)</f>
        <v>0.94083519903496327</v>
      </c>
      <c r="AJ9" s="396">
        <f>VLOOKUP($I9,M_Input_Out!$A$1:$AM$3999,19,FALSE)</f>
        <v>0.75571599146140989</v>
      </c>
      <c r="AK9" s="396">
        <f>VLOOKUP($I9,M_Input_Out!$A$1:$AM$3999,20,FALSE)</f>
        <v>0.58651277838872906</v>
      </c>
      <c r="AL9" s="396">
        <f>VLOOKUP($I9,M_Input_Out!$A$1:$AM$3999,21,FALSE)</f>
        <v>0.614294918580917</v>
      </c>
      <c r="AM9" s="396">
        <f>VLOOKUP($I9,M_Input_Out!$A$1:$AM$3999,22,FALSE)</f>
        <v>0.89202734955274654</v>
      </c>
      <c r="AN9" s="396">
        <f>VLOOKUP($I9,M_Input_Out!$A$1:$AM$3999,23,FALSE)</f>
        <v>1.1249972215758555</v>
      </c>
      <c r="AO9" s="396">
        <f>VLOOKUP($I9,M_Input_Out!$A$1:$AM$3999,24,FALSE)</f>
        <v>1.8335575133141042</v>
      </c>
      <c r="AP9" s="396">
        <f>VLOOKUP($I9,M_Input_Out!$A$1:$AM$3999,25,FALSE)</f>
        <v>2.1376613043177928</v>
      </c>
      <c r="AQ9" s="396">
        <f>VLOOKUP($I9,M_Input_Out!$A$1:$AM$3999,26,FALSE)</f>
        <v>2.5359089521941232</v>
      </c>
      <c r="AR9" s="396"/>
      <c r="AS9" s="396">
        <f>VLOOKUP($I9,M_Input_Out!$A$1:$AM$3999,28,FALSE)</f>
        <v>3.9682632352745988</v>
      </c>
      <c r="AT9" s="396">
        <f>VLOOKUP($I9,M_Input_Out!$A$1:$AM$3999,29,FALSE)</f>
        <v>3.4328458544157976</v>
      </c>
      <c r="AU9" s="396">
        <f>VLOOKUP($I9,M_Input_Out!$A$1:$AM$3999,30,FALSE)</f>
        <v>3.449663921608201</v>
      </c>
      <c r="AV9" s="396">
        <f>VLOOKUP($I9,M_Input_Out!$A$1:$AM$3999,31,FALSE)</f>
        <v>3.2686473383930745</v>
      </c>
      <c r="AW9" s="396">
        <f>VLOOKUP($I9,M_Input_Out!$A$1:$AM$3999,32,FALSE)</f>
        <v>3.01011279469185</v>
      </c>
      <c r="AX9" s="396">
        <f>VLOOKUP($I9,M_Input_Out!$A$1:$AM$3999,33,FALSE)</f>
        <v>2.7341263541220129</v>
      </c>
      <c r="AY9" s="396">
        <f>VLOOKUP($I9,M_Input_Out!$A$1:$AM$3999,34,FALSE)</f>
        <v>2.9890990716273271</v>
      </c>
      <c r="AZ9" s="396">
        <f>VLOOKUP($I9,M_Input_Out!$A$1:$AM$3999,35,FALSE)</f>
        <v>3.2304717984623759</v>
      </c>
      <c r="BA9" s="396">
        <f>VLOOKUP($I9,M_Input_Out!$A$1:$AM$3999,36,FALSE)</f>
        <v>3.468061819298514</v>
      </c>
      <c r="BB9" s="396">
        <f>VLOOKUP($I9,M_Input_Out!$A$1:$AM$3999,37,FALSE)</f>
        <v>3.5897740217812037</v>
      </c>
      <c r="BC9" s="396">
        <f>VLOOKUP($I9,M_Input_Out!$A$1:$AM$3999,38,FALSE)</f>
        <v>3.7845998534925536</v>
      </c>
      <c r="BD9" s="396">
        <f>VLOOKUP($I9,M_Input_Out!$A$1:$AM$3999,39,FALSE)</f>
        <v>3.9730921962427188</v>
      </c>
    </row>
    <row r="10" spans="1:56" ht="15">
      <c r="A10" s="283" t="str">
        <f>VLOOKUP(CONCATENATE(C10,"-",B10),[1]!ACHIEV,2,FALSE)</f>
        <v>LO20Fast</v>
      </c>
      <c r="B10" s="283" t="str">
        <f>'SC-New'!$D$7</f>
        <v>New</v>
      </c>
      <c r="C10" s="283" t="str">
        <f>[1]MLIST!$B$66</f>
        <v>Exterior Building Lighting</v>
      </c>
      <c r="D10" s="283" t="s">
        <v>908</v>
      </c>
      <c r="E10" s="283" t="s">
        <v>1012</v>
      </c>
      <c r="F10" s="394">
        <f>VLOOKUP(I10,M_Input_Out!$A$1:$AM$3999,14,FALSE)</f>
        <v>1.6534036611436324E-3</v>
      </c>
      <c r="G10" s="395">
        <f>VLOOKUP(I10,M_Input_Out!$A$1:$AM$3999,3,FALSE)</f>
        <v>7.0735978583603307</v>
      </c>
      <c r="H10" s="395">
        <f>VLOOKUP(I10,M_Input_Out!$A$1:$AM$3999,11,FALSE)</f>
        <v>-3.6453467777018531</v>
      </c>
      <c r="I10" s="24" t="str">
        <f>'SC-New'!C71</f>
        <v>Exterior Lighting: Parking Lot - MH 1000W - New</v>
      </c>
      <c r="K10" s="45">
        <f>'SC-New'!E71</f>
        <v>6.0699015529336207E-3</v>
      </c>
      <c r="L10" s="45">
        <f>'SC-New'!F71</f>
        <v>9.3309850038032181E-3</v>
      </c>
      <c r="M10" s="45">
        <f>'SC-New'!G71</f>
        <v>1.0871282821743945E-2</v>
      </c>
      <c r="N10" s="45">
        <f>'SC-New'!H71</f>
        <v>1.2989476898358046E-2</v>
      </c>
      <c r="O10" s="45">
        <f>'SC-New'!I71</f>
        <v>1.2532614066154458E-2</v>
      </c>
      <c r="P10" s="45">
        <f>'SC-New'!J71</f>
        <v>1.2446847575417605E-2</v>
      </c>
      <c r="Q10" s="45">
        <f>'SC-New'!K71</f>
        <v>1.449529480995535E-2</v>
      </c>
      <c r="R10" s="45">
        <f>'SC-New'!L71</f>
        <v>1.5085447021249707E-2</v>
      </c>
      <c r="S10" s="45">
        <f>'SC-New'!M71</f>
        <v>1.6789013174898761E-2</v>
      </c>
      <c r="T10" s="45">
        <f>'SC-New'!N71</f>
        <v>1.8399756353696648E-2</v>
      </c>
      <c r="U10" s="45">
        <f>'SC-New'!O71</f>
        <v>1.9949711452292389E-2</v>
      </c>
      <c r="V10" s="45">
        <f>'SC-New'!P71</f>
        <v>2.2795014822584982E-2</v>
      </c>
      <c r="W10" s="45">
        <f>'SC-New'!Q71</f>
        <v>2.4919560574137398E-2</v>
      </c>
      <c r="X10" s="45">
        <f>'SC-New'!R71</f>
        <v>2.4000841740667342E-2</v>
      </c>
      <c r="Y10" s="45">
        <f>'SC-New'!S71</f>
        <v>2.5362810461690255E-2</v>
      </c>
      <c r="Z10" s="45">
        <f>'SC-New'!T71</f>
        <v>2.4634606822694444E-2</v>
      </c>
      <c r="AA10" s="45">
        <f>'SC-New'!U71</f>
        <v>2.4170872507520192E-2</v>
      </c>
      <c r="AB10" s="45">
        <f>'SC-New'!V71</f>
        <v>2.2971118436282755E-2</v>
      </c>
      <c r="AC10" s="45">
        <f>'SC-New'!W71</f>
        <v>2.2503191009378882E-2</v>
      </c>
      <c r="AD10" s="45">
        <f>'SC-New'!X71</f>
        <v>2.2756965052333062E-2</v>
      </c>
      <c r="AE10" s="45">
        <f>'SC-New'!Y71</f>
        <v>0.36307531215779298</v>
      </c>
      <c r="AF10" s="396">
        <f>VLOOKUP($I10,M_Input_Out!$A$1:$AM$3999,15,FALSE)</f>
        <v>0.29394266783240841</v>
      </c>
      <c r="AG10" s="396">
        <f>VLOOKUP($I10,M_Input_Out!$A$1:$AM$3999,16,FALSE)</f>
        <v>0.21614275202981206</v>
      </c>
      <c r="AH10" s="396">
        <f>VLOOKUP($I10,M_Input_Out!$A$1:$AM$3999,17,FALSE)</f>
        <v>0.20009985596421492</v>
      </c>
      <c r="AI10" s="396">
        <f>VLOOKUP($I10,M_Input_Out!$A$1:$AM$3999,18,FALSE)</f>
        <v>0.11442835830618876</v>
      </c>
      <c r="AJ10" s="396">
        <f>VLOOKUP($I10,M_Input_Out!$A$1:$AM$3999,19,FALSE)</f>
        <v>9.1913376898911395E-2</v>
      </c>
      <c r="AK10" s="396">
        <f>VLOOKUP($I10,M_Input_Out!$A$1:$AM$3999,20,FALSE)</f>
        <v>7.1334166095681648E-2</v>
      </c>
      <c r="AL10" s="396">
        <f>VLOOKUP($I10,M_Input_Out!$A$1:$AM$3999,21,FALSE)</f>
        <v>7.4713147553523887E-2</v>
      </c>
      <c r="AM10" s="396">
        <f>VLOOKUP($I10,M_Input_Out!$A$1:$AM$3999,22,FALSE)</f>
        <v>0.10849214110849645</v>
      </c>
      <c r="AN10" s="396">
        <f>VLOOKUP($I10,M_Input_Out!$A$1:$AM$3999,23,FALSE)</f>
        <v>0.13682692281920555</v>
      </c>
      <c r="AO10" s="396">
        <f>VLOOKUP($I10,M_Input_Out!$A$1:$AM$3999,24,FALSE)</f>
        <v>0.2230050239656412</v>
      </c>
      <c r="AP10" s="396">
        <f>VLOOKUP($I10,M_Input_Out!$A$1:$AM$3999,25,FALSE)</f>
        <v>0.2599914139252576</v>
      </c>
      <c r="AQ10" s="396">
        <f>VLOOKUP($I10,M_Input_Out!$A$1:$AM$3999,26,FALSE)</f>
        <v>0.30842797815301254</v>
      </c>
      <c r="AR10" s="396"/>
      <c r="AS10" s="396">
        <f>VLOOKUP($I10,M_Input_Out!$A$1:$AM$3999,28,FALSE)</f>
        <v>0.48263696745725504</v>
      </c>
      <c r="AT10" s="396">
        <f>VLOOKUP($I10,M_Input_Out!$A$1:$AM$3999,29,FALSE)</f>
        <v>0.41751723983320893</v>
      </c>
      <c r="AU10" s="396">
        <f>VLOOKUP($I10,M_Input_Out!$A$1:$AM$3999,30,FALSE)</f>
        <v>0.41956272433536601</v>
      </c>
      <c r="AV10" s="396">
        <f>VLOOKUP($I10,M_Input_Out!$A$1:$AM$3999,31,FALSE)</f>
        <v>0.39754672146392922</v>
      </c>
      <c r="AW10" s="396">
        <f>VLOOKUP($I10,M_Input_Out!$A$1:$AM$3999,32,FALSE)</f>
        <v>0.36610265619987936</v>
      </c>
      <c r="AX10" s="396">
        <f>VLOOKUP($I10,M_Input_Out!$A$1:$AM$3999,33,FALSE)</f>
        <v>0.33253601738622945</v>
      </c>
      <c r="AY10" s="396">
        <f>VLOOKUP($I10,M_Input_Out!$A$1:$AM$3999,34,FALSE)</f>
        <v>0.36354687827549825</v>
      </c>
      <c r="AZ10" s="396">
        <f>VLOOKUP($I10,M_Input_Out!$A$1:$AM$3999,35,FALSE)</f>
        <v>0.3929036507473968</v>
      </c>
      <c r="BA10" s="396">
        <f>VLOOKUP($I10,M_Input_Out!$A$1:$AM$3999,36,FALSE)</f>
        <v>0.4218003545081605</v>
      </c>
      <c r="BB10" s="396">
        <f>VLOOKUP($I10,M_Input_Out!$A$1:$AM$3999,37,FALSE)</f>
        <v>0.43660350763233169</v>
      </c>
      <c r="BC10" s="396">
        <f>VLOOKUP($I10,M_Input_Out!$A$1:$AM$3999,38,FALSE)</f>
        <v>0.46029904974346292</v>
      </c>
      <c r="BD10" s="396">
        <f>VLOOKUP($I10,M_Input_Out!$A$1:$AM$3999,39,FALSE)</f>
        <v>0.48322428612525709</v>
      </c>
    </row>
    <row r="11" spans="1:56" ht="15">
      <c r="A11" s="283" t="str">
        <f>VLOOKUP(CONCATENATE(C11,"-",B11),[1]!ACHIEV,2,FALSE)</f>
        <v>LO20Fast</v>
      </c>
      <c r="B11" s="283" t="str">
        <f>'SC-NR'!$C$7</f>
        <v>NR</v>
      </c>
      <c r="C11" s="283" t="str">
        <f>[1]MLIST!$B$66</f>
        <v>Exterior Building Lighting</v>
      </c>
      <c r="D11" s="283" t="s">
        <v>908</v>
      </c>
      <c r="E11" s="283" t="s">
        <v>1012</v>
      </c>
      <c r="F11" s="394">
        <f>VLOOKUP(I11,M_Input_Out!$A$1:$AM$3999,14,FALSE)</f>
        <v>3.4432533259467366E-2</v>
      </c>
      <c r="G11" s="395">
        <f>VLOOKUP(I11,M_Input_Out!$A$1:$AM$3999,3,FALSE)</f>
        <v>147.30939530738755</v>
      </c>
      <c r="H11" s="395">
        <f>VLOOKUP(I11,M_Input_Out!$A$1:$AM$3999,11,FALSE)</f>
        <v>1.7690625707805541</v>
      </c>
      <c r="I11" s="24" t="str">
        <f>'SC-NR'!D90</f>
        <v>Exterior Lighting: Parking Lot - HPS 250W - NR</v>
      </c>
      <c r="K11" s="45">
        <f ca="1">'SC-NR'!E118</f>
        <v>1.3013706447637745</v>
      </c>
      <c r="L11" s="45">
        <f ca="1">'SC-NR'!F118</f>
        <v>2.304479805402055</v>
      </c>
      <c r="M11" s="45">
        <f ca="1">'SC-NR'!G118</f>
        <v>3.0763854386790119</v>
      </c>
      <c r="N11" s="45">
        <f ca="1">'SC-NR'!H118</f>
        <v>3.6690749995250749</v>
      </c>
      <c r="O11" s="45">
        <f ca="1">'SC-NR'!I118</f>
        <v>4.1228524933310489</v>
      </c>
      <c r="P11" s="45">
        <f ca="1">'SC-NR'!J118</f>
        <v>4.5335503949833038</v>
      </c>
      <c r="Q11" s="45">
        <f ca="1">'SC-NR'!K118</f>
        <v>4.7802914587044958</v>
      </c>
      <c r="R11" s="45">
        <f ca="1">'SC-NR'!L118</f>
        <v>4.9663043326540279</v>
      </c>
      <c r="S11" s="45">
        <f ca="1">'SC-NR'!M118</f>
        <v>5.1092888913190038</v>
      </c>
      <c r="T11" s="45">
        <f ca="1">'SC-NR'!N118</f>
        <v>5.2103209395433057</v>
      </c>
      <c r="U11" s="45">
        <f ca="1">'SC-NR'!O118</f>
        <v>5.2846861182539291</v>
      </c>
      <c r="V11" s="45">
        <f ca="1">'SC-NR'!P118</f>
        <v>5.339951622240954</v>
      </c>
      <c r="W11" s="45">
        <f ca="1">'SC-NR'!Q118</f>
        <v>5.3757546880836085</v>
      </c>
      <c r="X11" s="45">
        <f ca="1">'SC-NR'!R118</f>
        <v>5.3992376879549626</v>
      </c>
      <c r="Y11" s="45">
        <f ca="1">'SC-NR'!S118</f>
        <v>5.4120358463230192</v>
      </c>
      <c r="Z11" s="45">
        <f ca="1">'SC-NR'!T118</f>
        <v>5.4166259830302588</v>
      </c>
      <c r="AA11" s="45">
        <f ca="1">'SC-NR'!U118</f>
        <v>5.4159045839841244</v>
      </c>
      <c r="AB11" s="45">
        <f ca="1">'SC-NR'!V118</f>
        <v>5.4097426160043662</v>
      </c>
      <c r="AC11" s="45">
        <f ca="1">'SC-NR'!W118</f>
        <v>5.3978145298324538</v>
      </c>
      <c r="AD11" s="45">
        <f ca="1">'SC-NR'!X118</f>
        <v>5.384660213057237</v>
      </c>
      <c r="AE11" s="45">
        <f>'SC-NR'!Y118</f>
        <v>0</v>
      </c>
      <c r="AF11" s="396">
        <f>VLOOKUP($I11,M_Input_Out!$A$1:$AM$3999,15,FALSE)</f>
        <v>6.1214275281786348</v>
      </c>
      <c r="AG11" s="396">
        <f>VLOOKUP($I11,M_Input_Out!$A$1:$AM$3999,16,FALSE)</f>
        <v>4.5012253649611278</v>
      </c>
      <c r="AH11" s="396">
        <f>VLOOKUP($I11,M_Input_Out!$A$1:$AM$3999,17,FALSE)</f>
        <v>4.1671281536517206</v>
      </c>
      <c r="AI11" s="396">
        <f>VLOOKUP($I11,M_Input_Out!$A$1:$AM$3999,18,FALSE)</f>
        <v>2.3829983843623639</v>
      </c>
      <c r="AJ11" s="396">
        <f>VLOOKUP($I11,M_Input_Out!$A$1:$AM$3999,19,FALSE)</f>
        <v>1.914118422159945</v>
      </c>
      <c r="AK11" s="396">
        <f>VLOOKUP($I11,M_Input_Out!$A$1:$AM$3999,20,FALSE)</f>
        <v>1.4855513534589628</v>
      </c>
      <c r="AL11" s="396">
        <f>VLOOKUP($I11,M_Input_Out!$A$1:$AM$3999,21,FALSE)</f>
        <v>1.5559194638995804</v>
      </c>
      <c r="AM11" s="396">
        <f>VLOOKUP($I11,M_Input_Out!$A$1:$AM$3999,22,FALSE)</f>
        <v>2.2593752178613391</v>
      </c>
      <c r="AN11" s="396">
        <f>VLOOKUP($I11,M_Input_Out!$A$1:$AM$3999,23,FALSE)</f>
        <v>2.8494539364356686</v>
      </c>
      <c r="AO11" s="396">
        <f>VLOOKUP($I11,M_Input_Out!$A$1:$AM$3999,24,FALSE)</f>
        <v>4.6441338465490487</v>
      </c>
      <c r="AP11" s="396">
        <f>VLOOKUP($I11,M_Input_Out!$A$1:$AM$3999,25,FALSE)</f>
        <v>5.4143844104985908</v>
      </c>
      <c r="AQ11" s="396">
        <f>VLOOKUP($I11,M_Input_Out!$A$1:$AM$3999,26,FALSE)</f>
        <v>6.4230876376300188</v>
      </c>
      <c r="AR11" s="396"/>
      <c r="AS11" s="396">
        <f>VLOOKUP($I11,M_Input_Out!$A$1:$AM$3999,28,FALSE)</f>
        <v>10.051032197863719</v>
      </c>
      <c r="AT11" s="396">
        <f>VLOOKUP($I11,M_Input_Out!$A$1:$AM$3999,29,FALSE)</f>
        <v>8.6948980365836448</v>
      </c>
      <c r="AU11" s="396">
        <f>VLOOKUP($I11,M_Input_Out!$A$1:$AM$3999,30,FALSE)</f>
        <v>8.7374957486895504</v>
      </c>
      <c r="AV11" s="396">
        <f>VLOOKUP($I11,M_Input_Out!$A$1:$AM$3999,31,FALSE)</f>
        <v>8.279007135819942</v>
      </c>
      <c r="AW11" s="396">
        <f>VLOOKUP($I11,M_Input_Out!$A$1:$AM$3999,32,FALSE)</f>
        <v>7.6241768312418259</v>
      </c>
      <c r="AX11" s="396">
        <f>VLOOKUP($I11,M_Input_Out!$A$1:$AM$3999,33,FALSE)</f>
        <v>6.925143416401017</v>
      </c>
      <c r="AY11" s="396">
        <f>VLOOKUP($I11,M_Input_Out!$A$1:$AM$3999,34,FALSE)</f>
        <v>7.5709521345430195</v>
      </c>
      <c r="AZ11" s="396">
        <f>VLOOKUP($I11,M_Input_Out!$A$1:$AM$3999,35,FALSE)</f>
        <v>8.1823140592106416</v>
      </c>
      <c r="BA11" s="396">
        <f>VLOOKUP($I11,M_Input_Out!$A$1:$AM$3999,36,FALSE)</f>
        <v>8.7840949411056624</v>
      </c>
      <c r="BB11" s="396">
        <f>VLOOKUP($I11,M_Input_Out!$A$1:$AM$3999,37,FALSE)</f>
        <v>9.0923742042230877</v>
      </c>
      <c r="BC11" s="396">
        <f>VLOOKUP($I11,M_Input_Out!$A$1:$AM$3999,38,FALSE)</f>
        <v>9.5858396301302093</v>
      </c>
      <c r="BD11" s="396">
        <f>VLOOKUP($I11,M_Input_Out!$A$1:$AM$3999,39,FALSE)</f>
        <v>10.063263251928216</v>
      </c>
    </row>
    <row r="12" spans="1:56" ht="15">
      <c r="A12" s="283" t="str">
        <f>VLOOKUP(CONCATENATE(C12,"-",B12),[1]!ACHIEV,2,FALSE)</f>
        <v>LO20Fast</v>
      </c>
      <c r="B12" s="283" t="str">
        <f>'SC-NR'!$C$7</f>
        <v>NR</v>
      </c>
      <c r="C12" s="283" t="str">
        <f>[1]MLIST!$B$66</f>
        <v>Exterior Building Lighting</v>
      </c>
      <c r="D12" s="283" t="s">
        <v>908</v>
      </c>
      <c r="E12" s="283" t="s">
        <v>1012</v>
      </c>
      <c r="F12" s="394">
        <f>VLOOKUP(I12,M_Input_Out!$A$1:$AM$3999,14,FALSE)</f>
        <v>1.7451431292925229E-2</v>
      </c>
      <c r="G12" s="395">
        <f>VLOOKUP(I12,M_Input_Out!$A$1:$AM$3999,3,FALSE)</f>
        <v>74.660780013982716</v>
      </c>
      <c r="H12" s="395">
        <f>VLOOKUP(I12,M_Input_Out!$A$1:$AM$3999,11,FALSE)</f>
        <v>1.6105494991589777</v>
      </c>
      <c r="I12" s="24" t="str">
        <f>'SC-NR'!D91</f>
        <v>Exterior Lighting: Walkway - HID 150W - NR</v>
      </c>
      <c r="K12" s="45">
        <f ca="1">'SC-NR'!E119</f>
        <v>1.0600285554034632</v>
      </c>
      <c r="L12" s="45">
        <f ca="1">'SC-NR'!F119</f>
        <v>1.8771088843180532</v>
      </c>
      <c r="M12" s="45">
        <f ca="1">'SC-NR'!G119</f>
        <v>2.5058628958232805</v>
      </c>
      <c r="N12" s="45">
        <f ca="1">'SC-NR'!H119</f>
        <v>2.9886368553514742</v>
      </c>
      <c r="O12" s="45">
        <f ca="1">'SC-NR'!I119</f>
        <v>3.3582603005776144</v>
      </c>
      <c r="P12" s="45">
        <f ca="1">'SC-NR'!J119</f>
        <v>3.6927933601232295</v>
      </c>
      <c r="Q12" s="45">
        <f ca="1">'SC-NR'!K119</f>
        <v>3.8937757431111031</v>
      </c>
      <c r="R12" s="45">
        <f ca="1">'SC-NR'!L119</f>
        <v>4.045292114601839</v>
      </c>
      <c r="S12" s="45">
        <f ca="1">'SC-NR'!M119</f>
        <v>4.1617598678714325</v>
      </c>
      <c r="T12" s="45">
        <f ca="1">'SC-NR'!N119</f>
        <v>4.2440552973553958</v>
      </c>
      <c r="U12" s="45">
        <f ca="1">'SC-NR'!O119</f>
        <v>4.304629287769365</v>
      </c>
      <c r="V12" s="45">
        <f ca="1">'SC-NR'!P119</f>
        <v>4.3496456807475887</v>
      </c>
      <c r="W12" s="45">
        <f ca="1">'SC-NR'!Q119</f>
        <v>4.378808988154983</v>
      </c>
      <c r="X12" s="45">
        <f ca="1">'SC-NR'!R119</f>
        <v>4.3979370133108677</v>
      </c>
      <c r="Y12" s="45">
        <f ca="1">'SC-NR'!S119</f>
        <v>4.4083617246575555</v>
      </c>
      <c r="Z12" s="45">
        <f ca="1">'SC-NR'!T119</f>
        <v>4.4121006102720868</v>
      </c>
      <c r="AA12" s="45">
        <f ca="1">'SC-NR'!U119</f>
        <v>4.4115129962884634</v>
      </c>
      <c r="AB12" s="45">
        <f ca="1">'SC-NR'!V119</f>
        <v>4.4064937790175707</v>
      </c>
      <c r="AC12" s="45">
        <f ca="1">'SC-NR'!W119</f>
        <v>4.3967777830371677</v>
      </c>
      <c r="AD12" s="45">
        <f ca="1">'SC-NR'!X119</f>
        <v>4.3860629636544983</v>
      </c>
      <c r="AE12" s="45">
        <f>'SC-NR'!Y119</f>
        <v>0</v>
      </c>
      <c r="AF12" s="396">
        <f>VLOOKUP($I12,M_Input_Out!$A$1:$AM$3999,15,FALSE)</f>
        <v>3.1025214182653222</v>
      </c>
      <c r="AG12" s="396">
        <f>VLOOKUP($I12,M_Input_Out!$A$1:$AM$3999,16,FALSE)</f>
        <v>2.2813548047323233</v>
      </c>
      <c r="AH12" s="396">
        <f>VLOOKUP($I12,M_Input_Out!$A$1:$AM$3999,17,FALSE)</f>
        <v>2.1120244076805492</v>
      </c>
      <c r="AI12" s="396">
        <f>VLOOKUP($I12,M_Input_Out!$A$1:$AM$3999,18,FALSE)</f>
        <v>1.2077744109756194</v>
      </c>
      <c r="AJ12" s="396">
        <f>VLOOKUP($I12,M_Input_Out!$A$1:$AM$3999,19,FALSE)</f>
        <v>0.97013210962809815</v>
      </c>
      <c r="AK12" s="396">
        <f>VLOOKUP($I12,M_Input_Out!$A$1:$AM$3999,20,FALSE)</f>
        <v>0.75292158092588179</v>
      </c>
      <c r="AL12" s="396">
        <f>VLOOKUP($I12,M_Input_Out!$A$1:$AM$3999,21,FALSE)</f>
        <v>0.78858623084616497</v>
      </c>
      <c r="AM12" s="396">
        <f>VLOOKUP($I12,M_Input_Out!$A$1:$AM$3999,22,FALSE)</f>
        <v>1.1451185157456829</v>
      </c>
      <c r="AN12" s="396">
        <f>VLOOKUP($I12,M_Input_Out!$A$1:$AM$3999,23,FALSE)</f>
        <v>1.4441879492090448</v>
      </c>
      <c r="AO12" s="396">
        <f>VLOOKUP($I12,M_Input_Out!$A$1:$AM$3999,24,FALSE)</f>
        <v>2.3537850708650705</v>
      </c>
      <c r="AP12" s="396">
        <f>VLOOKUP($I12,M_Input_Out!$A$1:$AM$3999,25,FALSE)</f>
        <v>2.7441709508062861</v>
      </c>
      <c r="AQ12" s="396">
        <f>VLOOKUP($I12,M_Input_Out!$A$1:$AM$3999,26,FALSE)</f>
        <v>3.2554117279685637</v>
      </c>
      <c r="AR12" s="396"/>
      <c r="AS12" s="396">
        <f>VLOOKUP($I12,M_Input_Out!$A$1:$AM$3999,28,FALSE)</f>
        <v>5.0941618643690605</v>
      </c>
      <c r="AT12" s="396">
        <f>VLOOKUP($I12,M_Input_Out!$A$1:$AM$3999,29,FALSE)</f>
        <v>4.4068327631022868</v>
      </c>
      <c r="AU12" s="396">
        <f>VLOOKUP($I12,M_Input_Out!$A$1:$AM$3999,30,FALSE)</f>
        <v>4.428422549727923</v>
      </c>
      <c r="AV12" s="396">
        <f>VLOOKUP($I12,M_Input_Out!$A$1:$AM$3999,31,FALSE)</f>
        <v>4.1960468930839969</v>
      </c>
      <c r="AW12" s="396">
        <f>VLOOKUP($I12,M_Input_Out!$A$1:$AM$3999,32,FALSE)</f>
        <v>3.8641594312247038</v>
      </c>
      <c r="AX12" s="396">
        <f>VLOOKUP($I12,M_Input_Out!$A$1:$AM$3999,33,FALSE)</f>
        <v>3.5098685192367203</v>
      </c>
      <c r="AY12" s="396">
        <f>VLOOKUP($I12,M_Input_Out!$A$1:$AM$3999,34,FALSE)</f>
        <v>3.8371835729418806</v>
      </c>
      <c r="AZ12" s="396">
        <f>VLOOKUP($I12,M_Input_Out!$A$1:$AM$3999,35,FALSE)</f>
        <v>4.1470399678533409</v>
      </c>
      <c r="BA12" s="396">
        <f>VLOOKUP($I12,M_Input_Out!$A$1:$AM$3999,36,FALSE)</f>
        <v>4.452040405510636</v>
      </c>
      <c r="BB12" s="396">
        <f>VLOOKUP($I12,M_Input_Out!$A$1:$AM$3999,37,FALSE)</f>
        <v>4.6082854990327089</v>
      </c>
      <c r="BC12" s="396">
        <f>VLOOKUP($I12,M_Input_Out!$A$1:$AM$3999,38,FALSE)</f>
        <v>4.8583884441386838</v>
      </c>
      <c r="BD12" s="396">
        <f>VLOOKUP($I12,M_Input_Out!$A$1:$AM$3999,39,FALSE)</f>
        <v>5.1003609261121561</v>
      </c>
    </row>
    <row r="13" spans="1:56" ht="15">
      <c r="A13" s="283" t="str">
        <f>VLOOKUP(CONCATENATE(C13,"-",B13),[1]!ACHIEV,2,FALSE)</f>
        <v>LO20Fast</v>
      </c>
      <c r="B13" s="283" t="str">
        <f>'SC-NR'!$C$7</f>
        <v>NR</v>
      </c>
      <c r="C13" s="283" t="str">
        <f>[1]MLIST!$B$66</f>
        <v>Exterior Building Lighting</v>
      </c>
      <c r="D13" s="283" t="s">
        <v>908</v>
      </c>
      <c r="E13" s="283" t="s">
        <v>1012</v>
      </c>
      <c r="F13" s="394">
        <f>VLOOKUP(I13,M_Input_Out!$A$1:$AM$3999,14,FALSE)</f>
        <v>1.770222123302621E-2</v>
      </c>
      <c r="G13" s="395">
        <f>VLOOKUP(I13,M_Input_Out!$A$1:$AM$3999,3,FALSE)</f>
        <v>75.7337104936271</v>
      </c>
      <c r="H13" s="395">
        <f>VLOOKUP(I13,M_Input_Out!$A$1:$AM$3999,11,FALSE)</f>
        <v>3.0265333512445136</v>
      </c>
      <c r="I13" s="24" t="str">
        <f>'SC-NR'!D92</f>
        <v>Exterior Lighting: Façade - HID 150W - NR</v>
      </c>
      <c r="K13" s="45">
        <f ca="1">'SC-NR'!E120</f>
        <v>1.0752619476366112</v>
      </c>
      <c r="L13" s="45">
        <f ca="1">'SC-NR'!F120</f>
        <v>1.904084323567669</v>
      </c>
      <c r="M13" s="45">
        <f ca="1">'SC-NR'!G120</f>
        <v>2.5418739939960453</v>
      </c>
      <c r="N13" s="45">
        <f ca="1">'SC-NR'!H120</f>
        <v>3.0315857714235355</v>
      </c>
      <c r="O13" s="45">
        <f ca="1">'SC-NR'!I120</f>
        <v>3.4065209781970367</v>
      </c>
      <c r="P13" s="45">
        <f ca="1">'SC-NR'!J120</f>
        <v>3.7458615245646212</v>
      </c>
      <c r="Q13" s="45">
        <f ca="1">'SC-NR'!K120</f>
        <v>3.949732172643468</v>
      </c>
      <c r="R13" s="45">
        <f ca="1">'SC-NR'!L120</f>
        <v>4.1034259461531377</v>
      </c>
      <c r="S13" s="45">
        <f ca="1">'SC-NR'!M120</f>
        <v>4.2215674269454695</v>
      </c>
      <c r="T13" s="45">
        <f ca="1">'SC-NR'!N120</f>
        <v>4.305045502453388</v>
      </c>
      <c r="U13" s="45">
        <f ca="1">'SC-NR'!O120</f>
        <v>4.3664899857898343</v>
      </c>
      <c r="V13" s="45">
        <f ca="1">'SC-NR'!P120</f>
        <v>4.4121532975398807</v>
      </c>
      <c r="W13" s="45">
        <f ca="1">'SC-NR'!Q120</f>
        <v>4.4417357031859854</v>
      </c>
      <c r="X13" s="45">
        <f ca="1">'SC-NR'!R120</f>
        <v>4.4611386121724612</v>
      </c>
      <c r="Y13" s="45">
        <f ca="1">'SC-NR'!S120</f>
        <v>4.4717131343106145</v>
      </c>
      <c r="Z13" s="45">
        <f ca="1">'SC-NR'!T120</f>
        <v>4.4755057504692823</v>
      </c>
      <c r="AA13" s="45">
        <f ca="1">'SC-NR'!U120</f>
        <v>4.4749096920392812</v>
      </c>
      <c r="AB13" s="45">
        <f ca="1">'SC-NR'!V120</f>
        <v>4.4698183449139606</v>
      </c>
      <c r="AC13" s="45">
        <f ca="1">'SC-NR'!W120</f>
        <v>4.4599627229046641</v>
      </c>
      <c r="AD13" s="45">
        <f ca="1">'SC-NR'!X120</f>
        <v>4.449093923664063</v>
      </c>
      <c r="AE13" s="45">
        <f>'SC-NR'!Y120</f>
        <v>0</v>
      </c>
      <c r="AF13" s="396">
        <f>VLOOKUP($I13,M_Input_Out!$A$1:$AM$3999,15,FALSE)</f>
        <v>3.1471069395093139</v>
      </c>
      <c r="AG13" s="396">
        <f>VLOOKUP($I13,M_Input_Out!$A$1:$AM$3999,16,FALSE)</f>
        <v>2.31413955603578</v>
      </c>
      <c r="AH13" s="396">
        <f>VLOOKUP($I13,M_Input_Out!$A$1:$AM$3999,17,FALSE)</f>
        <v>2.1423757562778842</v>
      </c>
      <c r="AI13" s="396">
        <f>VLOOKUP($I13,M_Input_Out!$A$1:$AM$3999,18,FALSE)</f>
        <v>1.2251310201327645</v>
      </c>
      <c r="AJ13" s="396">
        <f>VLOOKUP($I13,M_Input_Out!$A$1:$AM$3999,19,FALSE)</f>
        <v>0.98407362362656903</v>
      </c>
      <c r="AK13" s="396">
        <f>VLOOKUP($I13,M_Input_Out!$A$1:$AM$3999,20,FALSE)</f>
        <v>0.76374161940935492</v>
      </c>
      <c r="AL13" s="396">
        <f>VLOOKUP($I13,M_Input_Out!$A$1:$AM$3999,21,FALSE)</f>
        <v>0.79991879665574095</v>
      </c>
      <c r="AM13" s="396">
        <f>VLOOKUP($I13,M_Input_Out!$A$1:$AM$3999,22,FALSE)</f>
        <v>1.1615747134725027</v>
      </c>
      <c r="AN13" s="396">
        <f>VLOOKUP($I13,M_Input_Out!$A$1:$AM$3999,23,FALSE)</f>
        <v>1.4649419952925617</v>
      </c>
      <c r="AO13" s="396">
        <f>VLOOKUP($I13,M_Input_Out!$A$1:$AM$3999,24,FALSE)</f>
        <v>2.3876106985184391</v>
      </c>
      <c r="AP13" s="396">
        <f>VLOOKUP($I13,M_Input_Out!$A$1:$AM$3999,25,FALSE)</f>
        <v>2.7836067115085368</v>
      </c>
      <c r="AQ13" s="396">
        <f>VLOOKUP($I13,M_Input_Out!$A$1:$AM$3999,26,FALSE)</f>
        <v>3.3021943957370379</v>
      </c>
      <c r="AR13" s="396"/>
      <c r="AS13" s="396">
        <f>VLOOKUP($I13,M_Input_Out!$A$1:$AM$3999,28,FALSE)</f>
        <v>5.1673687278856217</v>
      </c>
      <c r="AT13" s="396">
        <f>VLOOKUP($I13,M_Input_Out!$A$1:$AM$3999,29,FALSE)</f>
        <v>4.4701622004500132</v>
      </c>
      <c r="AU13" s="396">
        <f>VLOOKUP($I13,M_Input_Out!$A$1:$AM$3999,30,FALSE)</f>
        <v>4.492062248234391</v>
      </c>
      <c r="AV13" s="396">
        <f>VLOOKUP($I13,M_Input_Out!$A$1:$AM$3999,31,FALSE)</f>
        <v>4.2563471820009324</v>
      </c>
      <c r="AW13" s="396">
        <f>VLOOKUP($I13,M_Input_Out!$A$1:$AM$3999,32,FALSE)</f>
        <v>3.9196902525098531</v>
      </c>
      <c r="AX13" s="396">
        <f>VLOOKUP($I13,M_Input_Out!$A$1:$AM$3999,33,FALSE)</f>
        <v>3.5603079187866329</v>
      </c>
      <c r="AY13" s="396">
        <f>VLOOKUP($I13,M_Input_Out!$A$1:$AM$3999,34,FALSE)</f>
        <v>3.8923267312457321</v>
      </c>
      <c r="AZ13" s="396">
        <f>VLOOKUP($I13,M_Input_Out!$A$1:$AM$3999,35,FALSE)</f>
        <v>4.2066359911065145</v>
      </c>
      <c r="BA13" s="396">
        <f>VLOOKUP($I13,M_Input_Out!$A$1:$AM$3999,36,FALSE)</f>
        <v>4.5160195100255649</v>
      </c>
      <c r="BB13" s="396">
        <f>VLOOKUP($I13,M_Input_Out!$A$1:$AM$3999,37,FALSE)</f>
        <v>4.6745099607901333</v>
      </c>
      <c r="BC13" s="396">
        <f>VLOOKUP($I13,M_Input_Out!$A$1:$AM$3999,38,FALSE)</f>
        <v>4.9282070696967377</v>
      </c>
      <c r="BD13" s="396">
        <f>VLOOKUP($I13,M_Input_Out!$A$1:$AM$3999,39,FALSE)</f>
        <v>5.173656874718481</v>
      </c>
    </row>
    <row r="14" spans="1:56" ht="15">
      <c r="A14" s="283" t="str">
        <f>VLOOKUP(CONCATENATE(C14,"-",B14),[1]!ACHIEV,2,FALSE)</f>
        <v>LO20Fast</v>
      </c>
      <c r="B14" s="283" t="str">
        <f>'SC-NR'!$C$7</f>
        <v>NR</v>
      </c>
      <c r="C14" s="283" t="str">
        <f>[1]MLIST!$B$66</f>
        <v>Exterior Building Lighting</v>
      </c>
      <c r="D14" s="283" t="s">
        <v>908</v>
      </c>
      <c r="E14" s="283" t="s">
        <v>1012</v>
      </c>
      <c r="F14" s="394">
        <f>VLOOKUP(I14,M_Input_Out!$A$1:$AM$3999,14,FALSE)</f>
        <v>4.5372564079253387E-4</v>
      </c>
      <c r="G14" s="395">
        <f>VLOOKUP(I14,M_Input_Out!$A$1:$AM$3999,3,FALSE)</f>
        <v>1.9411307694657556</v>
      </c>
      <c r="H14" s="395">
        <f>VLOOKUP(I14,M_Input_Out!$A$1:$AM$3999,11,FALSE)</f>
        <v>-126.37002300184083</v>
      </c>
      <c r="I14" s="24" t="str">
        <f>'SC-NR'!D93</f>
        <v>Exterior Lighting: Walkway - INC 75W - NR</v>
      </c>
      <c r="K14" s="45">
        <f ca="1">'SC-NR'!E121</f>
        <v>1.837335965880733E-2</v>
      </c>
      <c r="L14" s="45">
        <f ca="1">'SC-NR'!F121</f>
        <v>3.2535724131687357E-2</v>
      </c>
      <c r="M14" s="45">
        <f ca="1">'SC-NR'!G121</f>
        <v>4.3433849027866629E-2</v>
      </c>
      <c r="N14" s="45">
        <f ca="1">'SC-NR'!H121</f>
        <v>5.1801717560372218E-2</v>
      </c>
      <c r="O14" s="45">
        <f ca="1">'SC-NR'!I121</f>
        <v>5.8208360535081993E-2</v>
      </c>
      <c r="P14" s="45">
        <f ca="1">'SC-NR'!J121</f>
        <v>6.4006785671330627E-2</v>
      </c>
      <c r="Q14" s="45">
        <f ca="1">'SC-NR'!K121</f>
        <v>6.7490391456190707E-2</v>
      </c>
      <c r="R14" s="45">
        <f ca="1">'SC-NR'!L121</f>
        <v>7.0116608243848078E-2</v>
      </c>
      <c r="S14" s="45">
        <f ca="1">'SC-NR'!M121</f>
        <v>7.213533114387502E-2</v>
      </c>
      <c r="T14" s="45">
        <f ca="1">'SC-NR'!N121</f>
        <v>7.3561748872413846E-2</v>
      </c>
      <c r="U14" s="45">
        <f ca="1">'SC-NR'!O121</f>
        <v>7.4611671260043672E-2</v>
      </c>
      <c r="V14" s="45">
        <f ca="1">'SC-NR'!P121</f>
        <v>7.5391935503412388E-2</v>
      </c>
      <c r="W14" s="45">
        <f ca="1">'SC-NR'!Q121</f>
        <v>7.5897419938812785E-2</v>
      </c>
      <c r="X14" s="45">
        <f ca="1">'SC-NR'!R121</f>
        <v>7.6228963918416257E-2</v>
      </c>
      <c r="Y14" s="45">
        <f ca="1">'SC-NR'!S121</f>
        <v>7.6409654306364386E-2</v>
      </c>
      <c r="Z14" s="45">
        <f ca="1">'SC-NR'!T121</f>
        <v>7.6474460004068212E-2</v>
      </c>
      <c r="AA14" s="45">
        <f ca="1">'SC-NR'!U121</f>
        <v>7.6464274954800765E-2</v>
      </c>
      <c r="AB14" s="45">
        <f ca="1">'SC-NR'!V121</f>
        <v>7.6377277407750091E-2</v>
      </c>
      <c r="AC14" s="45">
        <f ca="1">'SC-NR'!W121</f>
        <v>7.6208871106163714E-2</v>
      </c>
      <c r="AD14" s="45">
        <f ca="1">'SC-NR'!X121</f>
        <v>7.6023152307180958E-2</v>
      </c>
      <c r="AE14" s="45">
        <f>'SC-NR'!Y121</f>
        <v>0</v>
      </c>
      <c r="AF14" s="396">
        <f>VLOOKUP($I14,M_Input_Out!$A$1:$AM$3999,15,FALSE)</f>
        <v>8.0663499454378285E-2</v>
      </c>
      <c r="AG14" s="396">
        <f>VLOOKUP($I14,M_Input_Out!$A$1:$AM$3999,16,FALSE)</f>
        <v>5.9313712054777444E-2</v>
      </c>
      <c r="AH14" s="396">
        <f>VLOOKUP($I14,M_Input_Out!$A$1:$AM$3999,17,FALSE)</f>
        <v>5.4911234021980379E-2</v>
      </c>
      <c r="AI14" s="396">
        <f>VLOOKUP($I14,M_Input_Out!$A$1:$AM$3999,18,FALSE)</f>
        <v>3.1401333756211465E-2</v>
      </c>
      <c r="AJ14" s="396">
        <f>VLOOKUP($I14,M_Input_Out!$A$1:$AM$3999,19,FALSE)</f>
        <v>2.5222791512399732E-2</v>
      </c>
      <c r="AK14" s="396">
        <f>VLOOKUP($I14,M_Input_Out!$A$1:$AM$3999,20,FALSE)</f>
        <v>1.9575461808144946E-2</v>
      </c>
      <c r="AL14" s="396">
        <f>VLOOKUP($I14,M_Input_Out!$A$1:$AM$3999,21,FALSE)</f>
        <v>2.0502719055250057E-2</v>
      </c>
      <c r="AM14" s="396">
        <f>VLOOKUP($I14,M_Input_Out!$A$1:$AM$3999,22,FALSE)</f>
        <v>2.9772322030155639E-2</v>
      </c>
      <c r="AN14" s="396">
        <f>VLOOKUP($I14,M_Input_Out!$A$1:$AM$3999,23,FALSE)</f>
        <v>3.754792897390441E-2</v>
      </c>
      <c r="AO14" s="396">
        <f>VLOOKUP($I14,M_Input_Out!$A$1:$AM$3999,24,FALSE)</f>
        <v>6.1196850942484442E-2</v>
      </c>
      <c r="AP14" s="396">
        <f>VLOOKUP($I14,M_Input_Out!$A$1:$AM$3999,25,FALSE)</f>
        <v>7.1346624938643285E-2</v>
      </c>
      <c r="AQ14" s="396">
        <f>VLOOKUP($I14,M_Input_Out!$A$1:$AM$3999,26,FALSE)</f>
        <v>8.4638546118269667E-2</v>
      </c>
      <c r="AR14" s="396"/>
      <c r="AS14" s="396">
        <f>VLOOKUP($I14,M_Input_Out!$A$1:$AM$3999,28,FALSE)</f>
        <v>0.13244483030734319</v>
      </c>
      <c r="AT14" s="396">
        <f>VLOOKUP($I14,M_Input_Out!$A$1:$AM$3999,29,FALSE)</f>
        <v>0.11457472947303225</v>
      </c>
      <c r="AU14" s="396">
        <f>VLOOKUP($I14,M_Input_Out!$A$1:$AM$3999,30,FALSE)</f>
        <v>0.11513604960814702</v>
      </c>
      <c r="AV14" s="396">
        <f>VLOOKUP($I14,M_Input_Out!$A$1:$AM$3999,31,FALSE)</f>
        <v>0.10909443663408144</v>
      </c>
      <c r="AW14" s="396">
        <f>VLOOKUP($I14,M_Input_Out!$A$1:$AM$3999,32,FALSE)</f>
        <v>0.10046558271513885</v>
      </c>
      <c r="AX14" s="396">
        <f>VLOOKUP($I14,M_Input_Out!$A$1:$AM$3999,33,FALSE)</f>
        <v>9.1254253949578673E-2</v>
      </c>
      <c r="AY14" s="396">
        <f>VLOOKUP($I14,M_Input_Out!$A$1:$AM$3999,34,FALSE)</f>
        <v>9.976422828868188E-2</v>
      </c>
      <c r="AZ14" s="396">
        <f>VLOOKUP($I14,M_Input_Out!$A$1:$AM$3999,35,FALSE)</f>
        <v>0.1078202890767653</v>
      </c>
      <c r="BA14" s="396">
        <f>VLOOKUP($I14,M_Input_Out!$A$1:$AM$3999,36,FALSE)</f>
        <v>0.11575009819644255</v>
      </c>
      <c r="BB14" s="396">
        <f>VLOOKUP($I14,M_Input_Out!$A$1:$AM$3999,37,FALSE)</f>
        <v>0.11981236701491657</v>
      </c>
      <c r="BC14" s="396">
        <f>VLOOKUP($I14,M_Input_Out!$A$1:$AM$3999,38,FALSE)</f>
        <v>0.12631487773323868</v>
      </c>
      <c r="BD14" s="396">
        <f>VLOOKUP($I14,M_Input_Out!$A$1:$AM$3999,39,FALSE)</f>
        <v>0.13260600180178897</v>
      </c>
    </row>
    <row r="15" spans="1:56" ht="15">
      <c r="A15" s="283" t="str">
        <f>VLOOKUP(CONCATENATE(C15,"-",B15),[1]!ACHIEV,2,FALSE)</f>
        <v>LO20Fast</v>
      </c>
      <c r="B15" s="283" t="str">
        <f>'SC-NR'!$C$7</f>
        <v>NR</v>
      </c>
      <c r="C15" s="283" t="str">
        <f>[1]MLIST!$B$66</f>
        <v>Exterior Building Lighting</v>
      </c>
      <c r="D15" s="283" t="s">
        <v>908</v>
      </c>
      <c r="E15" s="283" t="s">
        <v>1012</v>
      </c>
      <c r="F15" s="394">
        <f>VLOOKUP(I15,M_Input_Out!$A$1:$AM$3999,14,FALSE)</f>
        <v>7.6380346401149751E-3</v>
      </c>
      <c r="G15" s="395">
        <f>VLOOKUP(I15,M_Input_Out!$A$1:$AM$3999,3,FALSE)</f>
        <v>32.677068971184418</v>
      </c>
      <c r="H15" s="395">
        <f>VLOOKUP(I15,M_Input_Out!$A$1:$AM$3999,11,FALSE)</f>
        <v>-2.977504018819626</v>
      </c>
      <c r="I15" s="24" t="str">
        <f>'SC-NR'!D94</f>
        <v>Exterior Lighting: Façade - HID 400W - NR</v>
      </c>
      <c r="K15" s="45">
        <f ca="1">'SC-NR'!E122</f>
        <v>0.46394674968379268</v>
      </c>
      <c r="L15" s="45">
        <f ca="1">'SC-NR'!F122</f>
        <v>0.82156142043783098</v>
      </c>
      <c r="M15" s="45">
        <f ca="1">'SC-NR'!G122</f>
        <v>1.0967505919950702</v>
      </c>
      <c r="N15" s="45">
        <f ca="1">'SC-NR'!H122</f>
        <v>1.3080481162111322</v>
      </c>
      <c r="O15" s="45">
        <f ca="1">'SC-NR'!I122</f>
        <v>1.4698226223274538</v>
      </c>
      <c r="P15" s="45">
        <f ca="1">'SC-NR'!J122</f>
        <v>1.6162389852139132</v>
      </c>
      <c r="Q15" s="45">
        <f ca="1">'SC-NR'!K122</f>
        <v>1.704203713008851</v>
      </c>
      <c r="R15" s="45">
        <f ca="1">'SC-NR'!L122</f>
        <v>1.7705184624735517</v>
      </c>
      <c r="S15" s="45">
        <f ca="1">'SC-NR'!M122</f>
        <v>1.8214933492319889</v>
      </c>
      <c r="T15" s="45">
        <f ca="1">'SC-NR'!N122</f>
        <v>1.8575119044192923</v>
      </c>
      <c r="U15" s="45">
        <f ca="1">'SC-NR'!O122</f>
        <v>1.8840235543410639</v>
      </c>
      <c r="V15" s="45">
        <f ca="1">'SC-NR'!P122</f>
        <v>1.9037260511259606</v>
      </c>
      <c r="W15" s="45">
        <f ca="1">'SC-NR'!Q122</f>
        <v>1.9164900673524294</v>
      </c>
      <c r="X15" s="45">
        <f ca="1">'SC-NR'!R122</f>
        <v>1.9248619032371377</v>
      </c>
      <c r="Y15" s="45">
        <f ca="1">'SC-NR'!S122</f>
        <v>1.9294245264995336</v>
      </c>
      <c r="Z15" s="45">
        <f ca="1">'SC-NR'!T122</f>
        <v>1.931060938857917</v>
      </c>
      <c r="AA15" s="45">
        <f ca="1">'SC-NR'!U122</f>
        <v>1.9308037555996154</v>
      </c>
      <c r="AB15" s="45">
        <f ca="1">'SC-NR'!V122</f>
        <v>1.9286069755912685</v>
      </c>
      <c r="AC15" s="45">
        <f ca="1">'SC-NR'!W122</f>
        <v>1.9243545384922198</v>
      </c>
      <c r="AD15" s="45">
        <f ca="1">'SC-NR'!X122</f>
        <v>1.9196649425368104</v>
      </c>
      <c r="AE15" s="45">
        <f>'SC-NR'!Y122</f>
        <v>0</v>
      </c>
      <c r="AF15" s="396">
        <f>VLOOKUP($I15,M_Input_Out!$A$1:$AM$3999,15,FALSE)</f>
        <v>1.3578924081726151</v>
      </c>
      <c r="AG15" s="396">
        <f>VLOOKUP($I15,M_Input_Out!$A$1:$AM$3999,16,FALSE)</f>
        <v>0.99848927761027284</v>
      </c>
      <c r="AH15" s="396">
        <f>VLOOKUP($I15,M_Input_Out!$A$1:$AM$3999,17,FALSE)</f>
        <v>0.92437779548615628</v>
      </c>
      <c r="AI15" s="396">
        <f>VLOOKUP($I15,M_Input_Out!$A$1:$AM$3999,18,FALSE)</f>
        <v>0.52861124303403384</v>
      </c>
      <c r="AJ15" s="396">
        <f>VLOOKUP($I15,M_Input_Out!$A$1:$AM$3999,19,FALSE)</f>
        <v>0.42460142864219907</v>
      </c>
      <c r="AK15" s="396">
        <f>VLOOKUP($I15,M_Input_Out!$A$1:$AM$3999,20,FALSE)</f>
        <v>0.32953406628219623</v>
      </c>
      <c r="AL15" s="396">
        <f>VLOOKUP($I15,M_Input_Out!$A$1:$AM$3999,21,FALSE)</f>
        <v>0.34514354993693402</v>
      </c>
      <c r="AM15" s="396">
        <f>VLOOKUP($I15,M_Input_Out!$A$1:$AM$3999,22,FALSE)</f>
        <v>0.50118839787360969</v>
      </c>
      <c r="AN15" s="396">
        <f>VLOOKUP($I15,M_Input_Out!$A$1:$AM$3999,23,FALSE)</f>
        <v>0.63208325997691295</v>
      </c>
      <c r="AO15" s="396">
        <f>VLOOKUP($I15,M_Input_Out!$A$1:$AM$3999,24,FALSE)</f>
        <v>1.0301901090451673</v>
      </c>
      <c r="AP15" s="396">
        <f>VLOOKUP($I15,M_Input_Out!$A$1:$AM$3999,25,FALSE)</f>
        <v>1.2010517893253161</v>
      </c>
      <c r="AQ15" s="396">
        <f>VLOOKUP($I15,M_Input_Out!$A$1:$AM$3999,26,FALSE)</f>
        <v>1.4248084944265076</v>
      </c>
      <c r="AR15" s="396"/>
      <c r="AS15" s="396">
        <f>VLOOKUP($I15,M_Input_Out!$A$1:$AM$3999,28,FALSE)</f>
        <v>2.2295812950412466</v>
      </c>
      <c r="AT15" s="396">
        <f>VLOOKUP($I15,M_Input_Out!$A$1:$AM$3999,29,FALSE)</f>
        <v>1.9287553400513546</v>
      </c>
      <c r="AU15" s="396">
        <f>VLOOKUP($I15,M_Input_Out!$A$1:$AM$3999,30,FALSE)</f>
        <v>1.9382046244883369</v>
      </c>
      <c r="AV15" s="396">
        <f>VLOOKUP($I15,M_Input_Out!$A$1:$AM$3999,31,FALSE)</f>
        <v>1.8364998826150838</v>
      </c>
      <c r="AW15" s="396">
        <f>VLOOKUP($I15,M_Input_Out!$A$1:$AM$3999,32,FALSE)</f>
        <v>1.6912414285804978</v>
      </c>
      <c r="AX15" s="396">
        <f>VLOOKUP($I15,M_Input_Out!$A$1:$AM$3999,33,FALSE)</f>
        <v>1.5361775708934102</v>
      </c>
      <c r="AY15" s="396">
        <f>VLOOKUP($I15,M_Input_Out!$A$1:$AM$3999,34,FALSE)</f>
        <v>1.6794348015736593</v>
      </c>
      <c r="AZ15" s="396">
        <f>VLOOKUP($I15,M_Input_Out!$A$1:$AM$3999,35,FALSE)</f>
        <v>1.8150508343259031</v>
      </c>
      <c r="BA15" s="396">
        <f>VLOOKUP($I15,M_Input_Out!$A$1:$AM$3999,36,FALSE)</f>
        <v>1.948541541705364</v>
      </c>
      <c r="BB15" s="396">
        <f>VLOOKUP($I15,M_Input_Out!$A$1:$AM$3999,37,FALSE)</f>
        <v>2.0169259290165296</v>
      </c>
      <c r="BC15" s="396">
        <f>VLOOKUP($I15,M_Input_Out!$A$1:$AM$3999,38,FALSE)</f>
        <v>2.1263894409915411</v>
      </c>
      <c r="BD15" s="396">
        <f>VLOOKUP($I15,M_Input_Out!$A$1:$AM$3999,39,FALSE)</f>
        <v>2.2322944620895657</v>
      </c>
    </row>
    <row r="16" spans="1:56" ht="15">
      <c r="A16" s="283" t="str">
        <f>VLOOKUP(CONCATENATE(C16,"-",B16),[1]!ACHIEV,2,FALSE)</f>
        <v>LO20Fast</v>
      </c>
      <c r="B16" s="283" t="str">
        <f>'SC-NR'!$C$7</f>
        <v>NR</v>
      </c>
      <c r="C16" s="283" t="str">
        <f>[1]MLIST!$B$66</f>
        <v>Exterior Building Lighting</v>
      </c>
      <c r="D16" s="283" t="s">
        <v>908</v>
      </c>
      <c r="E16" s="283" t="s">
        <v>1012</v>
      </c>
      <c r="F16" s="394">
        <f>VLOOKUP(I16,M_Input_Out!$A$1:$AM$3999,14,FALSE)</f>
        <v>6.1124116107701858E-4</v>
      </c>
      <c r="G16" s="395">
        <f>VLOOKUP(I16,M_Input_Out!$A$1:$AM$3999,3,FALSE)</f>
        <v>2.6150142699850236</v>
      </c>
      <c r="H16" s="395">
        <f>VLOOKUP(I16,M_Input_Out!$A$1:$AM$3999,11,FALSE)</f>
        <v>-43.838014609514389</v>
      </c>
      <c r="I16" s="24" t="str">
        <f>'SC-NR'!D95</f>
        <v>Exterior Lighting: Walkway - CFL 26W - NR</v>
      </c>
      <c r="K16" s="45">
        <f ca="1">'SC-NR'!E123</f>
        <v>2.4751860333743447E-2</v>
      </c>
      <c r="L16" s="45">
        <f ca="1">'SC-NR'!F123</f>
        <v>4.3830835215741243E-2</v>
      </c>
      <c r="M16" s="45">
        <f ca="1">'SC-NR'!G123</f>
        <v>5.8512356197159394E-2</v>
      </c>
      <c r="N16" s="45">
        <f ca="1">'SC-NR'!H123</f>
        <v>6.9785216308424949E-2</v>
      </c>
      <c r="O16" s="45">
        <f ca="1">'SC-NR'!I123</f>
        <v>7.8415991249041805E-2</v>
      </c>
      <c r="P16" s="45">
        <f ca="1">'SC-NR'!J123</f>
        <v>8.6227399276386216E-2</v>
      </c>
      <c r="Q16" s="45">
        <f ca="1">'SC-NR'!K123</f>
        <v>9.0920374619267774E-2</v>
      </c>
      <c r="R16" s="45">
        <f ca="1">'SC-NR'!L123</f>
        <v>9.4458309561017403E-2</v>
      </c>
      <c r="S16" s="45">
        <f ca="1">'SC-NR'!M123</f>
        <v>9.7177852867298062E-2</v>
      </c>
      <c r="T16" s="45">
        <f ca="1">'SC-NR'!N123</f>
        <v>9.9099466173193596E-2</v>
      </c>
      <c r="U16" s="45">
        <f ca="1">'SC-NR'!O123</f>
        <v>0.10051387991039093</v>
      </c>
      <c r="V16" s="45">
        <f ca="1">'SC-NR'!P123</f>
        <v>0.10156502090658964</v>
      </c>
      <c r="W16" s="45">
        <f ca="1">'SC-NR'!Q123</f>
        <v>0.10224598945987841</v>
      </c>
      <c r="X16" s="45">
        <f ca="1">'SC-NR'!R123</f>
        <v>0.10269263234011533</v>
      </c>
      <c r="Y16" s="45">
        <f ca="1">'SC-NR'!S123</f>
        <v>0.10293605125365071</v>
      </c>
      <c r="Z16" s="45">
        <f ca="1">'SC-NR'!T123</f>
        <v>0.10302335491548412</v>
      </c>
      <c r="AA16" s="45">
        <f ca="1">'SC-NR'!U123</f>
        <v>0.10300963402166605</v>
      </c>
      <c r="AB16" s="45">
        <f ca="1">'SC-NR'!V123</f>
        <v>0.10289243438186338</v>
      </c>
      <c r="AC16" s="45">
        <f ca="1">'SC-NR'!W123</f>
        <v>0.10266556410154479</v>
      </c>
      <c r="AD16" s="45">
        <f ca="1">'SC-NR'!X123</f>
        <v>0.1024153711123944</v>
      </c>
      <c r="AE16" s="45">
        <f>'SC-NR'!Y123</f>
        <v>0</v>
      </c>
      <c r="AF16" s="396">
        <f>VLOOKUP($I16,M_Input_Out!$A$1:$AM$3999,15,FALSE)</f>
        <v>0.10866666247229853</v>
      </c>
      <c r="AG16" s="396">
        <f>VLOOKUP($I16,M_Input_Out!$A$1:$AM$3999,16,FALSE)</f>
        <v>7.9905076911286385E-2</v>
      </c>
      <c r="AH16" s="396">
        <f>VLOOKUP($I16,M_Input_Out!$A$1:$AM$3999,17,FALSE)</f>
        <v>7.3974233374027726E-2</v>
      </c>
      <c r="AI16" s="396">
        <f>VLOOKUP($I16,M_Input_Out!$A$1:$AM$3999,18,FALSE)</f>
        <v>4.2302629560426443E-2</v>
      </c>
      <c r="AJ16" s="396">
        <f>VLOOKUP($I16,M_Input_Out!$A$1:$AM$3999,19,FALSE)</f>
        <v>3.397914286420569E-2</v>
      </c>
      <c r="AK16" s="396">
        <f>VLOOKUP($I16,M_Input_Out!$A$1:$AM$3999,20,FALSE)</f>
        <v>2.6371284601260828E-2</v>
      </c>
      <c r="AL16" s="396">
        <f>VLOOKUP($I16,M_Input_Out!$A$1:$AM$3999,21,FALSE)</f>
        <v>2.7620448733461079E-2</v>
      </c>
      <c r="AM16" s="396">
        <f>VLOOKUP($I16,M_Input_Out!$A$1:$AM$3999,22,FALSE)</f>
        <v>4.0108089668206129E-2</v>
      </c>
      <c r="AN16" s="396">
        <f>VLOOKUP($I16,M_Input_Out!$A$1:$AM$3999,23,FALSE)</f>
        <v>5.0583078492011067E-2</v>
      </c>
      <c r="AO16" s="396">
        <f>VLOOKUP($I16,M_Input_Out!$A$1:$AM$3999,24,FALSE)</f>
        <v>8.2441966821631199E-2</v>
      </c>
      <c r="AP16" s="396">
        <f>VLOOKUP($I16,M_Input_Out!$A$1:$AM$3999,25,FALSE)</f>
        <v>9.6115339195396221E-2</v>
      </c>
      <c r="AQ16" s="396">
        <f>VLOOKUP($I16,M_Input_Out!$A$1:$AM$3999,26,FALSE)</f>
        <v>0.11402168744714514</v>
      </c>
      <c r="AR16" s="396"/>
      <c r="AS16" s="396">
        <f>VLOOKUP($I16,M_Input_Out!$A$1:$AM$3999,28,FALSE)</f>
        <v>0.1784244146182741</v>
      </c>
      <c r="AT16" s="396">
        <f>VLOOKUP($I16,M_Input_Out!$A$1:$AM$3999,29,FALSE)</f>
        <v>0.15435052458321183</v>
      </c>
      <c r="AU16" s="396">
        <f>VLOOKUP($I16,M_Input_Out!$A$1:$AM$3999,30,FALSE)</f>
        <v>0.15510671277333518</v>
      </c>
      <c r="AV16" s="396">
        <f>VLOOKUP($I16,M_Input_Out!$A$1:$AM$3999,31,FALSE)</f>
        <v>0.14696769175042057</v>
      </c>
      <c r="AW16" s="396">
        <f>VLOOKUP($I16,M_Input_Out!$A$1:$AM$3999,32,FALSE)</f>
        <v>0.135343242493011</v>
      </c>
      <c r="AX16" s="396">
        <f>VLOOKUP($I16,M_Input_Out!$A$1:$AM$3999,33,FALSE)</f>
        <v>0.12293410625841673</v>
      </c>
      <c r="AY16" s="396">
        <f>VLOOKUP($I16,M_Input_Out!$A$1:$AM$3999,34,FALSE)</f>
        <v>0.13439840566782024</v>
      </c>
      <c r="AZ16" s="396">
        <f>VLOOKUP($I16,M_Input_Out!$A$1:$AM$3999,35,FALSE)</f>
        <v>0.14525121077095249</v>
      </c>
      <c r="BA16" s="396">
        <f>VLOOKUP($I16,M_Input_Out!$A$1:$AM$3999,36,FALSE)</f>
        <v>0.15593393464118435</v>
      </c>
      <c r="BB16" s="396">
        <f>VLOOKUP($I16,M_Input_Out!$A$1:$AM$3999,37,FALSE)</f>
        <v>0.16140646183817914</v>
      </c>
      <c r="BC16" s="396">
        <f>VLOOKUP($I16,M_Input_Out!$A$1:$AM$3999,38,FALSE)</f>
        <v>0.17016638599507808</v>
      </c>
      <c r="BD16" s="396">
        <f>VLOOKUP($I16,M_Input_Out!$A$1:$AM$3999,39,FALSE)</f>
        <v>0.17864153845378286</v>
      </c>
    </row>
    <row r="17" spans="1:56" ht="15">
      <c r="A17" s="283" t="str">
        <f>VLOOKUP(CONCATENATE(C17,"-",B17),[1]!ACHIEV,2,FALSE)</f>
        <v>LO20Fast</v>
      </c>
      <c r="B17" s="283" t="str">
        <f>'SC-NR'!$C$7</f>
        <v>NR</v>
      </c>
      <c r="C17" s="283" t="str">
        <f>[1]MLIST!$B$66</f>
        <v>Exterior Building Lighting</v>
      </c>
      <c r="D17" s="283" t="s">
        <v>908</v>
      </c>
      <c r="E17" s="283" t="s">
        <v>1012</v>
      </c>
      <c r="F17" s="394">
        <f>VLOOKUP(I17,M_Input_Out!$A$1:$AM$3999,14,FALSE)</f>
        <v>1.3594360573231034E-2</v>
      </c>
      <c r="G17" s="395">
        <f>VLOOKUP(I17,M_Input_Out!$A$1:$AM$3999,3,FALSE)</f>
        <v>58.159445328717929</v>
      </c>
      <c r="H17" s="395">
        <f>VLOOKUP(I17,M_Input_Out!$A$1:$AM$3999,11,FALSE)</f>
        <v>2.8261335494413684</v>
      </c>
      <c r="I17" s="24" t="str">
        <f>'SC-NR'!D96</f>
        <v>Exterior Lighting: Parking Lot - MH 400W - NR</v>
      </c>
      <c r="K17" s="45">
        <f ca="1">'SC-NR'!E124</f>
        <v>0.51379611401297665</v>
      </c>
      <c r="L17" s="45">
        <f ca="1">'SC-NR'!F124</f>
        <v>0.909835160029972</v>
      </c>
      <c r="M17" s="45">
        <f ca="1">'SC-NR'!G124</f>
        <v>1.2145923914599288</v>
      </c>
      <c r="N17" s="45">
        <f ca="1">'SC-NR'!H124</f>
        <v>1.4485930540721104</v>
      </c>
      <c r="O17" s="45">
        <f ca="1">'SC-NR'!I124</f>
        <v>1.6277496332389769</v>
      </c>
      <c r="P17" s="45">
        <f ca="1">'SC-NR'!J124</f>
        <v>1.7898978934223899</v>
      </c>
      <c r="Q17" s="45">
        <f ca="1">'SC-NR'!K124</f>
        <v>1.8873141062572731</v>
      </c>
      <c r="R17" s="45">
        <f ca="1">'SC-NR'!L124</f>
        <v>1.9607541305702567</v>
      </c>
      <c r="S17" s="45">
        <f ca="1">'SC-NR'!M124</f>
        <v>2.0172060805981142</v>
      </c>
      <c r="T17" s="45">
        <f ca="1">'SC-NR'!N124</f>
        <v>2.057094696479596</v>
      </c>
      <c r="U17" s="45">
        <f ca="1">'SC-NR'!O124</f>
        <v>2.0864549252454245</v>
      </c>
      <c r="V17" s="45">
        <f ca="1">'SC-NR'!P124</f>
        <v>2.1082743825243737</v>
      </c>
      <c r="W17" s="45">
        <f ca="1">'SC-NR'!Q124</f>
        <v>2.1224098451412106</v>
      </c>
      <c r="X17" s="45">
        <f ca="1">'SC-NR'!R124</f>
        <v>2.1316812038642738</v>
      </c>
      <c r="Y17" s="45">
        <f ca="1">'SC-NR'!S124</f>
        <v>2.136734064140851</v>
      </c>
      <c r="Z17" s="45">
        <f ca="1">'SC-NR'!T124</f>
        <v>2.1385463029618639</v>
      </c>
      <c r="AA17" s="45">
        <f ca="1">'SC-NR'!U124</f>
        <v>2.1382614863125502</v>
      </c>
      <c r="AB17" s="45">
        <f ca="1">'SC-NR'!V124</f>
        <v>2.1358286704077107</v>
      </c>
      <c r="AC17" s="45">
        <f ca="1">'SC-NR'!W124</f>
        <v>2.1311193246518347</v>
      </c>
      <c r="AD17" s="45">
        <f ca="1">'SC-NR'!X124</f>
        <v>2.1259258489354456</v>
      </c>
      <c r="AE17" s="45">
        <f>'SC-NR'!Y124</f>
        <v>0</v>
      </c>
      <c r="AF17" s="396">
        <f>VLOOKUP($I17,M_Input_Out!$A$1:$AM$3999,15,FALSE)</f>
        <v>2.4168100677890703</v>
      </c>
      <c r="AG17" s="396">
        <f>VLOOKUP($I17,M_Input_Out!$A$1:$AM$3999,16,FALSE)</f>
        <v>1.7771355993921891</v>
      </c>
      <c r="AH17" s="396">
        <f>VLOOKUP($I17,M_Input_Out!$A$1:$AM$3999,17,FALSE)</f>
        <v>1.6452301737057928</v>
      </c>
      <c r="AI17" s="396">
        <f>VLOOKUP($I17,M_Input_Out!$A$1:$AM$3999,18,FALSE)</f>
        <v>0.94083519903496327</v>
      </c>
      <c r="AJ17" s="396">
        <f>VLOOKUP($I17,M_Input_Out!$A$1:$AM$3999,19,FALSE)</f>
        <v>0.75571599146140989</v>
      </c>
      <c r="AK17" s="396">
        <f>VLOOKUP($I17,M_Input_Out!$A$1:$AM$3999,20,FALSE)</f>
        <v>0.58651277838872906</v>
      </c>
      <c r="AL17" s="396">
        <f>VLOOKUP($I17,M_Input_Out!$A$1:$AM$3999,21,FALSE)</f>
        <v>0.614294918580917</v>
      </c>
      <c r="AM17" s="396">
        <f>VLOOKUP($I17,M_Input_Out!$A$1:$AM$3999,22,FALSE)</f>
        <v>0.89202734955274654</v>
      </c>
      <c r="AN17" s="396">
        <f>VLOOKUP($I17,M_Input_Out!$A$1:$AM$3999,23,FALSE)</f>
        <v>1.1249972215758555</v>
      </c>
      <c r="AO17" s="396">
        <f>VLOOKUP($I17,M_Input_Out!$A$1:$AM$3999,24,FALSE)</f>
        <v>1.8335575133141042</v>
      </c>
      <c r="AP17" s="396">
        <f>VLOOKUP($I17,M_Input_Out!$A$1:$AM$3999,25,FALSE)</f>
        <v>2.1376613043177928</v>
      </c>
      <c r="AQ17" s="396">
        <f>VLOOKUP($I17,M_Input_Out!$A$1:$AM$3999,26,FALSE)</f>
        <v>2.5359089521941232</v>
      </c>
      <c r="AR17" s="396"/>
      <c r="AS17" s="396">
        <f>VLOOKUP($I17,M_Input_Out!$A$1:$AM$3999,28,FALSE)</f>
        <v>3.9682632352745988</v>
      </c>
      <c r="AT17" s="396">
        <f>VLOOKUP($I17,M_Input_Out!$A$1:$AM$3999,29,FALSE)</f>
        <v>3.4328458544157976</v>
      </c>
      <c r="AU17" s="396">
        <f>VLOOKUP($I17,M_Input_Out!$A$1:$AM$3999,30,FALSE)</f>
        <v>3.449663921608201</v>
      </c>
      <c r="AV17" s="396">
        <f>VLOOKUP($I17,M_Input_Out!$A$1:$AM$3999,31,FALSE)</f>
        <v>3.2686473383930745</v>
      </c>
      <c r="AW17" s="396">
        <f>VLOOKUP($I17,M_Input_Out!$A$1:$AM$3999,32,FALSE)</f>
        <v>3.01011279469185</v>
      </c>
      <c r="AX17" s="396">
        <f>VLOOKUP($I17,M_Input_Out!$A$1:$AM$3999,33,FALSE)</f>
        <v>2.7341263541220129</v>
      </c>
      <c r="AY17" s="396">
        <f>VLOOKUP($I17,M_Input_Out!$A$1:$AM$3999,34,FALSE)</f>
        <v>2.9890990716273271</v>
      </c>
      <c r="AZ17" s="396">
        <f>VLOOKUP($I17,M_Input_Out!$A$1:$AM$3999,35,FALSE)</f>
        <v>3.2304717984623759</v>
      </c>
      <c r="BA17" s="396">
        <f>VLOOKUP($I17,M_Input_Out!$A$1:$AM$3999,36,FALSE)</f>
        <v>3.468061819298514</v>
      </c>
      <c r="BB17" s="396">
        <f>VLOOKUP($I17,M_Input_Out!$A$1:$AM$3999,37,FALSE)</f>
        <v>3.5897740217812037</v>
      </c>
      <c r="BC17" s="396">
        <f>VLOOKUP($I17,M_Input_Out!$A$1:$AM$3999,38,FALSE)</f>
        <v>3.7845998534925536</v>
      </c>
      <c r="BD17" s="396">
        <f>VLOOKUP($I17,M_Input_Out!$A$1:$AM$3999,39,FALSE)</f>
        <v>3.9730921962427188</v>
      </c>
    </row>
    <row r="18" spans="1:56" ht="15">
      <c r="A18" s="283" t="str">
        <f>VLOOKUP(CONCATENATE(C18,"-",B18),[1]!ACHIEV,2,FALSE)</f>
        <v>LO20Fast</v>
      </c>
      <c r="B18" s="283" t="str">
        <f>'SC-NR'!$C$7</f>
        <v>NR</v>
      </c>
      <c r="C18" s="283" t="str">
        <f>[1]MLIST!$B$66</f>
        <v>Exterior Building Lighting</v>
      </c>
      <c r="D18" s="283" t="s">
        <v>908</v>
      </c>
      <c r="E18" s="283" t="s">
        <v>1012</v>
      </c>
      <c r="F18" s="394">
        <f>VLOOKUP(I18,M_Input_Out!$A$1:$AM$3999,14,FALSE)</f>
        <v>1.6534036611436324E-3</v>
      </c>
      <c r="G18" s="395">
        <f>VLOOKUP(I18,M_Input_Out!$A$1:$AM$3999,3,FALSE)</f>
        <v>7.0735978583603307</v>
      </c>
      <c r="H18" s="395">
        <f>VLOOKUP(I18,M_Input_Out!$A$1:$AM$3999,11,FALSE)</f>
        <v>9.8227590078014355</v>
      </c>
      <c r="I18" s="24" t="str">
        <f>'SC-NR'!D97</f>
        <v>Exterior Lighting: Parking Lot - MH 1000W - NR</v>
      </c>
      <c r="K18" s="45">
        <f ca="1">'SC-NR'!E125</f>
        <v>0.34878171713858619</v>
      </c>
      <c r="L18" s="45">
        <f ca="1">'SC-NR'!F125</f>
        <v>0.6176260597803962</v>
      </c>
      <c r="M18" s="45">
        <f ca="1">'SC-NR'!G125</f>
        <v>0.82450530154487811</v>
      </c>
      <c r="N18" s="45">
        <f ca="1">'SC-NR'!H125</f>
        <v>0.98335265498239821</v>
      </c>
      <c r="O18" s="45">
        <f ca="1">'SC-NR'!I125</f>
        <v>1.1049700390269113</v>
      </c>
      <c r="P18" s="45">
        <f ca="1">'SC-NR'!J125</f>
        <v>1.2150416162058244</v>
      </c>
      <c r="Q18" s="45">
        <f ca="1">'SC-NR'!K125</f>
        <v>1.2811709485674752</v>
      </c>
      <c r="R18" s="45">
        <f ca="1">'SC-NR'!L125</f>
        <v>1.3310244548280048</v>
      </c>
      <c r="S18" s="45">
        <f ca="1">'SC-NR'!M125</f>
        <v>1.3693458969906458</v>
      </c>
      <c r="T18" s="45">
        <f ca="1">'SC-NR'!N125</f>
        <v>1.396423602644669</v>
      </c>
      <c r="U18" s="45">
        <f ca="1">'SC-NR'!O125</f>
        <v>1.4163542925141317</v>
      </c>
      <c r="V18" s="45">
        <f ca="1">'SC-NR'!P125</f>
        <v>1.4311660584446766</v>
      </c>
      <c r="W18" s="45">
        <f ca="1">'SC-NR'!Q125</f>
        <v>1.4407616758298329</v>
      </c>
      <c r="X18" s="45">
        <f ca="1">'SC-NR'!R125</f>
        <v>1.4470553793582255</v>
      </c>
      <c r="Y18" s="45">
        <f ca="1">'SC-NR'!S125</f>
        <v>1.4504854272617824</v>
      </c>
      <c r="Z18" s="45">
        <f ca="1">'SC-NR'!T125</f>
        <v>1.4517156346351341</v>
      </c>
      <c r="AA18" s="45">
        <f ca="1">'SC-NR'!U125</f>
        <v>1.4515222917169845</v>
      </c>
      <c r="AB18" s="45">
        <f ca="1">'SC-NR'!V125</f>
        <v>1.449870816188793</v>
      </c>
      <c r="AC18" s="45">
        <f ca="1">'SC-NR'!W125</f>
        <v>1.4466739572509064</v>
      </c>
      <c r="AD18" s="45">
        <f ca="1">'SC-NR'!X125</f>
        <v>1.4431484549575322</v>
      </c>
      <c r="AE18" s="45">
        <f>'SC-NR'!Y125</f>
        <v>0</v>
      </c>
      <c r="AF18" s="396">
        <f>VLOOKUP($I18,M_Input_Out!$A$1:$AM$3999,15,FALSE)</f>
        <v>0.29394266783240841</v>
      </c>
      <c r="AG18" s="396">
        <f>VLOOKUP($I18,M_Input_Out!$A$1:$AM$3999,16,FALSE)</f>
        <v>0.21614275202981206</v>
      </c>
      <c r="AH18" s="396">
        <f>VLOOKUP($I18,M_Input_Out!$A$1:$AM$3999,17,FALSE)</f>
        <v>0.20009985596421492</v>
      </c>
      <c r="AI18" s="396">
        <f>VLOOKUP($I18,M_Input_Out!$A$1:$AM$3999,18,FALSE)</f>
        <v>0.11442835830618876</v>
      </c>
      <c r="AJ18" s="396">
        <f>VLOOKUP($I18,M_Input_Out!$A$1:$AM$3999,19,FALSE)</f>
        <v>9.1913376898911395E-2</v>
      </c>
      <c r="AK18" s="396">
        <f>VLOOKUP($I18,M_Input_Out!$A$1:$AM$3999,20,FALSE)</f>
        <v>7.1334166095681648E-2</v>
      </c>
      <c r="AL18" s="396">
        <f>VLOOKUP($I18,M_Input_Out!$A$1:$AM$3999,21,FALSE)</f>
        <v>7.4713147553523887E-2</v>
      </c>
      <c r="AM18" s="396">
        <f>VLOOKUP($I18,M_Input_Out!$A$1:$AM$3999,22,FALSE)</f>
        <v>0.10849214110849645</v>
      </c>
      <c r="AN18" s="396">
        <f>VLOOKUP($I18,M_Input_Out!$A$1:$AM$3999,23,FALSE)</f>
        <v>0.13682692281920555</v>
      </c>
      <c r="AO18" s="396">
        <f>VLOOKUP($I18,M_Input_Out!$A$1:$AM$3999,24,FALSE)</f>
        <v>0.2230050239656412</v>
      </c>
      <c r="AP18" s="396">
        <f>VLOOKUP($I18,M_Input_Out!$A$1:$AM$3999,25,FALSE)</f>
        <v>0.2599914139252576</v>
      </c>
      <c r="AQ18" s="396">
        <f>VLOOKUP($I18,M_Input_Out!$A$1:$AM$3999,26,FALSE)</f>
        <v>0.30842797815301254</v>
      </c>
      <c r="AR18" s="396"/>
      <c r="AS18" s="396">
        <f>VLOOKUP($I18,M_Input_Out!$A$1:$AM$3999,28,FALSE)</f>
        <v>0.48263696745725504</v>
      </c>
      <c r="AT18" s="396">
        <f>VLOOKUP($I18,M_Input_Out!$A$1:$AM$3999,29,FALSE)</f>
        <v>0.41751723983320893</v>
      </c>
      <c r="AU18" s="396">
        <f>VLOOKUP($I18,M_Input_Out!$A$1:$AM$3999,30,FALSE)</f>
        <v>0.41956272433536601</v>
      </c>
      <c r="AV18" s="396">
        <f>VLOOKUP($I18,M_Input_Out!$A$1:$AM$3999,31,FALSE)</f>
        <v>0.39754672146392922</v>
      </c>
      <c r="AW18" s="396">
        <f>VLOOKUP($I18,M_Input_Out!$A$1:$AM$3999,32,FALSE)</f>
        <v>0.36610265619987936</v>
      </c>
      <c r="AX18" s="396">
        <f>VLOOKUP($I18,M_Input_Out!$A$1:$AM$3999,33,FALSE)</f>
        <v>0.33253601738622945</v>
      </c>
      <c r="AY18" s="396">
        <f>VLOOKUP($I18,M_Input_Out!$A$1:$AM$3999,34,FALSE)</f>
        <v>0.36354687827549825</v>
      </c>
      <c r="AZ18" s="396">
        <f>VLOOKUP($I18,M_Input_Out!$A$1:$AM$3999,35,FALSE)</f>
        <v>0.3929036507473968</v>
      </c>
      <c r="BA18" s="396">
        <f>VLOOKUP($I18,M_Input_Out!$A$1:$AM$3999,36,FALSE)</f>
        <v>0.4218003545081605</v>
      </c>
      <c r="BB18" s="396">
        <f>VLOOKUP($I18,M_Input_Out!$A$1:$AM$3999,37,FALSE)</f>
        <v>0.43660350763233169</v>
      </c>
      <c r="BC18" s="396">
        <f>VLOOKUP($I18,M_Input_Out!$A$1:$AM$3999,38,FALSE)</f>
        <v>0.46029904974346292</v>
      </c>
      <c r="BD18" s="396">
        <f>VLOOKUP($I18,M_Input_Out!$A$1:$AM$3999,39,FALSE)</f>
        <v>0.48322428612525709</v>
      </c>
    </row>
    <row r="19" spans="1:56">
      <c r="I19" s="24"/>
      <c r="AE19" s="78"/>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row>
    <row r="20" spans="1:56">
      <c r="I20" s="24"/>
      <c r="AE20" s="78"/>
      <c r="AF20" s="397"/>
      <c r="AG20" s="397"/>
      <c r="AH20" s="397"/>
      <c r="AI20" s="397"/>
      <c r="AJ20" s="397"/>
      <c r="AK20" s="397"/>
      <c r="AL20" s="397"/>
      <c r="AM20" s="397"/>
      <c r="AN20" s="397"/>
      <c r="AO20" s="397"/>
      <c r="AP20" s="397"/>
      <c r="AQ20" s="397"/>
      <c r="AR20" s="397"/>
      <c r="AS20" s="397"/>
      <c r="AT20" s="397"/>
      <c r="AU20" s="397"/>
      <c r="AV20" s="397"/>
      <c r="AW20" s="397"/>
      <c r="AX20" s="397"/>
      <c r="AY20" s="397"/>
      <c r="AZ20" s="397"/>
      <c r="BA20" s="397"/>
      <c r="BB20" s="397"/>
      <c r="BC20" s="397"/>
      <c r="BD20" s="397"/>
    </row>
    <row r="21" spans="1:56">
      <c r="I21" s="24"/>
      <c r="AF21" s="397"/>
      <c r="AG21" s="397"/>
      <c r="AH21" s="397"/>
      <c r="AI21" s="397"/>
      <c r="AJ21" s="397"/>
      <c r="AK21" s="397"/>
      <c r="AL21" s="397"/>
      <c r="AM21" s="397"/>
      <c r="AN21" s="397"/>
      <c r="AO21" s="397"/>
      <c r="AP21" s="397"/>
      <c r="AQ21" s="397"/>
      <c r="AR21" s="397"/>
      <c r="AS21" s="397"/>
      <c r="AT21" s="397"/>
      <c r="AU21" s="397"/>
      <c r="AV21" s="397"/>
      <c r="AW21" s="397"/>
      <c r="AX21" s="397"/>
      <c r="AY21" s="397"/>
      <c r="AZ21" s="397"/>
      <c r="BA21" s="397"/>
      <c r="BB21" s="397"/>
      <c r="BC21" s="397"/>
      <c r="BD21" s="397"/>
    </row>
    <row r="22" spans="1:56">
      <c r="I22" s="24"/>
      <c r="AF22" s="397"/>
      <c r="AG22" s="397"/>
      <c r="AH22" s="397"/>
      <c r="AI22" s="397"/>
      <c r="AJ22" s="397"/>
      <c r="AK22" s="397"/>
      <c r="AL22" s="397"/>
      <c r="AM22" s="397"/>
      <c r="AN22" s="397"/>
      <c r="AO22" s="397"/>
      <c r="AP22" s="397"/>
      <c r="AQ22" s="397"/>
      <c r="AR22" s="397"/>
      <c r="AS22" s="397"/>
      <c r="AT22" s="397"/>
      <c r="AU22" s="397"/>
      <c r="AV22" s="397"/>
      <c r="AW22" s="397"/>
      <c r="AX22" s="397"/>
      <c r="AY22" s="397"/>
      <c r="AZ22" s="397"/>
      <c r="BA22" s="397"/>
      <c r="BB22" s="397"/>
      <c r="BC22" s="397"/>
      <c r="BD22" s="397"/>
    </row>
    <row r="23" spans="1:56">
      <c r="I23" s="24"/>
      <c r="AF23" s="397"/>
      <c r="AG23" s="397"/>
      <c r="AH23" s="397"/>
      <c r="AI23" s="397"/>
      <c r="AJ23" s="397"/>
      <c r="AK23" s="397"/>
      <c r="AL23" s="397"/>
      <c r="AM23" s="397"/>
      <c r="AN23" s="397"/>
      <c r="AO23" s="397"/>
      <c r="AP23" s="397"/>
      <c r="AQ23" s="397"/>
      <c r="AR23" s="397"/>
      <c r="AS23" s="397"/>
      <c r="AT23" s="397"/>
      <c r="AU23" s="397"/>
      <c r="AV23" s="397"/>
      <c r="AW23" s="397"/>
      <c r="AX23" s="397"/>
      <c r="AY23" s="397"/>
      <c r="AZ23" s="397"/>
      <c r="BA23" s="397"/>
      <c r="BB23" s="397"/>
      <c r="BC23" s="397"/>
      <c r="BD23" s="397"/>
    </row>
    <row r="24" spans="1:56">
      <c r="I24" s="24"/>
      <c r="AF24" s="397"/>
      <c r="AG24" s="397"/>
      <c r="AH24" s="397"/>
      <c r="AI24" s="397"/>
      <c r="AJ24" s="397"/>
      <c r="AK24" s="397"/>
      <c r="AL24" s="397"/>
      <c r="AM24" s="397"/>
      <c r="AN24" s="397"/>
      <c r="AO24" s="397"/>
      <c r="AP24" s="397"/>
      <c r="AQ24" s="397"/>
      <c r="AR24" s="397"/>
      <c r="AS24" s="397"/>
      <c r="AT24" s="397"/>
      <c r="AU24" s="397"/>
      <c r="AV24" s="397"/>
      <c r="AW24" s="397"/>
      <c r="AX24" s="397"/>
      <c r="AY24" s="397"/>
      <c r="AZ24" s="397"/>
      <c r="BA24" s="397"/>
      <c r="BB24" s="397"/>
      <c r="BC24" s="397"/>
      <c r="BD24" s="397"/>
    </row>
    <row r="25" spans="1:56">
      <c r="I25" s="24"/>
      <c r="AF25" s="397"/>
      <c r="AG25" s="397"/>
      <c r="AH25" s="397"/>
      <c r="AI25" s="397"/>
      <c r="AJ25" s="397"/>
      <c r="AK25" s="397"/>
      <c r="AL25" s="397"/>
      <c r="AM25" s="397"/>
      <c r="AN25" s="397"/>
      <c r="AO25" s="397"/>
      <c r="AP25" s="397"/>
      <c r="AQ25" s="397"/>
      <c r="AR25" s="397"/>
      <c r="AS25" s="397"/>
      <c r="AT25" s="397"/>
      <c r="AU25" s="397"/>
      <c r="AV25" s="397"/>
      <c r="AW25" s="397"/>
      <c r="AX25" s="397"/>
      <c r="AY25" s="397"/>
      <c r="AZ25" s="397"/>
      <c r="BA25" s="397"/>
      <c r="BB25" s="397"/>
      <c r="BC25" s="397"/>
      <c r="BD25" s="397"/>
    </row>
    <row r="26" spans="1:56">
      <c r="I26" s="24"/>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row>
    <row r="27" spans="1:56">
      <c r="I27" s="24"/>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row>
    <row r="28" spans="1:56">
      <c r="I28" s="24"/>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row>
    <row r="29" spans="1:56">
      <c r="I29" s="24"/>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row>
    <row r="30" spans="1:56">
      <c r="I30" s="24"/>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row>
    <row r="31" spans="1:56">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row>
    <row r="32" spans="1:56">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row>
    <row r="33" spans="32:56">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row>
    <row r="34" spans="32:56">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sheetPr filterMode="1"/>
  <dimension ref="A1:G576"/>
  <sheetViews>
    <sheetView workbookViewId="0">
      <selection sqref="A1:G576"/>
    </sheetView>
  </sheetViews>
  <sheetFormatPr defaultRowHeight="12.75"/>
  <cols>
    <col min="1" max="1" width="16" bestFit="1" customWidth="1"/>
    <col min="2" max="2" width="15.42578125" bestFit="1" customWidth="1"/>
    <col min="3" max="3" width="15.7109375" bestFit="1" customWidth="1"/>
    <col min="4" max="4" width="31.28515625" bestFit="1" customWidth="1"/>
    <col min="5" max="5" width="4.7109375" bestFit="1" customWidth="1"/>
    <col min="6" max="6" width="17.5703125" bestFit="1" customWidth="1"/>
    <col min="7" max="7" width="19.28515625" bestFit="1" customWidth="1"/>
  </cols>
  <sheetData>
    <row r="1" spans="1:7">
      <c r="A1" t="s">
        <v>343</v>
      </c>
      <c r="B1" s="165" t="s">
        <v>344</v>
      </c>
      <c r="C1" t="s">
        <v>345</v>
      </c>
      <c r="D1" t="s">
        <v>346</v>
      </c>
      <c r="E1" t="s">
        <v>347</v>
      </c>
      <c r="F1" s="166" t="s">
        <v>348</v>
      </c>
      <c r="G1" t="s">
        <v>349</v>
      </c>
    </row>
    <row r="2" spans="1:7" hidden="1">
      <c r="A2" t="s">
        <v>350</v>
      </c>
      <c r="B2" s="165">
        <v>41683</v>
      </c>
      <c r="C2" t="s">
        <v>351</v>
      </c>
      <c r="D2" t="s">
        <v>352</v>
      </c>
      <c r="E2">
        <v>3</v>
      </c>
      <c r="F2" s="166">
        <v>695</v>
      </c>
      <c r="G2">
        <v>2085</v>
      </c>
    </row>
    <row r="3" spans="1:7" hidden="1">
      <c r="A3" t="s">
        <v>350</v>
      </c>
      <c r="B3" s="165">
        <v>41690</v>
      </c>
      <c r="C3" t="s">
        <v>351</v>
      </c>
      <c r="D3" t="s">
        <v>352</v>
      </c>
      <c r="E3">
        <v>4</v>
      </c>
      <c r="F3" s="166">
        <v>348.25</v>
      </c>
      <c r="G3">
        <v>1393</v>
      </c>
    </row>
    <row r="4" spans="1:7" hidden="1">
      <c r="A4" t="s">
        <v>350</v>
      </c>
      <c r="B4" s="165">
        <v>41697</v>
      </c>
      <c r="C4" t="s">
        <v>353</v>
      </c>
      <c r="D4" t="s">
        <v>354</v>
      </c>
      <c r="E4">
        <v>2</v>
      </c>
      <c r="F4" s="166">
        <v>775</v>
      </c>
      <c r="G4">
        <v>1550</v>
      </c>
    </row>
    <row r="5" spans="1:7" hidden="1">
      <c r="A5" t="s">
        <v>350</v>
      </c>
      <c r="B5" s="165">
        <v>41697</v>
      </c>
      <c r="C5" t="s">
        <v>353</v>
      </c>
      <c r="D5" t="s">
        <v>354</v>
      </c>
      <c r="E5">
        <v>4</v>
      </c>
      <c r="F5" s="166">
        <v>850</v>
      </c>
      <c r="G5">
        <v>3400</v>
      </c>
    </row>
    <row r="6" spans="1:7" hidden="1">
      <c r="A6" t="s">
        <v>350</v>
      </c>
      <c r="B6" s="165">
        <v>41697</v>
      </c>
      <c r="C6" t="s">
        <v>351</v>
      </c>
      <c r="D6" t="s">
        <v>352</v>
      </c>
      <c r="E6">
        <v>2</v>
      </c>
      <c r="F6" s="166">
        <v>425</v>
      </c>
      <c r="G6">
        <v>850</v>
      </c>
    </row>
    <row r="7" spans="1:7" hidden="1">
      <c r="A7" t="s">
        <v>350</v>
      </c>
      <c r="B7" s="165">
        <v>41697</v>
      </c>
      <c r="C7" t="s">
        <v>351</v>
      </c>
      <c r="D7" t="s">
        <v>352</v>
      </c>
      <c r="E7">
        <v>3</v>
      </c>
      <c r="F7" s="166">
        <v>625</v>
      </c>
      <c r="G7">
        <v>1875</v>
      </c>
    </row>
    <row r="8" spans="1:7" hidden="1">
      <c r="A8" t="s">
        <v>350</v>
      </c>
      <c r="B8" s="165">
        <v>41704</v>
      </c>
      <c r="C8" t="s">
        <v>355</v>
      </c>
      <c r="D8" t="s">
        <v>356</v>
      </c>
      <c r="E8">
        <v>4</v>
      </c>
      <c r="F8" s="166">
        <v>1150</v>
      </c>
      <c r="G8">
        <v>4600</v>
      </c>
    </row>
    <row r="9" spans="1:7" hidden="1">
      <c r="A9" t="s">
        <v>350</v>
      </c>
      <c r="B9" s="165">
        <v>41704</v>
      </c>
      <c r="C9" t="s">
        <v>351</v>
      </c>
      <c r="D9" t="s">
        <v>352</v>
      </c>
      <c r="E9">
        <v>8</v>
      </c>
      <c r="F9" s="166">
        <v>725</v>
      </c>
      <c r="G9">
        <v>5800</v>
      </c>
    </row>
    <row r="10" spans="1:7" hidden="1">
      <c r="A10" t="s">
        <v>350</v>
      </c>
      <c r="B10" s="165">
        <v>41711</v>
      </c>
      <c r="C10" t="s">
        <v>357</v>
      </c>
      <c r="D10" t="s">
        <v>358</v>
      </c>
      <c r="E10">
        <v>15</v>
      </c>
      <c r="F10" s="166">
        <v>245</v>
      </c>
      <c r="G10">
        <v>3675</v>
      </c>
    </row>
    <row r="11" spans="1:7" hidden="1">
      <c r="A11" t="s">
        <v>350</v>
      </c>
      <c r="B11" s="165">
        <v>41711</v>
      </c>
      <c r="C11" t="s">
        <v>351</v>
      </c>
      <c r="D11" t="s">
        <v>352</v>
      </c>
      <c r="E11">
        <v>2</v>
      </c>
      <c r="F11" s="166">
        <v>450</v>
      </c>
      <c r="G11">
        <v>900</v>
      </c>
    </row>
    <row r="12" spans="1:7" hidden="1">
      <c r="A12" t="s">
        <v>350</v>
      </c>
      <c r="B12" s="165">
        <v>41711</v>
      </c>
      <c r="C12" t="s">
        <v>351</v>
      </c>
      <c r="D12" t="s">
        <v>352</v>
      </c>
      <c r="E12">
        <v>5</v>
      </c>
      <c r="F12" s="166">
        <v>342</v>
      </c>
      <c r="G12">
        <v>1710</v>
      </c>
    </row>
    <row r="13" spans="1:7" hidden="1">
      <c r="A13" t="s">
        <v>350</v>
      </c>
      <c r="B13" s="165">
        <v>41711</v>
      </c>
      <c r="C13" t="s">
        <v>351</v>
      </c>
      <c r="D13" t="s">
        <v>352</v>
      </c>
      <c r="E13">
        <v>10</v>
      </c>
      <c r="F13" s="166">
        <v>475</v>
      </c>
      <c r="G13">
        <v>4750</v>
      </c>
    </row>
    <row r="14" spans="1:7" hidden="1">
      <c r="A14" t="s">
        <v>350</v>
      </c>
      <c r="B14" s="165">
        <v>41718</v>
      </c>
      <c r="C14" t="s">
        <v>359</v>
      </c>
      <c r="D14" t="s">
        <v>360</v>
      </c>
      <c r="E14">
        <v>8</v>
      </c>
      <c r="F14" s="166">
        <v>555.5</v>
      </c>
      <c r="G14">
        <v>4444</v>
      </c>
    </row>
    <row r="15" spans="1:7" hidden="1">
      <c r="A15" t="s">
        <v>350</v>
      </c>
      <c r="B15" s="165">
        <v>41718</v>
      </c>
      <c r="C15" t="s">
        <v>355</v>
      </c>
      <c r="D15" t="s">
        <v>356</v>
      </c>
      <c r="E15">
        <v>7</v>
      </c>
      <c r="F15" s="166">
        <v>735</v>
      </c>
      <c r="G15">
        <v>5145</v>
      </c>
    </row>
    <row r="16" spans="1:7" hidden="1">
      <c r="A16" t="s">
        <v>350</v>
      </c>
      <c r="B16" s="165">
        <v>41718</v>
      </c>
      <c r="C16" t="s">
        <v>353</v>
      </c>
      <c r="D16" t="s">
        <v>354</v>
      </c>
      <c r="E16">
        <v>11</v>
      </c>
      <c r="F16" s="166">
        <v>850</v>
      </c>
      <c r="G16">
        <v>9350</v>
      </c>
    </row>
    <row r="17" spans="1:7" hidden="1">
      <c r="A17" t="s">
        <v>350</v>
      </c>
      <c r="B17" s="165">
        <v>41718</v>
      </c>
      <c r="C17" t="s">
        <v>351</v>
      </c>
      <c r="D17" t="s">
        <v>352</v>
      </c>
      <c r="E17">
        <v>8</v>
      </c>
      <c r="F17" s="166">
        <v>489</v>
      </c>
      <c r="G17">
        <v>3912</v>
      </c>
    </row>
    <row r="18" spans="1:7" hidden="1">
      <c r="A18" t="s">
        <v>350</v>
      </c>
      <c r="B18" s="165">
        <v>41718</v>
      </c>
      <c r="C18" t="s">
        <v>351</v>
      </c>
      <c r="D18" t="s">
        <v>352</v>
      </c>
      <c r="E18">
        <v>10</v>
      </c>
      <c r="F18" s="166">
        <v>494.4</v>
      </c>
      <c r="G18">
        <v>4944</v>
      </c>
    </row>
    <row r="19" spans="1:7" hidden="1">
      <c r="A19" t="s">
        <v>350</v>
      </c>
      <c r="B19" s="165">
        <v>41739</v>
      </c>
      <c r="C19" t="s">
        <v>355</v>
      </c>
      <c r="D19" t="s">
        <v>356</v>
      </c>
      <c r="E19">
        <v>3</v>
      </c>
      <c r="F19" s="166">
        <v>850</v>
      </c>
      <c r="G19">
        <v>2550</v>
      </c>
    </row>
    <row r="20" spans="1:7" hidden="1">
      <c r="A20" t="s">
        <v>350</v>
      </c>
      <c r="B20" s="165">
        <v>41739</v>
      </c>
      <c r="C20" t="s">
        <v>355</v>
      </c>
      <c r="D20" t="s">
        <v>356</v>
      </c>
      <c r="E20">
        <v>8</v>
      </c>
      <c r="F20" s="166">
        <v>492.5</v>
      </c>
      <c r="G20">
        <v>3940</v>
      </c>
    </row>
    <row r="21" spans="1:7" hidden="1">
      <c r="A21" t="s">
        <v>350</v>
      </c>
      <c r="B21" s="165">
        <v>41739</v>
      </c>
      <c r="C21" t="s">
        <v>355</v>
      </c>
      <c r="D21" t="s">
        <v>356</v>
      </c>
      <c r="E21">
        <v>10</v>
      </c>
      <c r="F21" s="166">
        <v>492.5</v>
      </c>
      <c r="G21">
        <v>4925</v>
      </c>
    </row>
    <row r="22" spans="1:7" hidden="1">
      <c r="A22" t="s">
        <v>350</v>
      </c>
      <c r="B22" s="165">
        <v>41739</v>
      </c>
      <c r="C22" t="s">
        <v>355</v>
      </c>
      <c r="D22" t="s">
        <v>356</v>
      </c>
      <c r="E22">
        <v>12</v>
      </c>
      <c r="F22" s="166">
        <v>492.5</v>
      </c>
      <c r="G22">
        <v>5910</v>
      </c>
    </row>
    <row r="23" spans="1:7" hidden="1">
      <c r="A23" t="s">
        <v>350</v>
      </c>
      <c r="B23" s="165">
        <v>41739</v>
      </c>
      <c r="C23" t="s">
        <v>355</v>
      </c>
      <c r="D23" t="s">
        <v>356</v>
      </c>
      <c r="E23">
        <v>12</v>
      </c>
      <c r="F23" s="166">
        <v>492.5</v>
      </c>
      <c r="G23">
        <v>5910</v>
      </c>
    </row>
    <row r="24" spans="1:7" hidden="1">
      <c r="A24" t="s">
        <v>350</v>
      </c>
      <c r="B24" s="165">
        <v>41739</v>
      </c>
      <c r="C24" t="s">
        <v>355</v>
      </c>
      <c r="D24" t="s">
        <v>356</v>
      </c>
      <c r="E24">
        <v>16</v>
      </c>
      <c r="F24" s="166">
        <v>492.5</v>
      </c>
      <c r="G24">
        <v>7880</v>
      </c>
    </row>
    <row r="25" spans="1:7" hidden="1">
      <c r="A25" t="s">
        <v>350</v>
      </c>
      <c r="B25" s="165">
        <v>41739</v>
      </c>
      <c r="C25" t="s">
        <v>353</v>
      </c>
      <c r="D25" t="s">
        <v>354</v>
      </c>
      <c r="E25">
        <v>4</v>
      </c>
      <c r="F25" s="166">
        <v>540</v>
      </c>
      <c r="G25">
        <v>2160</v>
      </c>
    </row>
    <row r="26" spans="1:7" hidden="1">
      <c r="A26" t="s">
        <v>350</v>
      </c>
      <c r="B26" s="165">
        <v>41739</v>
      </c>
      <c r="C26" t="s">
        <v>351</v>
      </c>
      <c r="D26" t="s">
        <v>352</v>
      </c>
      <c r="E26">
        <v>4</v>
      </c>
      <c r="F26" s="166">
        <v>306</v>
      </c>
      <c r="G26">
        <v>1224</v>
      </c>
    </row>
    <row r="27" spans="1:7" hidden="1">
      <c r="A27" t="s">
        <v>350</v>
      </c>
      <c r="B27" s="165">
        <v>41739</v>
      </c>
      <c r="C27" t="s">
        <v>351</v>
      </c>
      <c r="D27" t="s">
        <v>352</v>
      </c>
      <c r="E27">
        <v>3</v>
      </c>
      <c r="F27" s="166">
        <v>625</v>
      </c>
      <c r="G27">
        <v>1875</v>
      </c>
    </row>
    <row r="28" spans="1:7" hidden="1">
      <c r="A28" t="s">
        <v>350</v>
      </c>
      <c r="B28" s="165">
        <v>41739</v>
      </c>
      <c r="C28" t="s">
        <v>351</v>
      </c>
      <c r="D28" t="s">
        <v>352</v>
      </c>
      <c r="E28">
        <v>4</v>
      </c>
      <c r="F28" s="166">
        <v>1034.75</v>
      </c>
      <c r="G28">
        <v>4139</v>
      </c>
    </row>
    <row r="29" spans="1:7" hidden="1">
      <c r="A29" t="s">
        <v>350</v>
      </c>
      <c r="B29" s="165">
        <v>41746</v>
      </c>
      <c r="C29" t="s">
        <v>353</v>
      </c>
      <c r="D29" t="s">
        <v>354</v>
      </c>
      <c r="E29">
        <v>1</v>
      </c>
      <c r="F29" s="166">
        <v>998</v>
      </c>
      <c r="G29">
        <v>998</v>
      </c>
    </row>
    <row r="30" spans="1:7" hidden="1">
      <c r="A30" t="s">
        <v>350</v>
      </c>
      <c r="B30" s="165">
        <v>41746</v>
      </c>
      <c r="C30" t="s">
        <v>351</v>
      </c>
      <c r="D30" t="s">
        <v>352</v>
      </c>
      <c r="E30">
        <v>10</v>
      </c>
      <c r="F30" s="166">
        <v>480</v>
      </c>
      <c r="G30">
        <v>4800</v>
      </c>
    </row>
    <row r="31" spans="1:7" hidden="1">
      <c r="A31" t="s">
        <v>350</v>
      </c>
      <c r="B31" s="165">
        <v>41753</v>
      </c>
      <c r="C31" t="s">
        <v>355</v>
      </c>
      <c r="D31" t="s">
        <v>356</v>
      </c>
      <c r="E31">
        <v>2</v>
      </c>
      <c r="F31" s="166">
        <v>780</v>
      </c>
      <c r="G31">
        <v>1560</v>
      </c>
    </row>
    <row r="32" spans="1:7" hidden="1">
      <c r="A32" t="s">
        <v>350</v>
      </c>
      <c r="B32" s="165">
        <v>41753</v>
      </c>
      <c r="C32" t="s">
        <v>355</v>
      </c>
      <c r="D32" t="s">
        <v>356</v>
      </c>
      <c r="E32">
        <v>6</v>
      </c>
      <c r="F32" s="166">
        <v>525</v>
      </c>
      <c r="G32">
        <v>3150</v>
      </c>
    </row>
    <row r="33" spans="1:7" hidden="1">
      <c r="A33" t="s">
        <v>350</v>
      </c>
      <c r="B33" s="165">
        <v>41753</v>
      </c>
      <c r="C33" t="s">
        <v>355</v>
      </c>
      <c r="D33" t="s">
        <v>356</v>
      </c>
      <c r="E33">
        <v>9</v>
      </c>
      <c r="F33" s="166">
        <v>492.55555555555554</v>
      </c>
      <c r="G33">
        <v>4433</v>
      </c>
    </row>
    <row r="34" spans="1:7" hidden="1">
      <c r="A34" t="s">
        <v>350</v>
      </c>
      <c r="B34" s="165">
        <v>41753</v>
      </c>
      <c r="C34" t="s">
        <v>355</v>
      </c>
      <c r="D34" t="s">
        <v>356</v>
      </c>
      <c r="E34">
        <v>10</v>
      </c>
      <c r="F34" s="166">
        <v>492.5</v>
      </c>
      <c r="G34">
        <v>4925</v>
      </c>
    </row>
    <row r="35" spans="1:7" hidden="1">
      <c r="A35" t="s">
        <v>350</v>
      </c>
      <c r="B35" s="165">
        <v>41753</v>
      </c>
      <c r="C35" t="s">
        <v>357</v>
      </c>
      <c r="D35" t="s">
        <v>358</v>
      </c>
      <c r="E35">
        <v>2</v>
      </c>
      <c r="F35" s="166">
        <v>349</v>
      </c>
      <c r="G35">
        <v>698</v>
      </c>
    </row>
    <row r="36" spans="1:7" hidden="1">
      <c r="A36" t="s">
        <v>350</v>
      </c>
      <c r="B36" s="165">
        <v>41753</v>
      </c>
      <c r="C36" t="s">
        <v>357</v>
      </c>
      <c r="D36" t="s">
        <v>358</v>
      </c>
      <c r="E36">
        <v>3</v>
      </c>
      <c r="F36" s="166">
        <v>400</v>
      </c>
      <c r="G36">
        <v>1200</v>
      </c>
    </row>
    <row r="37" spans="1:7" hidden="1">
      <c r="A37" t="s">
        <v>350</v>
      </c>
      <c r="B37" s="165">
        <v>41753</v>
      </c>
      <c r="C37" t="s">
        <v>351</v>
      </c>
      <c r="D37" t="s">
        <v>352</v>
      </c>
      <c r="E37">
        <v>8</v>
      </c>
      <c r="F37" s="166">
        <v>387.75</v>
      </c>
      <c r="G37">
        <v>3102</v>
      </c>
    </row>
    <row r="38" spans="1:7" hidden="1">
      <c r="A38" t="s">
        <v>350</v>
      </c>
      <c r="B38" s="165">
        <v>41753</v>
      </c>
      <c r="C38" t="s">
        <v>351</v>
      </c>
      <c r="D38" t="s">
        <v>352</v>
      </c>
      <c r="E38">
        <v>8</v>
      </c>
      <c r="F38" s="166">
        <v>603.125</v>
      </c>
      <c r="G38">
        <v>4825</v>
      </c>
    </row>
    <row r="39" spans="1:7" hidden="1">
      <c r="A39" t="s">
        <v>350</v>
      </c>
      <c r="B39" s="165">
        <v>41760</v>
      </c>
      <c r="C39" t="s">
        <v>355</v>
      </c>
      <c r="D39" t="s">
        <v>356</v>
      </c>
      <c r="E39">
        <v>2</v>
      </c>
      <c r="F39" s="166">
        <v>409</v>
      </c>
      <c r="G39">
        <v>818</v>
      </c>
    </row>
    <row r="40" spans="1:7" hidden="1">
      <c r="A40" t="s">
        <v>350</v>
      </c>
      <c r="B40" s="165">
        <v>41760</v>
      </c>
      <c r="C40" t="s">
        <v>355</v>
      </c>
      <c r="D40" t="s">
        <v>356</v>
      </c>
      <c r="E40">
        <v>2</v>
      </c>
      <c r="F40" s="166">
        <v>675</v>
      </c>
      <c r="G40">
        <v>1350</v>
      </c>
    </row>
    <row r="41" spans="1:7" hidden="1">
      <c r="A41" t="s">
        <v>350</v>
      </c>
      <c r="B41" s="165">
        <v>41760</v>
      </c>
      <c r="C41" t="s">
        <v>357</v>
      </c>
      <c r="D41" t="s">
        <v>358</v>
      </c>
      <c r="E41">
        <v>4</v>
      </c>
      <c r="F41" s="166">
        <v>226</v>
      </c>
      <c r="G41">
        <v>904</v>
      </c>
    </row>
    <row r="42" spans="1:7" hidden="1">
      <c r="A42" t="s">
        <v>350</v>
      </c>
      <c r="B42" s="165">
        <v>41760</v>
      </c>
      <c r="C42" t="s">
        <v>357</v>
      </c>
      <c r="D42" t="s">
        <v>358</v>
      </c>
      <c r="E42">
        <v>18</v>
      </c>
      <c r="F42" s="166">
        <v>230.33333333333334</v>
      </c>
      <c r="G42">
        <v>4146</v>
      </c>
    </row>
    <row r="43" spans="1:7" hidden="1">
      <c r="A43" t="s">
        <v>350</v>
      </c>
      <c r="B43" s="165">
        <v>41760</v>
      </c>
      <c r="C43" t="s">
        <v>351</v>
      </c>
      <c r="D43" t="s">
        <v>352</v>
      </c>
      <c r="E43">
        <v>8</v>
      </c>
      <c r="F43" s="166">
        <v>350</v>
      </c>
      <c r="G43">
        <v>2800</v>
      </c>
    </row>
    <row r="44" spans="1:7" hidden="1">
      <c r="A44" t="s">
        <v>350</v>
      </c>
      <c r="B44" s="165">
        <v>41760</v>
      </c>
      <c r="C44" t="s">
        <v>351</v>
      </c>
      <c r="D44" t="s">
        <v>352</v>
      </c>
      <c r="E44">
        <v>11</v>
      </c>
      <c r="F44" s="166">
        <v>500</v>
      </c>
      <c r="G44">
        <v>5500</v>
      </c>
    </row>
    <row r="45" spans="1:7" hidden="1">
      <c r="A45" t="s">
        <v>350</v>
      </c>
      <c r="B45" s="165">
        <v>41767</v>
      </c>
      <c r="C45" t="s">
        <v>359</v>
      </c>
      <c r="D45" t="s">
        <v>360</v>
      </c>
      <c r="E45">
        <v>3</v>
      </c>
      <c r="F45" s="166">
        <v>625</v>
      </c>
      <c r="G45">
        <v>1875</v>
      </c>
    </row>
    <row r="46" spans="1:7" hidden="1">
      <c r="A46" t="s">
        <v>350</v>
      </c>
      <c r="B46" s="165">
        <v>41767</v>
      </c>
      <c r="C46" t="s">
        <v>355</v>
      </c>
      <c r="D46" t="s">
        <v>356</v>
      </c>
      <c r="E46">
        <v>20</v>
      </c>
      <c r="F46" s="166">
        <v>492.5</v>
      </c>
      <c r="G46">
        <v>9850</v>
      </c>
    </row>
    <row r="47" spans="1:7" hidden="1">
      <c r="A47" t="s">
        <v>350</v>
      </c>
      <c r="B47" s="165">
        <v>41767</v>
      </c>
      <c r="C47" t="s">
        <v>355</v>
      </c>
      <c r="D47" t="s">
        <v>356</v>
      </c>
      <c r="E47">
        <v>18</v>
      </c>
      <c r="F47" s="166">
        <v>550</v>
      </c>
      <c r="G47">
        <v>9900</v>
      </c>
    </row>
    <row r="48" spans="1:7" hidden="1">
      <c r="A48" t="s">
        <v>350</v>
      </c>
      <c r="B48" s="165">
        <v>41767</v>
      </c>
      <c r="C48" t="s">
        <v>355</v>
      </c>
      <c r="D48" t="s">
        <v>356</v>
      </c>
      <c r="E48">
        <v>11</v>
      </c>
      <c r="F48" s="166">
        <v>1048.5454545454545</v>
      </c>
      <c r="G48">
        <v>11534</v>
      </c>
    </row>
    <row r="49" spans="1:7" hidden="1">
      <c r="A49" t="s">
        <v>350</v>
      </c>
      <c r="B49" s="165">
        <v>41767</v>
      </c>
      <c r="C49" t="s">
        <v>357</v>
      </c>
      <c r="D49" t="s">
        <v>358</v>
      </c>
      <c r="E49">
        <v>4</v>
      </c>
      <c r="F49" s="166">
        <v>273.75</v>
      </c>
      <c r="G49">
        <v>1095</v>
      </c>
    </row>
    <row r="50" spans="1:7" hidden="1">
      <c r="A50" t="s">
        <v>350</v>
      </c>
      <c r="B50" s="165">
        <v>41767</v>
      </c>
      <c r="C50" t="s">
        <v>357</v>
      </c>
      <c r="D50" t="s">
        <v>358</v>
      </c>
      <c r="E50">
        <v>5</v>
      </c>
      <c r="F50" s="166">
        <v>280</v>
      </c>
      <c r="G50">
        <v>1400</v>
      </c>
    </row>
    <row r="51" spans="1:7" hidden="1">
      <c r="A51" t="s">
        <v>350</v>
      </c>
      <c r="B51" s="165">
        <v>41767</v>
      </c>
      <c r="C51" t="s">
        <v>351</v>
      </c>
      <c r="D51" t="s">
        <v>352</v>
      </c>
      <c r="E51">
        <v>12</v>
      </c>
      <c r="F51" s="166">
        <v>485.41666666666669</v>
      </c>
      <c r="G51">
        <v>5825</v>
      </c>
    </row>
    <row r="52" spans="1:7" hidden="1">
      <c r="A52" t="s">
        <v>350</v>
      </c>
      <c r="B52" s="165">
        <v>41774</v>
      </c>
      <c r="C52" t="s">
        <v>355</v>
      </c>
      <c r="D52" t="s">
        <v>356</v>
      </c>
      <c r="E52">
        <v>6</v>
      </c>
      <c r="F52" s="166">
        <v>695</v>
      </c>
      <c r="G52">
        <v>4170</v>
      </c>
    </row>
    <row r="53" spans="1:7" hidden="1">
      <c r="A53" t="s">
        <v>350</v>
      </c>
      <c r="B53" s="165">
        <v>41774</v>
      </c>
      <c r="C53" t="s">
        <v>355</v>
      </c>
      <c r="D53" t="s">
        <v>356</v>
      </c>
      <c r="E53">
        <v>20</v>
      </c>
      <c r="F53" s="166">
        <v>575</v>
      </c>
      <c r="G53">
        <v>11500</v>
      </c>
    </row>
    <row r="54" spans="1:7" hidden="1">
      <c r="A54" t="s">
        <v>350</v>
      </c>
      <c r="B54" s="165">
        <v>41774</v>
      </c>
      <c r="C54" t="s">
        <v>353</v>
      </c>
      <c r="D54" t="s">
        <v>354</v>
      </c>
      <c r="E54">
        <v>2</v>
      </c>
      <c r="F54" s="166">
        <v>807</v>
      </c>
      <c r="G54">
        <v>1614</v>
      </c>
    </row>
    <row r="55" spans="1:7" hidden="1">
      <c r="A55" t="s">
        <v>350</v>
      </c>
      <c r="B55" s="165">
        <v>41774</v>
      </c>
      <c r="C55" t="s">
        <v>357</v>
      </c>
      <c r="D55" t="s">
        <v>358</v>
      </c>
      <c r="E55">
        <v>2</v>
      </c>
      <c r="F55" s="166">
        <v>164.5</v>
      </c>
      <c r="G55">
        <v>329</v>
      </c>
    </row>
    <row r="56" spans="1:7" hidden="1">
      <c r="A56" t="s">
        <v>350</v>
      </c>
      <c r="B56" s="165">
        <v>41774</v>
      </c>
      <c r="C56" t="s">
        <v>357</v>
      </c>
      <c r="D56" t="s">
        <v>358</v>
      </c>
      <c r="E56">
        <v>28</v>
      </c>
      <c r="F56" s="166">
        <v>325</v>
      </c>
      <c r="G56">
        <v>9100</v>
      </c>
    </row>
    <row r="57" spans="1:7" hidden="1">
      <c r="A57" t="s">
        <v>350</v>
      </c>
      <c r="B57" s="165">
        <v>41774</v>
      </c>
      <c r="C57" t="s">
        <v>351</v>
      </c>
      <c r="D57" t="s">
        <v>352</v>
      </c>
      <c r="E57">
        <v>1</v>
      </c>
      <c r="F57" s="166">
        <v>365</v>
      </c>
      <c r="G57">
        <v>365</v>
      </c>
    </row>
    <row r="58" spans="1:7" hidden="1">
      <c r="A58" t="s">
        <v>350</v>
      </c>
      <c r="B58" s="165">
        <v>41774</v>
      </c>
      <c r="C58" t="s">
        <v>351</v>
      </c>
      <c r="D58" t="s">
        <v>352</v>
      </c>
      <c r="E58">
        <v>1</v>
      </c>
      <c r="F58" s="166">
        <v>471</v>
      </c>
      <c r="G58">
        <v>471</v>
      </c>
    </row>
    <row r="59" spans="1:7" hidden="1">
      <c r="A59" t="s">
        <v>350</v>
      </c>
      <c r="B59" s="165">
        <v>41774</v>
      </c>
      <c r="C59" t="s">
        <v>351</v>
      </c>
      <c r="D59" t="s">
        <v>352</v>
      </c>
      <c r="E59">
        <v>7</v>
      </c>
      <c r="F59" s="166">
        <v>575</v>
      </c>
      <c r="G59">
        <v>4025</v>
      </c>
    </row>
    <row r="60" spans="1:7" hidden="1">
      <c r="A60" t="s">
        <v>350</v>
      </c>
      <c r="B60" s="165">
        <v>41774</v>
      </c>
      <c r="C60" t="s">
        <v>351</v>
      </c>
      <c r="D60" t="s">
        <v>352</v>
      </c>
      <c r="E60">
        <v>12</v>
      </c>
      <c r="F60" s="166">
        <v>525</v>
      </c>
      <c r="G60">
        <v>6300</v>
      </c>
    </row>
    <row r="61" spans="1:7" hidden="1">
      <c r="A61" t="s">
        <v>350</v>
      </c>
      <c r="B61" s="165">
        <v>41781</v>
      </c>
      <c r="C61" t="s">
        <v>357</v>
      </c>
      <c r="D61" t="s">
        <v>358</v>
      </c>
      <c r="E61">
        <v>18</v>
      </c>
      <c r="F61" s="166">
        <v>253.11111111111111</v>
      </c>
      <c r="G61">
        <v>4556</v>
      </c>
    </row>
    <row r="62" spans="1:7" hidden="1">
      <c r="A62" t="s">
        <v>350</v>
      </c>
      <c r="B62" s="165">
        <v>41781</v>
      </c>
      <c r="C62" t="s">
        <v>357</v>
      </c>
      <c r="D62" t="s">
        <v>358</v>
      </c>
      <c r="E62">
        <v>62</v>
      </c>
      <c r="F62" s="166">
        <v>303.22580645161293</v>
      </c>
      <c r="G62">
        <v>18800</v>
      </c>
    </row>
    <row r="63" spans="1:7" hidden="1">
      <c r="A63" t="s">
        <v>350</v>
      </c>
      <c r="B63" s="165">
        <v>41781</v>
      </c>
      <c r="C63" t="s">
        <v>351</v>
      </c>
      <c r="D63" t="s">
        <v>352</v>
      </c>
      <c r="E63">
        <v>7</v>
      </c>
      <c r="F63" s="166">
        <v>475</v>
      </c>
      <c r="G63">
        <v>3325</v>
      </c>
    </row>
    <row r="64" spans="1:7" hidden="1">
      <c r="A64" t="s">
        <v>350</v>
      </c>
      <c r="B64" s="165">
        <v>41788</v>
      </c>
      <c r="C64" t="s">
        <v>357</v>
      </c>
      <c r="D64" t="s">
        <v>358</v>
      </c>
      <c r="E64">
        <v>1</v>
      </c>
      <c r="F64" s="166">
        <v>150</v>
      </c>
      <c r="G64">
        <v>150</v>
      </c>
    </row>
    <row r="65" spans="1:7" hidden="1">
      <c r="A65" t="s">
        <v>350</v>
      </c>
      <c r="B65" s="165">
        <v>41788</v>
      </c>
      <c r="C65" t="s">
        <v>357</v>
      </c>
      <c r="D65" t="s">
        <v>358</v>
      </c>
      <c r="E65">
        <v>2</v>
      </c>
      <c r="F65" s="166">
        <v>150</v>
      </c>
      <c r="G65">
        <v>300</v>
      </c>
    </row>
    <row r="66" spans="1:7" hidden="1">
      <c r="A66" t="s">
        <v>350</v>
      </c>
      <c r="B66" s="165">
        <v>41788</v>
      </c>
      <c r="C66" t="s">
        <v>351</v>
      </c>
      <c r="D66" t="s">
        <v>352</v>
      </c>
      <c r="E66">
        <v>2</v>
      </c>
      <c r="F66" s="166">
        <v>360</v>
      </c>
      <c r="G66">
        <v>720</v>
      </c>
    </row>
    <row r="67" spans="1:7" hidden="1">
      <c r="A67" t="s">
        <v>350</v>
      </c>
      <c r="B67" s="165">
        <v>41788</v>
      </c>
      <c r="C67" t="s">
        <v>351</v>
      </c>
      <c r="D67" t="s">
        <v>352</v>
      </c>
      <c r="E67">
        <v>17</v>
      </c>
      <c r="F67" s="166">
        <v>795</v>
      </c>
      <c r="G67">
        <v>13515</v>
      </c>
    </row>
    <row r="68" spans="1:7" hidden="1">
      <c r="A68" t="s">
        <v>350</v>
      </c>
      <c r="B68" s="165">
        <v>41795</v>
      </c>
      <c r="C68" t="s">
        <v>359</v>
      </c>
      <c r="D68" t="s">
        <v>360</v>
      </c>
      <c r="E68">
        <v>11</v>
      </c>
      <c r="F68" s="166">
        <v>418.72727272727275</v>
      </c>
      <c r="G68">
        <v>4606</v>
      </c>
    </row>
    <row r="69" spans="1:7" hidden="1">
      <c r="A69" t="s">
        <v>350</v>
      </c>
      <c r="B69" s="165">
        <v>41795</v>
      </c>
      <c r="C69" t="s">
        <v>359</v>
      </c>
      <c r="D69" t="s">
        <v>360</v>
      </c>
      <c r="E69">
        <v>8</v>
      </c>
      <c r="F69" s="166">
        <v>620.125</v>
      </c>
      <c r="G69">
        <v>4961</v>
      </c>
    </row>
    <row r="70" spans="1:7" hidden="1">
      <c r="A70" t="s">
        <v>350</v>
      </c>
      <c r="B70" s="165">
        <v>41795</v>
      </c>
      <c r="C70" t="s">
        <v>355</v>
      </c>
      <c r="D70" t="s">
        <v>356</v>
      </c>
      <c r="E70">
        <v>36</v>
      </c>
      <c r="F70" s="166">
        <v>359</v>
      </c>
      <c r="G70">
        <v>12924</v>
      </c>
    </row>
    <row r="71" spans="1:7" hidden="1">
      <c r="A71" t="s">
        <v>350</v>
      </c>
      <c r="B71" s="165">
        <v>41795</v>
      </c>
      <c r="C71" t="s">
        <v>357</v>
      </c>
      <c r="D71" t="s">
        <v>358</v>
      </c>
      <c r="E71">
        <v>2</v>
      </c>
      <c r="F71" s="166">
        <v>247</v>
      </c>
      <c r="G71">
        <v>494</v>
      </c>
    </row>
    <row r="72" spans="1:7" hidden="1">
      <c r="A72" t="s">
        <v>350</v>
      </c>
      <c r="B72" s="165">
        <v>41795</v>
      </c>
      <c r="C72" t="s">
        <v>357</v>
      </c>
      <c r="D72" t="s">
        <v>358</v>
      </c>
      <c r="E72">
        <v>38</v>
      </c>
      <c r="F72" s="166">
        <v>185</v>
      </c>
      <c r="G72">
        <v>7030</v>
      </c>
    </row>
    <row r="73" spans="1:7" hidden="1">
      <c r="A73" t="s">
        <v>350</v>
      </c>
      <c r="B73" s="165">
        <v>41795</v>
      </c>
      <c r="C73" t="s">
        <v>351</v>
      </c>
      <c r="D73" t="s">
        <v>352</v>
      </c>
      <c r="E73">
        <v>2</v>
      </c>
      <c r="F73" s="166">
        <v>675</v>
      </c>
      <c r="G73">
        <v>1350</v>
      </c>
    </row>
    <row r="74" spans="1:7" hidden="1">
      <c r="A74" t="s">
        <v>350</v>
      </c>
      <c r="B74" s="165">
        <v>41795</v>
      </c>
      <c r="C74" t="s">
        <v>351</v>
      </c>
      <c r="D74" t="s">
        <v>352</v>
      </c>
      <c r="E74">
        <v>11</v>
      </c>
      <c r="F74" s="166">
        <v>499</v>
      </c>
      <c r="G74">
        <v>5489</v>
      </c>
    </row>
    <row r="75" spans="1:7" hidden="1">
      <c r="A75" t="s">
        <v>350</v>
      </c>
      <c r="B75" s="165">
        <v>41795</v>
      </c>
      <c r="C75" t="s">
        <v>351</v>
      </c>
      <c r="D75" t="s">
        <v>352</v>
      </c>
      <c r="E75">
        <v>20</v>
      </c>
      <c r="F75" s="166">
        <v>517</v>
      </c>
      <c r="G75">
        <v>10340</v>
      </c>
    </row>
    <row r="76" spans="1:7" hidden="1">
      <c r="A76" t="s">
        <v>350</v>
      </c>
      <c r="B76" s="165">
        <v>41802</v>
      </c>
      <c r="C76" t="s">
        <v>359</v>
      </c>
      <c r="D76" t="s">
        <v>360</v>
      </c>
      <c r="E76">
        <v>8</v>
      </c>
      <c r="F76" s="166">
        <v>650</v>
      </c>
      <c r="G76">
        <v>5200</v>
      </c>
    </row>
    <row r="77" spans="1:7" hidden="1">
      <c r="A77" t="s">
        <v>350</v>
      </c>
      <c r="B77" s="165">
        <v>41802</v>
      </c>
      <c r="C77" t="s">
        <v>359</v>
      </c>
      <c r="D77" t="s">
        <v>360</v>
      </c>
      <c r="E77">
        <v>12</v>
      </c>
      <c r="F77" s="166">
        <v>650</v>
      </c>
      <c r="G77">
        <v>7800</v>
      </c>
    </row>
    <row r="78" spans="1:7" hidden="1">
      <c r="A78" t="s">
        <v>350</v>
      </c>
      <c r="B78" s="165">
        <v>41802</v>
      </c>
      <c r="C78" t="s">
        <v>353</v>
      </c>
      <c r="D78" t="s">
        <v>354</v>
      </c>
      <c r="E78">
        <v>5</v>
      </c>
      <c r="F78" s="166">
        <v>962</v>
      </c>
      <c r="G78">
        <v>4810</v>
      </c>
    </row>
    <row r="79" spans="1:7" hidden="1">
      <c r="A79" t="s">
        <v>350</v>
      </c>
      <c r="B79" s="165">
        <v>41802</v>
      </c>
      <c r="C79" t="s">
        <v>351</v>
      </c>
      <c r="D79" t="s">
        <v>352</v>
      </c>
      <c r="E79">
        <v>4</v>
      </c>
      <c r="F79" s="166">
        <v>525</v>
      </c>
      <c r="G79">
        <v>2100</v>
      </c>
    </row>
    <row r="80" spans="1:7" hidden="1">
      <c r="A80" t="s">
        <v>350</v>
      </c>
      <c r="B80" s="165">
        <v>41810</v>
      </c>
      <c r="C80" t="s">
        <v>355</v>
      </c>
      <c r="D80" t="s">
        <v>356</v>
      </c>
      <c r="E80">
        <v>21</v>
      </c>
      <c r="F80" s="166">
        <v>1062.3809523809523</v>
      </c>
      <c r="G80">
        <v>22310</v>
      </c>
    </row>
    <row r="81" spans="1:7" hidden="1">
      <c r="A81" t="s">
        <v>350</v>
      </c>
      <c r="B81" s="165">
        <v>41810</v>
      </c>
      <c r="C81" t="s">
        <v>351</v>
      </c>
      <c r="D81" t="s">
        <v>352</v>
      </c>
      <c r="E81">
        <v>1</v>
      </c>
      <c r="F81" s="166">
        <v>355</v>
      </c>
      <c r="G81">
        <v>355</v>
      </c>
    </row>
    <row r="82" spans="1:7" hidden="1">
      <c r="A82" t="s">
        <v>350</v>
      </c>
      <c r="B82" s="165">
        <v>41816</v>
      </c>
      <c r="C82" t="s">
        <v>359</v>
      </c>
      <c r="D82" t="s">
        <v>360</v>
      </c>
      <c r="E82">
        <v>10</v>
      </c>
      <c r="F82" s="166">
        <v>560</v>
      </c>
      <c r="G82">
        <v>5600</v>
      </c>
    </row>
    <row r="83" spans="1:7" hidden="1">
      <c r="A83" t="s">
        <v>350</v>
      </c>
      <c r="B83" s="165">
        <v>41816</v>
      </c>
      <c r="C83" t="s">
        <v>355</v>
      </c>
      <c r="D83" t="s">
        <v>356</v>
      </c>
      <c r="E83">
        <v>12</v>
      </c>
      <c r="F83" s="166">
        <v>320.25</v>
      </c>
      <c r="G83">
        <v>3843</v>
      </c>
    </row>
    <row r="84" spans="1:7" hidden="1">
      <c r="A84" t="s">
        <v>350</v>
      </c>
      <c r="B84" s="165">
        <v>41816</v>
      </c>
      <c r="C84" t="s">
        <v>355</v>
      </c>
      <c r="D84" t="s">
        <v>356</v>
      </c>
      <c r="E84">
        <v>10</v>
      </c>
      <c r="F84" s="166">
        <v>595</v>
      </c>
      <c r="G84">
        <v>5950</v>
      </c>
    </row>
    <row r="85" spans="1:7" hidden="1">
      <c r="A85" t="s">
        <v>350</v>
      </c>
      <c r="B85" s="165">
        <v>41816</v>
      </c>
      <c r="C85" t="s">
        <v>355</v>
      </c>
      <c r="D85" t="s">
        <v>356</v>
      </c>
      <c r="E85">
        <v>12</v>
      </c>
      <c r="F85" s="166">
        <v>501</v>
      </c>
      <c r="G85">
        <v>6012</v>
      </c>
    </row>
    <row r="86" spans="1:7" hidden="1">
      <c r="A86" t="s">
        <v>350</v>
      </c>
      <c r="B86" s="165">
        <v>41816</v>
      </c>
      <c r="C86" t="s">
        <v>355</v>
      </c>
      <c r="D86" t="s">
        <v>356</v>
      </c>
      <c r="E86">
        <v>16</v>
      </c>
      <c r="F86" s="166">
        <v>550</v>
      </c>
      <c r="G86">
        <v>8800</v>
      </c>
    </row>
    <row r="87" spans="1:7" hidden="1">
      <c r="A87" t="s">
        <v>350</v>
      </c>
      <c r="B87" s="165">
        <v>41816</v>
      </c>
      <c r="C87" t="s">
        <v>351</v>
      </c>
      <c r="D87" t="s">
        <v>352</v>
      </c>
      <c r="E87">
        <v>8</v>
      </c>
      <c r="F87" s="166">
        <v>175.375</v>
      </c>
      <c r="G87">
        <v>1403</v>
      </c>
    </row>
    <row r="88" spans="1:7" hidden="1">
      <c r="A88" t="s">
        <v>350</v>
      </c>
      <c r="B88" s="165">
        <v>41816</v>
      </c>
      <c r="C88" t="s">
        <v>351</v>
      </c>
      <c r="D88" t="s">
        <v>352</v>
      </c>
      <c r="E88">
        <v>2</v>
      </c>
      <c r="F88" s="166">
        <v>875</v>
      </c>
      <c r="G88">
        <v>1750</v>
      </c>
    </row>
    <row r="89" spans="1:7" hidden="1">
      <c r="A89" t="s">
        <v>350</v>
      </c>
      <c r="B89" s="165">
        <v>41816</v>
      </c>
      <c r="C89" t="s">
        <v>351</v>
      </c>
      <c r="D89" t="s">
        <v>352</v>
      </c>
      <c r="E89">
        <v>6</v>
      </c>
      <c r="F89" s="166">
        <v>322.66666666666669</v>
      </c>
      <c r="G89">
        <v>1936</v>
      </c>
    </row>
    <row r="90" spans="1:7" hidden="1">
      <c r="A90" t="s">
        <v>350</v>
      </c>
      <c r="B90" s="165">
        <v>41816</v>
      </c>
      <c r="C90" t="s">
        <v>351</v>
      </c>
      <c r="D90" t="s">
        <v>352</v>
      </c>
      <c r="E90">
        <v>5</v>
      </c>
      <c r="F90" s="166">
        <v>675</v>
      </c>
      <c r="G90">
        <v>3375</v>
      </c>
    </row>
    <row r="91" spans="1:7" hidden="1">
      <c r="A91" t="s">
        <v>350</v>
      </c>
      <c r="B91" s="165">
        <v>41816</v>
      </c>
      <c r="C91" t="s">
        <v>351</v>
      </c>
      <c r="D91" t="s">
        <v>352</v>
      </c>
      <c r="E91">
        <v>13</v>
      </c>
      <c r="F91" s="166">
        <v>519</v>
      </c>
      <c r="G91">
        <v>6747</v>
      </c>
    </row>
    <row r="92" spans="1:7" hidden="1">
      <c r="A92" t="s">
        <v>350</v>
      </c>
      <c r="B92" s="165">
        <v>41823</v>
      </c>
      <c r="C92" t="s">
        <v>359</v>
      </c>
      <c r="D92" t="s">
        <v>360</v>
      </c>
      <c r="E92">
        <v>3</v>
      </c>
      <c r="F92" s="166">
        <v>857</v>
      </c>
      <c r="G92">
        <v>2571</v>
      </c>
    </row>
    <row r="93" spans="1:7" hidden="1">
      <c r="A93" t="s">
        <v>350</v>
      </c>
      <c r="B93" s="165">
        <v>41823</v>
      </c>
      <c r="C93" t="s">
        <v>355</v>
      </c>
      <c r="D93" t="s">
        <v>356</v>
      </c>
      <c r="E93">
        <v>2</v>
      </c>
      <c r="F93" s="166">
        <v>480</v>
      </c>
      <c r="G93">
        <v>960</v>
      </c>
    </row>
    <row r="94" spans="1:7" hidden="1">
      <c r="A94" t="s">
        <v>350</v>
      </c>
      <c r="B94" s="165">
        <v>41823</v>
      </c>
      <c r="C94" t="s">
        <v>355</v>
      </c>
      <c r="D94" t="s">
        <v>356</v>
      </c>
      <c r="E94">
        <v>2</v>
      </c>
      <c r="F94" s="166">
        <v>648.5</v>
      </c>
      <c r="G94">
        <v>1297</v>
      </c>
    </row>
    <row r="95" spans="1:7" hidden="1">
      <c r="A95" t="s">
        <v>350</v>
      </c>
      <c r="B95" s="165">
        <v>41823</v>
      </c>
      <c r="C95" t="s">
        <v>355</v>
      </c>
      <c r="D95" t="s">
        <v>356</v>
      </c>
      <c r="E95">
        <v>6</v>
      </c>
      <c r="F95" s="166">
        <v>480</v>
      </c>
      <c r="G95">
        <v>2880</v>
      </c>
    </row>
    <row r="96" spans="1:7" hidden="1">
      <c r="A96" t="s">
        <v>350</v>
      </c>
      <c r="B96" s="165">
        <v>41823</v>
      </c>
      <c r="C96" t="s">
        <v>355</v>
      </c>
      <c r="D96" t="s">
        <v>356</v>
      </c>
      <c r="E96">
        <v>6</v>
      </c>
      <c r="F96" s="166">
        <v>641.66666666666663</v>
      </c>
      <c r="G96">
        <v>3850</v>
      </c>
    </row>
    <row r="97" spans="1:7" hidden="1">
      <c r="A97" t="s">
        <v>350</v>
      </c>
      <c r="B97" s="165">
        <v>41823</v>
      </c>
      <c r="C97" t="s">
        <v>355</v>
      </c>
      <c r="D97" t="s">
        <v>356</v>
      </c>
      <c r="E97">
        <v>6</v>
      </c>
      <c r="F97" s="166">
        <v>1034</v>
      </c>
      <c r="G97">
        <v>6204</v>
      </c>
    </row>
    <row r="98" spans="1:7" hidden="1">
      <c r="A98" t="s">
        <v>350</v>
      </c>
      <c r="B98" s="165">
        <v>41823</v>
      </c>
      <c r="C98" t="s">
        <v>351</v>
      </c>
      <c r="D98" t="s">
        <v>352</v>
      </c>
      <c r="E98">
        <v>1</v>
      </c>
      <c r="F98" s="166">
        <v>250</v>
      </c>
      <c r="G98">
        <v>250</v>
      </c>
    </row>
    <row r="99" spans="1:7" hidden="1">
      <c r="A99" t="s">
        <v>350</v>
      </c>
      <c r="B99" s="165">
        <v>41823</v>
      </c>
      <c r="C99" t="s">
        <v>351</v>
      </c>
      <c r="D99" t="s">
        <v>352</v>
      </c>
      <c r="E99">
        <v>2</v>
      </c>
      <c r="F99" s="166">
        <v>480</v>
      </c>
      <c r="G99">
        <v>960</v>
      </c>
    </row>
    <row r="100" spans="1:7" hidden="1">
      <c r="A100" t="s">
        <v>350</v>
      </c>
      <c r="B100" s="165">
        <v>41823</v>
      </c>
      <c r="C100" t="s">
        <v>351</v>
      </c>
      <c r="D100" t="s">
        <v>352</v>
      </c>
      <c r="E100">
        <v>2</v>
      </c>
      <c r="F100" s="166">
        <v>685</v>
      </c>
      <c r="G100">
        <v>1370</v>
      </c>
    </row>
    <row r="101" spans="1:7" hidden="1">
      <c r="A101" t="s">
        <v>350</v>
      </c>
      <c r="B101" s="165">
        <v>41823</v>
      </c>
      <c r="C101" t="s">
        <v>351</v>
      </c>
      <c r="D101" t="s">
        <v>352</v>
      </c>
      <c r="E101">
        <v>4</v>
      </c>
      <c r="F101" s="166">
        <v>800</v>
      </c>
      <c r="G101">
        <v>3200</v>
      </c>
    </row>
    <row r="102" spans="1:7" hidden="1">
      <c r="A102" t="s">
        <v>350</v>
      </c>
      <c r="B102" s="165">
        <v>41823</v>
      </c>
      <c r="C102" t="s">
        <v>351</v>
      </c>
      <c r="D102" t="s">
        <v>352</v>
      </c>
      <c r="E102">
        <v>8</v>
      </c>
      <c r="F102" s="166">
        <v>425</v>
      </c>
      <c r="G102">
        <v>3400</v>
      </c>
    </row>
    <row r="103" spans="1:7" hidden="1">
      <c r="A103" t="s">
        <v>350</v>
      </c>
      <c r="B103" s="165">
        <v>41823</v>
      </c>
      <c r="C103" t="s">
        <v>351</v>
      </c>
      <c r="D103" t="s">
        <v>352</v>
      </c>
      <c r="E103">
        <v>8</v>
      </c>
      <c r="F103" s="166">
        <v>494</v>
      </c>
      <c r="G103">
        <v>3952</v>
      </c>
    </row>
    <row r="104" spans="1:7" hidden="1">
      <c r="A104" t="s">
        <v>350</v>
      </c>
      <c r="B104" s="165">
        <v>41823</v>
      </c>
      <c r="C104" t="s">
        <v>351</v>
      </c>
      <c r="D104" t="s">
        <v>352</v>
      </c>
      <c r="E104">
        <v>19</v>
      </c>
      <c r="F104" s="166">
        <v>425</v>
      </c>
      <c r="G104">
        <v>8075</v>
      </c>
    </row>
    <row r="105" spans="1:7" hidden="1">
      <c r="A105" t="s">
        <v>350</v>
      </c>
      <c r="B105" s="165">
        <v>41823</v>
      </c>
      <c r="C105" t="s">
        <v>351</v>
      </c>
      <c r="D105" t="s">
        <v>352</v>
      </c>
      <c r="E105">
        <v>15</v>
      </c>
      <c r="F105" s="166">
        <v>544.20000000000005</v>
      </c>
      <c r="G105">
        <v>8163</v>
      </c>
    </row>
    <row r="106" spans="1:7" hidden="1">
      <c r="A106" t="s">
        <v>350</v>
      </c>
      <c r="B106" s="165">
        <v>41830</v>
      </c>
      <c r="C106" t="s">
        <v>355</v>
      </c>
      <c r="D106" t="s">
        <v>356</v>
      </c>
      <c r="E106">
        <v>10</v>
      </c>
      <c r="F106" s="166">
        <v>595</v>
      </c>
      <c r="G106">
        <v>5950</v>
      </c>
    </row>
    <row r="107" spans="1:7" hidden="1">
      <c r="A107" t="s">
        <v>350</v>
      </c>
      <c r="B107" s="165">
        <v>41830</v>
      </c>
      <c r="C107" t="s">
        <v>355</v>
      </c>
      <c r="D107" t="s">
        <v>356</v>
      </c>
      <c r="E107">
        <v>24</v>
      </c>
      <c r="F107" s="166">
        <v>406.33333333333331</v>
      </c>
      <c r="G107">
        <v>9752</v>
      </c>
    </row>
    <row r="108" spans="1:7" hidden="1">
      <c r="A108" t="s">
        <v>350</v>
      </c>
      <c r="B108" s="165">
        <v>41830</v>
      </c>
      <c r="C108" t="s">
        <v>353</v>
      </c>
      <c r="D108" t="s">
        <v>354</v>
      </c>
      <c r="E108">
        <v>5</v>
      </c>
      <c r="F108" s="166">
        <v>868</v>
      </c>
      <c r="G108">
        <v>4340</v>
      </c>
    </row>
    <row r="109" spans="1:7" hidden="1">
      <c r="A109" t="s">
        <v>350</v>
      </c>
      <c r="B109" s="165">
        <v>41830</v>
      </c>
      <c r="C109" t="s">
        <v>357</v>
      </c>
      <c r="D109" t="s">
        <v>358</v>
      </c>
      <c r="E109">
        <v>39</v>
      </c>
      <c r="F109" s="166">
        <v>275</v>
      </c>
      <c r="G109">
        <v>10725</v>
      </c>
    </row>
    <row r="110" spans="1:7" hidden="1">
      <c r="A110" t="s">
        <v>350</v>
      </c>
      <c r="B110" s="165">
        <v>41830</v>
      </c>
      <c r="C110" t="s">
        <v>351</v>
      </c>
      <c r="D110" t="s">
        <v>352</v>
      </c>
      <c r="E110">
        <v>12</v>
      </c>
      <c r="F110" s="166">
        <v>525</v>
      </c>
      <c r="G110">
        <v>6300</v>
      </c>
    </row>
    <row r="111" spans="1:7" hidden="1">
      <c r="A111" t="s">
        <v>350</v>
      </c>
      <c r="B111" s="165">
        <v>41837</v>
      </c>
      <c r="C111" t="s">
        <v>359</v>
      </c>
      <c r="D111" t="s">
        <v>360</v>
      </c>
      <c r="E111">
        <v>5</v>
      </c>
      <c r="F111" s="166">
        <v>531</v>
      </c>
      <c r="G111">
        <v>2655</v>
      </c>
    </row>
    <row r="112" spans="1:7" hidden="1">
      <c r="A112" t="s">
        <v>350</v>
      </c>
      <c r="B112" s="165">
        <v>41837</v>
      </c>
      <c r="C112" t="s">
        <v>359</v>
      </c>
      <c r="D112" t="s">
        <v>360</v>
      </c>
      <c r="E112">
        <v>10</v>
      </c>
      <c r="F112" s="166">
        <v>597.5</v>
      </c>
      <c r="G112">
        <v>5975</v>
      </c>
    </row>
    <row r="113" spans="1:7" hidden="1">
      <c r="A113" t="s">
        <v>350</v>
      </c>
      <c r="B113" s="165">
        <v>41837</v>
      </c>
      <c r="C113" t="s">
        <v>355</v>
      </c>
      <c r="D113" t="s">
        <v>356</v>
      </c>
      <c r="E113">
        <v>6</v>
      </c>
      <c r="F113" s="166">
        <v>699</v>
      </c>
      <c r="G113">
        <v>4194</v>
      </c>
    </row>
    <row r="114" spans="1:7" hidden="1">
      <c r="A114" t="s">
        <v>350</v>
      </c>
      <c r="B114" s="165">
        <v>41837</v>
      </c>
      <c r="C114" t="s">
        <v>355</v>
      </c>
      <c r="D114" t="s">
        <v>356</v>
      </c>
      <c r="E114">
        <v>17</v>
      </c>
      <c r="F114" s="166">
        <v>471.94117647058823</v>
      </c>
      <c r="G114">
        <v>8023</v>
      </c>
    </row>
    <row r="115" spans="1:7" hidden="1">
      <c r="A115" t="s">
        <v>350</v>
      </c>
      <c r="B115" s="165">
        <v>41837</v>
      </c>
      <c r="C115" t="s">
        <v>351</v>
      </c>
      <c r="D115" t="s">
        <v>352</v>
      </c>
      <c r="E115">
        <v>4</v>
      </c>
      <c r="F115" s="166">
        <v>534.5</v>
      </c>
      <c r="G115">
        <v>2138</v>
      </c>
    </row>
    <row r="116" spans="1:7" hidden="1">
      <c r="A116" t="s">
        <v>350</v>
      </c>
      <c r="B116" s="165">
        <v>41837</v>
      </c>
      <c r="C116" t="s">
        <v>351</v>
      </c>
      <c r="D116" t="s">
        <v>352</v>
      </c>
      <c r="E116">
        <v>10</v>
      </c>
      <c r="F116" s="166">
        <v>597.5</v>
      </c>
      <c r="G116">
        <v>5975</v>
      </c>
    </row>
    <row r="117" spans="1:7" hidden="1">
      <c r="A117" t="s">
        <v>350</v>
      </c>
      <c r="B117" s="165">
        <v>41837</v>
      </c>
      <c r="C117" t="s">
        <v>351</v>
      </c>
      <c r="D117" t="s">
        <v>352</v>
      </c>
      <c r="E117">
        <v>18</v>
      </c>
      <c r="F117" s="166">
        <v>437</v>
      </c>
      <c r="G117">
        <v>7866</v>
      </c>
    </row>
    <row r="118" spans="1:7" hidden="1">
      <c r="A118" t="s">
        <v>350</v>
      </c>
      <c r="B118" s="165">
        <v>41851</v>
      </c>
      <c r="C118" t="s">
        <v>359</v>
      </c>
      <c r="D118" t="s">
        <v>360</v>
      </c>
      <c r="E118">
        <v>10</v>
      </c>
      <c r="F118" s="166">
        <v>550</v>
      </c>
      <c r="G118">
        <v>5500</v>
      </c>
    </row>
    <row r="119" spans="1:7" hidden="1">
      <c r="A119" t="s">
        <v>350</v>
      </c>
      <c r="B119" s="165">
        <v>41851</v>
      </c>
      <c r="C119" t="s">
        <v>359</v>
      </c>
      <c r="D119" t="s">
        <v>360</v>
      </c>
      <c r="E119">
        <v>9</v>
      </c>
      <c r="F119" s="166">
        <v>1733</v>
      </c>
      <c r="G119">
        <v>15597</v>
      </c>
    </row>
    <row r="120" spans="1:7" hidden="1">
      <c r="A120" t="s">
        <v>350</v>
      </c>
      <c r="B120" s="165">
        <v>41851</v>
      </c>
      <c r="C120" t="s">
        <v>355</v>
      </c>
      <c r="D120" t="s">
        <v>356</v>
      </c>
      <c r="E120">
        <v>5</v>
      </c>
      <c r="F120" s="166">
        <v>570</v>
      </c>
      <c r="G120">
        <v>2850</v>
      </c>
    </row>
    <row r="121" spans="1:7" hidden="1">
      <c r="A121" t="s">
        <v>350</v>
      </c>
      <c r="B121" s="165">
        <v>41851</v>
      </c>
      <c r="C121" t="s">
        <v>355</v>
      </c>
      <c r="D121" t="s">
        <v>356</v>
      </c>
      <c r="E121">
        <v>8</v>
      </c>
      <c r="F121" s="166">
        <v>539.125</v>
      </c>
      <c r="G121">
        <v>4313</v>
      </c>
    </row>
    <row r="122" spans="1:7" hidden="1">
      <c r="A122" t="s">
        <v>350</v>
      </c>
      <c r="B122" s="165">
        <v>41851</v>
      </c>
      <c r="C122" t="s">
        <v>355</v>
      </c>
      <c r="D122" t="s">
        <v>356</v>
      </c>
      <c r="E122">
        <v>12</v>
      </c>
      <c r="F122" s="166">
        <v>439.58333333333331</v>
      </c>
      <c r="G122">
        <v>5275</v>
      </c>
    </row>
    <row r="123" spans="1:7" hidden="1">
      <c r="A123" t="s">
        <v>350</v>
      </c>
      <c r="B123" s="165">
        <v>41851</v>
      </c>
      <c r="C123" t="s">
        <v>355</v>
      </c>
      <c r="D123" t="s">
        <v>356</v>
      </c>
      <c r="E123">
        <v>12</v>
      </c>
      <c r="F123" s="166">
        <v>550</v>
      </c>
      <c r="G123">
        <v>6600</v>
      </c>
    </row>
    <row r="124" spans="1:7" hidden="1">
      <c r="A124" t="s">
        <v>350</v>
      </c>
      <c r="B124" s="165">
        <v>41851</v>
      </c>
      <c r="C124" t="s">
        <v>355</v>
      </c>
      <c r="D124" t="s">
        <v>356</v>
      </c>
      <c r="E124">
        <v>12</v>
      </c>
      <c r="F124" s="166">
        <v>554.16666666666663</v>
      </c>
      <c r="G124">
        <v>6650</v>
      </c>
    </row>
    <row r="125" spans="1:7" hidden="1">
      <c r="A125" t="s">
        <v>350</v>
      </c>
      <c r="B125" s="165">
        <v>41851</v>
      </c>
      <c r="C125" t="s">
        <v>355</v>
      </c>
      <c r="D125" t="s">
        <v>356</v>
      </c>
      <c r="E125">
        <v>13</v>
      </c>
      <c r="F125" s="166">
        <v>605.76923076923072</v>
      </c>
      <c r="G125">
        <v>7875</v>
      </c>
    </row>
    <row r="126" spans="1:7" hidden="1">
      <c r="A126" t="s">
        <v>350</v>
      </c>
      <c r="B126" s="165">
        <v>41851</v>
      </c>
      <c r="C126" t="s">
        <v>355</v>
      </c>
      <c r="D126" t="s">
        <v>356</v>
      </c>
      <c r="E126">
        <v>21</v>
      </c>
      <c r="F126" s="166">
        <v>384.76190476190476</v>
      </c>
      <c r="G126">
        <v>8080</v>
      </c>
    </row>
    <row r="127" spans="1:7" hidden="1">
      <c r="A127" t="s">
        <v>350</v>
      </c>
      <c r="B127" s="165">
        <v>41851</v>
      </c>
      <c r="C127" t="s">
        <v>355</v>
      </c>
      <c r="D127" t="s">
        <v>356</v>
      </c>
      <c r="E127">
        <v>13</v>
      </c>
      <c r="F127" s="166">
        <v>830</v>
      </c>
      <c r="G127">
        <v>10790</v>
      </c>
    </row>
    <row r="128" spans="1:7" hidden="1">
      <c r="A128" t="s">
        <v>350</v>
      </c>
      <c r="B128" s="165">
        <v>41851</v>
      </c>
      <c r="C128" t="s">
        <v>355</v>
      </c>
      <c r="D128" t="s">
        <v>356</v>
      </c>
      <c r="E128">
        <v>8</v>
      </c>
      <c r="F128" s="166">
        <v>1423.5</v>
      </c>
      <c r="G128">
        <v>11388</v>
      </c>
    </row>
    <row r="129" spans="1:7" hidden="1">
      <c r="A129" t="s">
        <v>350</v>
      </c>
      <c r="B129" s="165">
        <v>41851</v>
      </c>
      <c r="C129" t="s">
        <v>355</v>
      </c>
      <c r="D129" t="s">
        <v>356</v>
      </c>
      <c r="E129">
        <v>20</v>
      </c>
      <c r="F129" s="166">
        <v>595</v>
      </c>
      <c r="G129">
        <v>11900</v>
      </c>
    </row>
    <row r="130" spans="1:7" hidden="1">
      <c r="A130" t="s">
        <v>350</v>
      </c>
      <c r="B130" s="165">
        <v>41851</v>
      </c>
      <c r="C130" t="s">
        <v>353</v>
      </c>
      <c r="D130" t="s">
        <v>354</v>
      </c>
      <c r="E130">
        <v>4</v>
      </c>
      <c r="F130" s="166">
        <v>820.75</v>
      </c>
      <c r="G130">
        <v>3283</v>
      </c>
    </row>
    <row r="131" spans="1:7" hidden="1">
      <c r="A131" t="s">
        <v>350</v>
      </c>
      <c r="B131" s="165">
        <v>41851</v>
      </c>
      <c r="C131" t="s">
        <v>357</v>
      </c>
      <c r="D131" t="s">
        <v>358</v>
      </c>
      <c r="E131">
        <v>1</v>
      </c>
      <c r="F131" s="166">
        <v>201</v>
      </c>
      <c r="G131">
        <v>201</v>
      </c>
    </row>
    <row r="132" spans="1:7" hidden="1">
      <c r="A132" t="s">
        <v>350</v>
      </c>
      <c r="B132" s="165">
        <v>41851</v>
      </c>
      <c r="C132" t="s">
        <v>357</v>
      </c>
      <c r="D132" t="s">
        <v>358</v>
      </c>
      <c r="E132">
        <v>6</v>
      </c>
      <c r="F132" s="166">
        <v>235.83333333333334</v>
      </c>
      <c r="G132">
        <v>1415</v>
      </c>
    </row>
    <row r="133" spans="1:7" hidden="1">
      <c r="A133" t="s">
        <v>350</v>
      </c>
      <c r="B133" s="165">
        <v>41851</v>
      </c>
      <c r="C133" t="s">
        <v>357</v>
      </c>
      <c r="D133" t="s">
        <v>358</v>
      </c>
      <c r="E133">
        <v>13</v>
      </c>
      <c r="F133" s="166">
        <v>496.61538461538464</v>
      </c>
      <c r="G133">
        <v>6456</v>
      </c>
    </row>
    <row r="134" spans="1:7" hidden="1">
      <c r="A134" t="s">
        <v>350</v>
      </c>
      <c r="B134" s="165">
        <v>41851</v>
      </c>
      <c r="C134" t="s">
        <v>357</v>
      </c>
      <c r="D134" t="s">
        <v>358</v>
      </c>
      <c r="E134">
        <v>47</v>
      </c>
      <c r="F134" s="166">
        <v>270</v>
      </c>
      <c r="G134">
        <v>12690</v>
      </c>
    </row>
    <row r="135" spans="1:7" hidden="1">
      <c r="A135" t="s">
        <v>350</v>
      </c>
      <c r="B135" s="165">
        <v>41851</v>
      </c>
      <c r="C135" t="s">
        <v>351</v>
      </c>
      <c r="D135" t="s">
        <v>352</v>
      </c>
      <c r="E135">
        <v>1</v>
      </c>
      <c r="F135" s="166">
        <v>685</v>
      </c>
      <c r="G135">
        <v>685</v>
      </c>
    </row>
    <row r="136" spans="1:7" hidden="1">
      <c r="A136" t="s">
        <v>350</v>
      </c>
      <c r="B136" s="165">
        <v>41851</v>
      </c>
      <c r="C136" t="s">
        <v>351</v>
      </c>
      <c r="D136" t="s">
        <v>352</v>
      </c>
      <c r="E136">
        <v>4</v>
      </c>
      <c r="F136" s="166">
        <v>270</v>
      </c>
      <c r="G136">
        <v>1080</v>
      </c>
    </row>
    <row r="137" spans="1:7" hidden="1">
      <c r="A137" t="s">
        <v>350</v>
      </c>
      <c r="B137" s="165">
        <v>41851</v>
      </c>
      <c r="C137" t="s">
        <v>351</v>
      </c>
      <c r="D137" t="s">
        <v>352</v>
      </c>
      <c r="E137">
        <v>10</v>
      </c>
      <c r="F137" s="166">
        <v>272.7</v>
      </c>
      <c r="G137">
        <v>2727</v>
      </c>
    </row>
    <row r="138" spans="1:7" hidden="1">
      <c r="A138" t="s">
        <v>350</v>
      </c>
      <c r="B138" s="165">
        <v>41851</v>
      </c>
      <c r="C138" t="s">
        <v>351</v>
      </c>
      <c r="D138" t="s">
        <v>352</v>
      </c>
      <c r="E138">
        <v>8</v>
      </c>
      <c r="F138" s="166">
        <v>354.75</v>
      </c>
      <c r="G138">
        <v>2838</v>
      </c>
    </row>
    <row r="139" spans="1:7" hidden="1">
      <c r="A139" t="s">
        <v>350</v>
      </c>
      <c r="B139" s="165">
        <v>41851</v>
      </c>
      <c r="C139" t="s">
        <v>351</v>
      </c>
      <c r="D139" t="s">
        <v>352</v>
      </c>
      <c r="E139">
        <v>10</v>
      </c>
      <c r="F139" s="166">
        <v>315</v>
      </c>
      <c r="G139">
        <v>3150</v>
      </c>
    </row>
    <row r="140" spans="1:7" hidden="1">
      <c r="A140" t="s">
        <v>350</v>
      </c>
      <c r="B140" s="165">
        <v>41851</v>
      </c>
      <c r="C140" t="s">
        <v>351</v>
      </c>
      <c r="D140" t="s">
        <v>352</v>
      </c>
      <c r="E140">
        <v>10</v>
      </c>
      <c r="F140" s="166">
        <v>550</v>
      </c>
      <c r="G140">
        <v>5500</v>
      </c>
    </row>
    <row r="141" spans="1:7" hidden="1">
      <c r="A141" t="s">
        <v>350</v>
      </c>
      <c r="B141" s="165">
        <v>41851</v>
      </c>
      <c r="C141" t="s">
        <v>351</v>
      </c>
      <c r="D141" t="s">
        <v>352</v>
      </c>
      <c r="E141">
        <v>12</v>
      </c>
      <c r="F141" s="166">
        <v>558.33333333333337</v>
      </c>
      <c r="G141">
        <v>6700</v>
      </c>
    </row>
    <row r="142" spans="1:7" hidden="1">
      <c r="A142" t="s">
        <v>350</v>
      </c>
      <c r="B142" s="165">
        <v>41851</v>
      </c>
      <c r="C142" t="s">
        <v>351</v>
      </c>
      <c r="D142" t="s">
        <v>352</v>
      </c>
      <c r="E142">
        <v>10</v>
      </c>
      <c r="F142" s="166">
        <v>767</v>
      </c>
      <c r="G142">
        <v>7670</v>
      </c>
    </row>
    <row r="143" spans="1:7" hidden="1">
      <c r="A143" t="s">
        <v>350</v>
      </c>
      <c r="B143" s="165">
        <v>41858</v>
      </c>
      <c r="C143" t="s">
        <v>359</v>
      </c>
      <c r="D143" t="s">
        <v>360</v>
      </c>
      <c r="E143">
        <v>4</v>
      </c>
      <c r="F143" s="166">
        <v>341</v>
      </c>
      <c r="G143">
        <v>1364</v>
      </c>
    </row>
    <row r="144" spans="1:7" hidden="1">
      <c r="A144" t="s">
        <v>350</v>
      </c>
      <c r="B144" s="165">
        <v>41858</v>
      </c>
      <c r="C144" t="s">
        <v>355</v>
      </c>
      <c r="D144" t="s">
        <v>356</v>
      </c>
      <c r="E144">
        <v>10</v>
      </c>
      <c r="F144" s="166">
        <v>301</v>
      </c>
      <c r="G144">
        <v>3010</v>
      </c>
    </row>
    <row r="145" spans="1:7" hidden="1">
      <c r="A145" t="s">
        <v>350</v>
      </c>
      <c r="B145" s="165">
        <v>41858</v>
      </c>
      <c r="C145" t="s">
        <v>355</v>
      </c>
      <c r="D145" t="s">
        <v>356</v>
      </c>
      <c r="E145">
        <v>12</v>
      </c>
      <c r="F145" s="166">
        <v>536.08333333333337</v>
      </c>
      <c r="G145">
        <v>6433</v>
      </c>
    </row>
    <row r="146" spans="1:7" hidden="1">
      <c r="A146" t="s">
        <v>350</v>
      </c>
      <c r="B146" s="165">
        <v>41858</v>
      </c>
      <c r="C146" t="s">
        <v>351</v>
      </c>
      <c r="D146" t="s">
        <v>352</v>
      </c>
      <c r="E146">
        <v>4</v>
      </c>
      <c r="F146" s="166">
        <v>625</v>
      </c>
      <c r="G146">
        <v>2500</v>
      </c>
    </row>
    <row r="147" spans="1:7" hidden="1">
      <c r="A147" t="s">
        <v>350</v>
      </c>
      <c r="B147" s="165">
        <v>41858</v>
      </c>
      <c r="C147" t="s">
        <v>351</v>
      </c>
      <c r="D147" t="s">
        <v>352</v>
      </c>
      <c r="E147">
        <v>4</v>
      </c>
      <c r="F147" s="166">
        <v>732.5</v>
      </c>
      <c r="G147">
        <v>2930</v>
      </c>
    </row>
    <row r="148" spans="1:7" hidden="1">
      <c r="A148" t="s">
        <v>350</v>
      </c>
      <c r="B148" s="165">
        <v>41858</v>
      </c>
      <c r="C148" t="s">
        <v>351</v>
      </c>
      <c r="D148" t="s">
        <v>352</v>
      </c>
      <c r="E148">
        <v>8</v>
      </c>
      <c r="F148" s="166">
        <v>370</v>
      </c>
      <c r="G148">
        <v>2960</v>
      </c>
    </row>
    <row r="149" spans="1:7" hidden="1">
      <c r="A149" t="s">
        <v>350</v>
      </c>
      <c r="B149" s="165">
        <v>41865</v>
      </c>
      <c r="C149" t="s">
        <v>351</v>
      </c>
      <c r="D149" t="s">
        <v>352</v>
      </c>
      <c r="E149">
        <v>41</v>
      </c>
      <c r="F149" s="166">
        <v>395</v>
      </c>
      <c r="G149">
        <v>16195</v>
      </c>
    </row>
    <row r="150" spans="1:7" hidden="1">
      <c r="A150" t="s">
        <v>350</v>
      </c>
      <c r="B150" s="165">
        <v>41872</v>
      </c>
      <c r="C150" t="s">
        <v>359</v>
      </c>
      <c r="D150" t="s">
        <v>360</v>
      </c>
      <c r="E150">
        <v>4</v>
      </c>
      <c r="F150" s="166">
        <v>550</v>
      </c>
      <c r="G150">
        <v>2200</v>
      </c>
    </row>
    <row r="151" spans="1:7" hidden="1">
      <c r="A151" t="s">
        <v>350</v>
      </c>
      <c r="B151" s="165">
        <v>41872</v>
      </c>
      <c r="C151" t="s">
        <v>359</v>
      </c>
      <c r="D151" t="s">
        <v>360</v>
      </c>
      <c r="E151">
        <v>9</v>
      </c>
      <c r="F151" s="166">
        <v>475</v>
      </c>
      <c r="G151">
        <v>4275</v>
      </c>
    </row>
    <row r="152" spans="1:7" hidden="1">
      <c r="A152" t="s">
        <v>350</v>
      </c>
      <c r="B152" s="165">
        <v>41872</v>
      </c>
      <c r="C152" t="s">
        <v>359</v>
      </c>
      <c r="D152" t="s">
        <v>360</v>
      </c>
      <c r="E152">
        <v>8</v>
      </c>
      <c r="F152" s="166">
        <v>985</v>
      </c>
      <c r="G152">
        <v>7880</v>
      </c>
    </row>
    <row r="153" spans="1:7" hidden="1">
      <c r="A153" t="s">
        <v>350</v>
      </c>
      <c r="B153" s="165">
        <v>41872</v>
      </c>
      <c r="C153" t="s">
        <v>355</v>
      </c>
      <c r="D153" t="s">
        <v>356</v>
      </c>
      <c r="E153">
        <v>11</v>
      </c>
      <c r="F153" s="166">
        <v>985</v>
      </c>
      <c r="G153">
        <v>10835</v>
      </c>
    </row>
    <row r="154" spans="1:7" hidden="1">
      <c r="A154" t="s">
        <v>350</v>
      </c>
      <c r="B154" s="165">
        <v>41872</v>
      </c>
      <c r="C154" t="s">
        <v>355</v>
      </c>
      <c r="D154" t="s">
        <v>356</v>
      </c>
      <c r="E154">
        <v>18</v>
      </c>
      <c r="F154" s="166">
        <v>957.72222222222217</v>
      </c>
      <c r="G154">
        <v>17239</v>
      </c>
    </row>
    <row r="155" spans="1:7" hidden="1">
      <c r="A155" t="s">
        <v>350</v>
      </c>
      <c r="B155" s="165">
        <v>41872</v>
      </c>
      <c r="C155" t="s">
        <v>353</v>
      </c>
      <c r="D155" t="s">
        <v>354</v>
      </c>
      <c r="E155">
        <v>2</v>
      </c>
      <c r="F155" s="166">
        <v>1239</v>
      </c>
      <c r="G155">
        <v>2478</v>
      </c>
    </row>
    <row r="156" spans="1:7" hidden="1">
      <c r="A156" t="s">
        <v>350</v>
      </c>
      <c r="B156" s="165">
        <v>41872</v>
      </c>
      <c r="C156" t="s">
        <v>353</v>
      </c>
      <c r="D156" t="s">
        <v>354</v>
      </c>
      <c r="E156">
        <v>14</v>
      </c>
      <c r="F156" s="166">
        <v>450</v>
      </c>
      <c r="G156">
        <v>6300</v>
      </c>
    </row>
    <row r="157" spans="1:7" hidden="1">
      <c r="A157" t="s">
        <v>350</v>
      </c>
      <c r="B157" s="165">
        <v>41872</v>
      </c>
      <c r="C157" t="s">
        <v>357</v>
      </c>
      <c r="D157" t="s">
        <v>358</v>
      </c>
      <c r="E157">
        <v>1</v>
      </c>
      <c r="F157" s="166">
        <v>275</v>
      </c>
      <c r="G157">
        <v>275</v>
      </c>
    </row>
    <row r="158" spans="1:7" hidden="1">
      <c r="A158" t="s">
        <v>350</v>
      </c>
      <c r="B158" s="165">
        <v>41872</v>
      </c>
      <c r="C158" t="s">
        <v>357</v>
      </c>
      <c r="D158" t="s">
        <v>358</v>
      </c>
      <c r="E158">
        <v>7</v>
      </c>
      <c r="F158" s="166">
        <v>289.28571428571428</v>
      </c>
      <c r="G158">
        <v>2025</v>
      </c>
    </row>
    <row r="159" spans="1:7" hidden="1">
      <c r="A159" t="s">
        <v>350</v>
      </c>
      <c r="B159" s="165">
        <v>41872</v>
      </c>
      <c r="C159" t="s">
        <v>351</v>
      </c>
      <c r="D159" t="s">
        <v>352</v>
      </c>
      <c r="E159">
        <v>4</v>
      </c>
      <c r="F159" s="166">
        <v>525</v>
      </c>
      <c r="G159">
        <v>2100</v>
      </c>
    </row>
    <row r="160" spans="1:7" hidden="1">
      <c r="A160" t="s">
        <v>350</v>
      </c>
      <c r="B160" s="165">
        <v>41872</v>
      </c>
      <c r="C160" t="s">
        <v>351</v>
      </c>
      <c r="D160" t="s">
        <v>352</v>
      </c>
      <c r="E160">
        <v>4</v>
      </c>
      <c r="F160" s="166">
        <v>550</v>
      </c>
      <c r="G160">
        <v>2200</v>
      </c>
    </row>
    <row r="161" spans="1:7" hidden="1">
      <c r="A161" t="s">
        <v>350</v>
      </c>
      <c r="B161" s="165">
        <v>41872</v>
      </c>
      <c r="C161" t="s">
        <v>351</v>
      </c>
      <c r="D161" t="s">
        <v>352</v>
      </c>
      <c r="E161">
        <v>2</v>
      </c>
      <c r="F161" s="166">
        <v>1395</v>
      </c>
      <c r="G161">
        <v>2790</v>
      </c>
    </row>
    <row r="162" spans="1:7" hidden="1">
      <c r="A162" t="s">
        <v>350</v>
      </c>
      <c r="B162" s="165">
        <v>41872</v>
      </c>
      <c r="C162" t="s">
        <v>351</v>
      </c>
      <c r="D162" t="s">
        <v>352</v>
      </c>
      <c r="E162">
        <v>8</v>
      </c>
      <c r="F162" s="166">
        <v>381.875</v>
      </c>
      <c r="G162">
        <v>3055</v>
      </c>
    </row>
    <row r="163" spans="1:7" hidden="1">
      <c r="A163" t="s">
        <v>350</v>
      </c>
      <c r="B163" s="165">
        <v>41872</v>
      </c>
      <c r="C163" t="s">
        <v>351</v>
      </c>
      <c r="D163" t="s">
        <v>352</v>
      </c>
      <c r="E163">
        <v>9</v>
      </c>
      <c r="F163" s="166">
        <v>503.33333333333331</v>
      </c>
      <c r="G163">
        <v>4530</v>
      </c>
    </row>
    <row r="164" spans="1:7" hidden="1">
      <c r="A164" t="s">
        <v>350</v>
      </c>
      <c r="B164" s="165">
        <v>41872</v>
      </c>
      <c r="C164" t="s">
        <v>351</v>
      </c>
      <c r="D164" t="s">
        <v>352</v>
      </c>
      <c r="E164">
        <v>10</v>
      </c>
      <c r="F164" s="166">
        <v>480.3</v>
      </c>
      <c r="G164">
        <v>4803</v>
      </c>
    </row>
    <row r="165" spans="1:7" hidden="1">
      <c r="A165" t="s">
        <v>350</v>
      </c>
      <c r="B165" s="165">
        <v>41879</v>
      </c>
      <c r="C165" t="s">
        <v>355</v>
      </c>
      <c r="D165" t="s">
        <v>356</v>
      </c>
      <c r="E165">
        <v>20</v>
      </c>
      <c r="F165" s="166">
        <v>497</v>
      </c>
      <c r="G165">
        <v>9940</v>
      </c>
    </row>
    <row r="166" spans="1:7" hidden="1">
      <c r="A166" t="s">
        <v>350</v>
      </c>
      <c r="B166" s="165">
        <v>41879</v>
      </c>
      <c r="C166" t="s">
        <v>357</v>
      </c>
      <c r="D166" t="s">
        <v>358</v>
      </c>
      <c r="E166">
        <v>2</v>
      </c>
      <c r="F166" s="166">
        <v>275</v>
      </c>
      <c r="G166">
        <v>550</v>
      </c>
    </row>
    <row r="167" spans="1:7" hidden="1">
      <c r="A167" t="s">
        <v>350</v>
      </c>
      <c r="B167" s="165">
        <v>41879</v>
      </c>
      <c r="C167" t="s">
        <v>357</v>
      </c>
      <c r="D167" t="s">
        <v>358</v>
      </c>
      <c r="E167">
        <v>2</v>
      </c>
      <c r="F167" s="166">
        <v>316</v>
      </c>
      <c r="G167">
        <v>632</v>
      </c>
    </row>
    <row r="168" spans="1:7" hidden="1">
      <c r="A168" t="s">
        <v>350</v>
      </c>
      <c r="B168" s="165">
        <v>41879</v>
      </c>
      <c r="C168" t="s">
        <v>357</v>
      </c>
      <c r="D168" t="s">
        <v>358</v>
      </c>
      <c r="E168">
        <v>8</v>
      </c>
      <c r="F168" s="166">
        <v>276.25</v>
      </c>
      <c r="G168">
        <v>2210</v>
      </c>
    </row>
    <row r="169" spans="1:7" hidden="1">
      <c r="A169" t="s">
        <v>350</v>
      </c>
      <c r="B169" s="165">
        <v>41879</v>
      </c>
      <c r="C169" t="s">
        <v>357</v>
      </c>
      <c r="D169" t="s">
        <v>358</v>
      </c>
      <c r="E169">
        <v>24</v>
      </c>
      <c r="F169" s="166">
        <v>190</v>
      </c>
      <c r="G169">
        <v>4560</v>
      </c>
    </row>
    <row r="170" spans="1:7" hidden="1">
      <c r="A170" t="s">
        <v>350</v>
      </c>
      <c r="B170" s="165">
        <v>41879</v>
      </c>
      <c r="C170" t="s">
        <v>351</v>
      </c>
      <c r="D170" t="s">
        <v>352</v>
      </c>
      <c r="E170">
        <v>7</v>
      </c>
      <c r="F170" s="166">
        <v>411.28571428571428</v>
      </c>
      <c r="G170">
        <v>2879</v>
      </c>
    </row>
    <row r="171" spans="1:7" hidden="1">
      <c r="A171" t="s">
        <v>350</v>
      </c>
      <c r="B171" s="165">
        <v>41879</v>
      </c>
      <c r="C171" t="s">
        <v>351</v>
      </c>
      <c r="D171" t="s">
        <v>352</v>
      </c>
      <c r="E171">
        <v>15</v>
      </c>
      <c r="F171" s="166">
        <v>375.66666666666669</v>
      </c>
      <c r="G171">
        <v>5635</v>
      </c>
    </row>
    <row r="172" spans="1:7" hidden="1">
      <c r="A172" t="s">
        <v>350</v>
      </c>
      <c r="B172" s="165">
        <v>41893</v>
      </c>
      <c r="C172" t="s">
        <v>351</v>
      </c>
      <c r="D172" t="s">
        <v>352</v>
      </c>
      <c r="E172">
        <v>8</v>
      </c>
      <c r="F172" s="166">
        <v>334.875</v>
      </c>
      <c r="G172">
        <v>2679</v>
      </c>
    </row>
    <row r="173" spans="1:7" hidden="1">
      <c r="A173" t="s">
        <v>350</v>
      </c>
      <c r="B173" s="165">
        <v>41900</v>
      </c>
      <c r="C173" t="s">
        <v>359</v>
      </c>
      <c r="D173" t="s">
        <v>360</v>
      </c>
      <c r="E173">
        <v>5</v>
      </c>
      <c r="F173" s="166">
        <v>510.8</v>
      </c>
      <c r="G173">
        <v>2554</v>
      </c>
    </row>
    <row r="174" spans="1:7" hidden="1">
      <c r="A174" t="s">
        <v>350</v>
      </c>
      <c r="B174" s="165">
        <v>41900</v>
      </c>
      <c r="C174" t="s">
        <v>359</v>
      </c>
      <c r="D174" t="s">
        <v>360</v>
      </c>
      <c r="E174">
        <v>11</v>
      </c>
      <c r="F174" s="166">
        <v>386.90909090909093</v>
      </c>
      <c r="G174">
        <v>4256</v>
      </c>
    </row>
    <row r="175" spans="1:7" hidden="1">
      <c r="A175" t="s">
        <v>350</v>
      </c>
      <c r="B175" s="165">
        <v>41900</v>
      </c>
      <c r="C175" t="s">
        <v>359</v>
      </c>
      <c r="D175" t="s">
        <v>360</v>
      </c>
      <c r="E175">
        <v>17</v>
      </c>
      <c r="F175" s="166">
        <v>928.82352941176475</v>
      </c>
      <c r="G175">
        <v>15790</v>
      </c>
    </row>
    <row r="176" spans="1:7" hidden="1">
      <c r="A176" t="s">
        <v>350</v>
      </c>
      <c r="B176" s="165">
        <v>41900</v>
      </c>
      <c r="C176" t="s">
        <v>355</v>
      </c>
      <c r="D176" t="s">
        <v>356</v>
      </c>
      <c r="E176">
        <v>5</v>
      </c>
      <c r="F176" s="166">
        <v>1245</v>
      </c>
      <c r="G176">
        <v>6225</v>
      </c>
    </row>
    <row r="177" spans="1:7" hidden="1">
      <c r="A177" t="s">
        <v>350</v>
      </c>
      <c r="B177" s="165">
        <v>41900</v>
      </c>
      <c r="C177" t="s">
        <v>355</v>
      </c>
      <c r="D177" t="s">
        <v>356</v>
      </c>
      <c r="E177">
        <v>15</v>
      </c>
      <c r="F177" s="166">
        <v>536.33333333333337</v>
      </c>
      <c r="G177">
        <v>8045</v>
      </c>
    </row>
    <row r="178" spans="1:7" hidden="1">
      <c r="A178" t="s">
        <v>350</v>
      </c>
      <c r="B178" s="165">
        <v>41900</v>
      </c>
      <c r="C178" t="s">
        <v>355</v>
      </c>
      <c r="D178" t="s">
        <v>356</v>
      </c>
      <c r="E178">
        <v>7</v>
      </c>
      <c r="F178" s="166">
        <v>1245</v>
      </c>
      <c r="G178">
        <v>8715</v>
      </c>
    </row>
    <row r="179" spans="1:7" hidden="1">
      <c r="A179" t="s">
        <v>350</v>
      </c>
      <c r="B179" s="165">
        <v>41900</v>
      </c>
      <c r="C179" t="s">
        <v>355</v>
      </c>
      <c r="D179" t="s">
        <v>356</v>
      </c>
      <c r="E179">
        <v>10</v>
      </c>
      <c r="F179" s="166">
        <v>1169.0999999999999</v>
      </c>
      <c r="G179">
        <v>11691</v>
      </c>
    </row>
    <row r="180" spans="1:7" hidden="1">
      <c r="A180" t="s">
        <v>350</v>
      </c>
      <c r="B180" s="165">
        <v>41900</v>
      </c>
      <c r="C180" t="s">
        <v>355</v>
      </c>
      <c r="D180" t="s">
        <v>356</v>
      </c>
      <c r="E180">
        <v>20</v>
      </c>
      <c r="F180" s="166">
        <v>610</v>
      </c>
      <c r="G180">
        <v>12200</v>
      </c>
    </row>
    <row r="181" spans="1:7" hidden="1">
      <c r="A181" t="s">
        <v>350</v>
      </c>
      <c r="B181" s="165">
        <v>41900</v>
      </c>
      <c r="C181" t="s">
        <v>353</v>
      </c>
      <c r="D181" t="s">
        <v>354</v>
      </c>
      <c r="E181">
        <v>3</v>
      </c>
      <c r="F181" s="166">
        <v>598</v>
      </c>
      <c r="G181">
        <v>1794</v>
      </c>
    </row>
    <row r="182" spans="1:7" hidden="1">
      <c r="A182" t="s">
        <v>350</v>
      </c>
      <c r="B182" s="165">
        <v>41900</v>
      </c>
      <c r="C182" t="s">
        <v>357</v>
      </c>
      <c r="D182" t="s">
        <v>358</v>
      </c>
      <c r="E182">
        <v>3</v>
      </c>
      <c r="F182" s="166">
        <v>192.66666666666666</v>
      </c>
      <c r="G182">
        <v>578</v>
      </c>
    </row>
    <row r="183" spans="1:7" hidden="1">
      <c r="A183" t="s">
        <v>350</v>
      </c>
      <c r="B183" s="165">
        <v>41900</v>
      </c>
      <c r="C183" t="s">
        <v>351</v>
      </c>
      <c r="D183" t="s">
        <v>352</v>
      </c>
      <c r="E183">
        <v>1</v>
      </c>
      <c r="F183" s="166">
        <v>600</v>
      </c>
      <c r="G183">
        <v>600</v>
      </c>
    </row>
    <row r="184" spans="1:7" hidden="1">
      <c r="A184" t="s">
        <v>350</v>
      </c>
      <c r="B184" s="165">
        <v>41900</v>
      </c>
      <c r="C184" t="s">
        <v>351</v>
      </c>
      <c r="D184" t="s">
        <v>352</v>
      </c>
      <c r="E184">
        <v>3</v>
      </c>
      <c r="F184" s="166">
        <v>495</v>
      </c>
      <c r="G184">
        <v>1485</v>
      </c>
    </row>
    <row r="185" spans="1:7" hidden="1">
      <c r="A185" t="s">
        <v>350</v>
      </c>
      <c r="B185" s="165">
        <v>41900</v>
      </c>
      <c r="C185" t="s">
        <v>351</v>
      </c>
      <c r="D185" t="s">
        <v>352</v>
      </c>
      <c r="E185">
        <v>3</v>
      </c>
      <c r="F185" s="166">
        <v>555</v>
      </c>
      <c r="G185">
        <v>1665</v>
      </c>
    </row>
    <row r="186" spans="1:7" hidden="1">
      <c r="A186" t="s">
        <v>350</v>
      </c>
      <c r="B186" s="165">
        <v>41900</v>
      </c>
      <c r="C186" t="s">
        <v>351</v>
      </c>
      <c r="D186" t="s">
        <v>352</v>
      </c>
      <c r="E186">
        <v>5</v>
      </c>
      <c r="F186" s="166">
        <v>384</v>
      </c>
      <c r="G186">
        <v>1920</v>
      </c>
    </row>
    <row r="187" spans="1:7" hidden="1">
      <c r="A187" t="s">
        <v>350</v>
      </c>
      <c r="B187" s="165">
        <v>41900</v>
      </c>
      <c r="C187" t="s">
        <v>351</v>
      </c>
      <c r="D187" t="s">
        <v>352</v>
      </c>
      <c r="E187">
        <v>9</v>
      </c>
      <c r="F187" s="166">
        <v>720</v>
      </c>
      <c r="G187">
        <v>6480</v>
      </c>
    </row>
    <row r="188" spans="1:7" hidden="1">
      <c r="A188" t="s">
        <v>350</v>
      </c>
      <c r="B188" s="165">
        <v>41900</v>
      </c>
      <c r="C188" t="s">
        <v>351</v>
      </c>
      <c r="D188" t="s">
        <v>352</v>
      </c>
      <c r="E188">
        <v>12</v>
      </c>
      <c r="F188" s="166">
        <v>566.66666666666663</v>
      </c>
      <c r="G188">
        <v>6800</v>
      </c>
    </row>
    <row r="189" spans="1:7" hidden="1">
      <c r="A189" t="s">
        <v>350</v>
      </c>
      <c r="B189" s="165">
        <v>41907</v>
      </c>
      <c r="C189" t="s">
        <v>359</v>
      </c>
      <c r="D189" t="s">
        <v>360</v>
      </c>
      <c r="E189">
        <v>1</v>
      </c>
      <c r="F189" s="166">
        <v>552</v>
      </c>
      <c r="G189">
        <v>552</v>
      </c>
    </row>
    <row r="190" spans="1:7" hidden="1">
      <c r="A190" t="s">
        <v>350</v>
      </c>
      <c r="B190" s="165">
        <v>41907</v>
      </c>
      <c r="C190" t="s">
        <v>359</v>
      </c>
      <c r="D190" t="s">
        <v>360</v>
      </c>
      <c r="E190">
        <v>4</v>
      </c>
      <c r="F190" s="166">
        <v>585</v>
      </c>
      <c r="G190">
        <v>2340</v>
      </c>
    </row>
    <row r="191" spans="1:7" hidden="1">
      <c r="A191" t="s">
        <v>350</v>
      </c>
      <c r="B191" s="165">
        <v>41907</v>
      </c>
      <c r="C191" t="s">
        <v>359</v>
      </c>
      <c r="D191" t="s">
        <v>360</v>
      </c>
      <c r="E191">
        <v>10</v>
      </c>
      <c r="F191" s="166">
        <v>420.2</v>
      </c>
      <c r="G191">
        <v>4202</v>
      </c>
    </row>
    <row r="192" spans="1:7" hidden="1">
      <c r="A192" t="s">
        <v>350</v>
      </c>
      <c r="B192" s="165">
        <v>41907</v>
      </c>
      <c r="C192" t="s">
        <v>359</v>
      </c>
      <c r="D192" t="s">
        <v>360</v>
      </c>
      <c r="E192">
        <v>12</v>
      </c>
      <c r="F192" s="166">
        <v>815</v>
      </c>
      <c r="G192">
        <v>9780</v>
      </c>
    </row>
    <row r="193" spans="1:7" hidden="1">
      <c r="A193" t="s">
        <v>350</v>
      </c>
      <c r="B193" s="165">
        <v>41907</v>
      </c>
      <c r="C193" t="s">
        <v>355</v>
      </c>
      <c r="D193" t="s">
        <v>356</v>
      </c>
      <c r="E193">
        <v>4</v>
      </c>
      <c r="F193" s="166">
        <v>445</v>
      </c>
      <c r="G193">
        <v>1780</v>
      </c>
    </row>
    <row r="194" spans="1:7" hidden="1">
      <c r="A194" t="s">
        <v>350</v>
      </c>
      <c r="B194" s="165">
        <v>41907</v>
      </c>
      <c r="C194" t="s">
        <v>355</v>
      </c>
      <c r="D194" t="s">
        <v>356</v>
      </c>
      <c r="E194">
        <v>4</v>
      </c>
      <c r="F194" s="166">
        <v>700</v>
      </c>
      <c r="G194">
        <v>2800</v>
      </c>
    </row>
    <row r="195" spans="1:7" hidden="1">
      <c r="A195" t="s">
        <v>350</v>
      </c>
      <c r="B195" s="165">
        <v>41907</v>
      </c>
      <c r="C195" t="s">
        <v>355</v>
      </c>
      <c r="D195" t="s">
        <v>356</v>
      </c>
      <c r="E195">
        <v>6</v>
      </c>
      <c r="F195" s="166">
        <v>680</v>
      </c>
      <c r="G195">
        <v>4080</v>
      </c>
    </row>
    <row r="196" spans="1:7" hidden="1">
      <c r="A196" t="s">
        <v>350</v>
      </c>
      <c r="B196" s="165">
        <v>41907</v>
      </c>
      <c r="C196" t="s">
        <v>355</v>
      </c>
      <c r="D196" t="s">
        <v>356</v>
      </c>
      <c r="E196">
        <v>4</v>
      </c>
      <c r="F196" s="166">
        <v>1245</v>
      </c>
      <c r="G196">
        <v>4980</v>
      </c>
    </row>
    <row r="197" spans="1:7" hidden="1">
      <c r="A197" t="s">
        <v>350</v>
      </c>
      <c r="B197" s="165">
        <v>41907</v>
      </c>
      <c r="C197" t="s">
        <v>355</v>
      </c>
      <c r="D197" t="s">
        <v>356</v>
      </c>
      <c r="E197">
        <v>17</v>
      </c>
      <c r="F197" s="166">
        <v>486.76470588235293</v>
      </c>
      <c r="G197">
        <v>8275</v>
      </c>
    </row>
    <row r="198" spans="1:7" hidden="1">
      <c r="A198" t="s">
        <v>350</v>
      </c>
      <c r="B198" s="165">
        <v>41907</v>
      </c>
      <c r="C198" t="s">
        <v>353</v>
      </c>
      <c r="D198" t="s">
        <v>354</v>
      </c>
      <c r="E198">
        <v>6</v>
      </c>
      <c r="F198" s="166">
        <v>975</v>
      </c>
      <c r="G198">
        <v>5850</v>
      </c>
    </row>
    <row r="199" spans="1:7" hidden="1">
      <c r="A199" t="s">
        <v>350</v>
      </c>
      <c r="B199" s="165">
        <v>41907</v>
      </c>
      <c r="C199" t="s">
        <v>357</v>
      </c>
      <c r="D199" t="s">
        <v>358</v>
      </c>
      <c r="E199">
        <v>1</v>
      </c>
      <c r="F199" s="166">
        <v>300</v>
      </c>
      <c r="G199">
        <v>300</v>
      </c>
    </row>
    <row r="200" spans="1:7" hidden="1">
      <c r="A200" t="s">
        <v>350</v>
      </c>
      <c r="B200" s="165">
        <v>41907</v>
      </c>
      <c r="C200" t="s">
        <v>357</v>
      </c>
      <c r="D200" t="s">
        <v>358</v>
      </c>
      <c r="E200">
        <v>1</v>
      </c>
      <c r="F200" s="166">
        <v>450</v>
      </c>
      <c r="G200">
        <v>450</v>
      </c>
    </row>
    <row r="201" spans="1:7" hidden="1">
      <c r="A201" t="s">
        <v>350</v>
      </c>
      <c r="B201" s="165">
        <v>41907</v>
      </c>
      <c r="C201" t="s">
        <v>357</v>
      </c>
      <c r="D201" t="s">
        <v>358</v>
      </c>
      <c r="E201">
        <v>6</v>
      </c>
      <c r="F201" s="166">
        <v>176.5</v>
      </c>
      <c r="G201">
        <v>1059</v>
      </c>
    </row>
    <row r="202" spans="1:7" hidden="1">
      <c r="A202" t="s">
        <v>350</v>
      </c>
      <c r="B202" s="165">
        <v>41907</v>
      </c>
      <c r="C202" t="s">
        <v>357</v>
      </c>
      <c r="D202" t="s">
        <v>358</v>
      </c>
      <c r="E202">
        <v>6</v>
      </c>
      <c r="F202" s="166">
        <v>187</v>
      </c>
      <c r="G202">
        <v>1122</v>
      </c>
    </row>
    <row r="203" spans="1:7" hidden="1">
      <c r="A203" t="s">
        <v>350</v>
      </c>
      <c r="B203" s="165">
        <v>41907</v>
      </c>
      <c r="C203" t="s">
        <v>357</v>
      </c>
      <c r="D203" t="s">
        <v>358</v>
      </c>
      <c r="E203">
        <v>3</v>
      </c>
      <c r="F203" s="166">
        <v>385.33333333333331</v>
      </c>
      <c r="G203">
        <v>1156</v>
      </c>
    </row>
    <row r="204" spans="1:7" hidden="1">
      <c r="A204" t="s">
        <v>350</v>
      </c>
      <c r="B204" s="165">
        <v>41907</v>
      </c>
      <c r="C204" t="s">
        <v>357</v>
      </c>
      <c r="D204" t="s">
        <v>358</v>
      </c>
      <c r="E204">
        <v>21</v>
      </c>
      <c r="F204" s="166">
        <v>226.28571428571428</v>
      </c>
      <c r="G204">
        <v>4752</v>
      </c>
    </row>
    <row r="205" spans="1:7" hidden="1">
      <c r="A205" t="s">
        <v>350</v>
      </c>
      <c r="B205" s="165">
        <v>41907</v>
      </c>
      <c r="C205" t="s">
        <v>357</v>
      </c>
      <c r="D205" t="s">
        <v>358</v>
      </c>
      <c r="E205">
        <v>13</v>
      </c>
      <c r="F205" s="166">
        <v>386</v>
      </c>
      <c r="G205">
        <v>5018</v>
      </c>
    </row>
    <row r="206" spans="1:7" hidden="1">
      <c r="A206" t="s">
        <v>350</v>
      </c>
      <c r="B206" s="165">
        <v>41907</v>
      </c>
      <c r="C206" t="s">
        <v>357</v>
      </c>
      <c r="D206" t="s">
        <v>358</v>
      </c>
      <c r="E206">
        <v>52</v>
      </c>
      <c r="F206" s="166">
        <v>500</v>
      </c>
      <c r="G206">
        <v>26000</v>
      </c>
    </row>
    <row r="207" spans="1:7" hidden="1">
      <c r="A207" t="s">
        <v>350</v>
      </c>
      <c r="B207" s="165">
        <v>41907</v>
      </c>
      <c r="C207" t="s">
        <v>351</v>
      </c>
      <c r="D207" t="s">
        <v>352</v>
      </c>
      <c r="E207">
        <v>9</v>
      </c>
      <c r="F207" s="166">
        <v>200</v>
      </c>
      <c r="G207">
        <v>1800</v>
      </c>
    </row>
    <row r="208" spans="1:7" hidden="1">
      <c r="A208" t="s">
        <v>350</v>
      </c>
      <c r="B208" s="165">
        <v>41907</v>
      </c>
      <c r="C208" t="s">
        <v>351</v>
      </c>
      <c r="D208" t="s">
        <v>352</v>
      </c>
      <c r="E208">
        <v>11</v>
      </c>
      <c r="F208" s="166">
        <v>590.90909090909088</v>
      </c>
      <c r="G208">
        <v>6500</v>
      </c>
    </row>
    <row r="209" spans="1:7" hidden="1">
      <c r="A209" t="s">
        <v>350</v>
      </c>
      <c r="B209" s="165">
        <v>41907</v>
      </c>
      <c r="C209" t="s">
        <v>351</v>
      </c>
      <c r="D209" t="s">
        <v>352</v>
      </c>
      <c r="E209">
        <v>17</v>
      </c>
      <c r="F209" s="166">
        <v>560</v>
      </c>
      <c r="G209">
        <v>9520</v>
      </c>
    </row>
    <row r="210" spans="1:7" hidden="1">
      <c r="A210" t="s">
        <v>350</v>
      </c>
      <c r="B210" s="165">
        <v>41921</v>
      </c>
      <c r="C210" t="s">
        <v>359</v>
      </c>
      <c r="D210" t="s">
        <v>360</v>
      </c>
      <c r="E210">
        <v>2</v>
      </c>
      <c r="F210" s="166">
        <v>544</v>
      </c>
      <c r="G210">
        <v>1088</v>
      </c>
    </row>
    <row r="211" spans="1:7" hidden="1">
      <c r="A211" t="s">
        <v>350</v>
      </c>
      <c r="B211" s="165">
        <v>41921</v>
      </c>
      <c r="C211" t="s">
        <v>355</v>
      </c>
      <c r="D211" t="s">
        <v>356</v>
      </c>
      <c r="E211">
        <v>3</v>
      </c>
      <c r="F211" s="166">
        <v>544</v>
      </c>
      <c r="G211">
        <v>1632</v>
      </c>
    </row>
    <row r="212" spans="1:7" hidden="1">
      <c r="A212" t="s">
        <v>350</v>
      </c>
      <c r="B212" s="165">
        <v>41921</v>
      </c>
      <c r="C212" t="s">
        <v>355</v>
      </c>
      <c r="D212" t="s">
        <v>356</v>
      </c>
      <c r="E212">
        <v>7</v>
      </c>
      <c r="F212" s="166">
        <v>1245</v>
      </c>
      <c r="G212">
        <v>8715</v>
      </c>
    </row>
    <row r="213" spans="1:7" hidden="1">
      <c r="A213" t="s">
        <v>350</v>
      </c>
      <c r="B213" s="165">
        <v>41921</v>
      </c>
      <c r="C213" t="s">
        <v>353</v>
      </c>
      <c r="D213" t="s">
        <v>354</v>
      </c>
      <c r="E213">
        <v>11</v>
      </c>
      <c r="F213" s="166">
        <v>915.90909090909088</v>
      </c>
      <c r="G213">
        <v>10075</v>
      </c>
    </row>
    <row r="214" spans="1:7" hidden="1">
      <c r="A214" t="s">
        <v>350</v>
      </c>
      <c r="B214" s="165">
        <v>41921</v>
      </c>
      <c r="C214" t="s">
        <v>353</v>
      </c>
      <c r="D214" t="s">
        <v>354</v>
      </c>
      <c r="E214">
        <v>20</v>
      </c>
      <c r="F214" s="166">
        <v>1733</v>
      </c>
      <c r="G214">
        <v>34660</v>
      </c>
    </row>
    <row r="215" spans="1:7" hidden="1">
      <c r="A215" t="s">
        <v>350</v>
      </c>
      <c r="B215" s="165">
        <v>41921</v>
      </c>
      <c r="C215" t="s">
        <v>357</v>
      </c>
      <c r="D215" t="s">
        <v>358</v>
      </c>
      <c r="E215">
        <v>1</v>
      </c>
      <c r="F215" s="166">
        <v>250</v>
      </c>
      <c r="G215">
        <v>250</v>
      </c>
    </row>
    <row r="216" spans="1:7" hidden="1">
      <c r="A216" t="s">
        <v>350</v>
      </c>
      <c r="B216" s="165">
        <v>41921</v>
      </c>
      <c r="C216" t="s">
        <v>351</v>
      </c>
      <c r="D216" t="s">
        <v>352</v>
      </c>
      <c r="E216">
        <v>9</v>
      </c>
      <c r="F216" s="166">
        <v>561.11111111111109</v>
      </c>
      <c r="G216">
        <v>5050</v>
      </c>
    </row>
    <row r="217" spans="1:7" hidden="1">
      <c r="A217" t="s">
        <v>350</v>
      </c>
      <c r="B217" s="165">
        <v>41921</v>
      </c>
      <c r="C217" t="s">
        <v>351</v>
      </c>
      <c r="D217" t="s">
        <v>352</v>
      </c>
      <c r="E217">
        <v>14</v>
      </c>
      <c r="F217" s="166">
        <v>696.42857142857144</v>
      </c>
      <c r="G217">
        <v>9750</v>
      </c>
    </row>
    <row r="218" spans="1:7" hidden="1">
      <c r="A218" t="s">
        <v>350</v>
      </c>
      <c r="B218" s="165">
        <v>41928</v>
      </c>
      <c r="C218" t="s">
        <v>351</v>
      </c>
      <c r="D218" t="s">
        <v>352</v>
      </c>
      <c r="E218">
        <v>7</v>
      </c>
      <c r="F218" s="166">
        <v>359.28571428571428</v>
      </c>
      <c r="G218">
        <v>2515</v>
      </c>
    </row>
    <row r="219" spans="1:7" hidden="1">
      <c r="A219" t="s">
        <v>350</v>
      </c>
      <c r="B219" s="165">
        <v>41936</v>
      </c>
      <c r="C219" t="s">
        <v>359</v>
      </c>
      <c r="D219" t="s">
        <v>360</v>
      </c>
      <c r="E219">
        <v>1</v>
      </c>
      <c r="F219" s="166">
        <v>441</v>
      </c>
      <c r="G219">
        <v>441</v>
      </c>
    </row>
    <row r="220" spans="1:7" hidden="1">
      <c r="A220" t="s">
        <v>350</v>
      </c>
      <c r="B220" s="165">
        <v>41936</v>
      </c>
      <c r="C220" t="s">
        <v>355</v>
      </c>
      <c r="D220" t="s">
        <v>356</v>
      </c>
      <c r="E220">
        <v>4</v>
      </c>
      <c r="F220" s="166">
        <v>750</v>
      </c>
      <c r="G220">
        <v>3000</v>
      </c>
    </row>
    <row r="221" spans="1:7" hidden="1">
      <c r="A221" t="s">
        <v>350</v>
      </c>
      <c r="B221" s="165">
        <v>41936</v>
      </c>
      <c r="C221" t="s">
        <v>355</v>
      </c>
      <c r="D221" t="s">
        <v>356</v>
      </c>
      <c r="E221">
        <v>8</v>
      </c>
      <c r="F221" s="166">
        <v>381.375</v>
      </c>
      <c r="G221">
        <v>3051</v>
      </c>
    </row>
    <row r="222" spans="1:7" hidden="1">
      <c r="A222" t="s">
        <v>350</v>
      </c>
      <c r="B222" s="165">
        <v>41936</v>
      </c>
      <c r="C222" t="s">
        <v>355</v>
      </c>
      <c r="D222" t="s">
        <v>356</v>
      </c>
      <c r="E222">
        <v>11</v>
      </c>
      <c r="F222" s="166">
        <v>412</v>
      </c>
      <c r="G222">
        <v>4532</v>
      </c>
    </row>
    <row r="223" spans="1:7" hidden="1">
      <c r="A223" t="s">
        <v>350</v>
      </c>
      <c r="B223" s="165">
        <v>41936</v>
      </c>
      <c r="C223" t="s">
        <v>355</v>
      </c>
      <c r="D223" t="s">
        <v>356</v>
      </c>
      <c r="E223">
        <v>12</v>
      </c>
      <c r="F223" s="166">
        <v>414.41666666666669</v>
      </c>
      <c r="G223">
        <v>4973</v>
      </c>
    </row>
    <row r="224" spans="1:7" hidden="1">
      <c r="A224" t="s">
        <v>350</v>
      </c>
      <c r="B224" s="165">
        <v>41936</v>
      </c>
      <c r="C224" t="s">
        <v>355</v>
      </c>
      <c r="D224" t="s">
        <v>356</v>
      </c>
      <c r="E224">
        <v>12</v>
      </c>
      <c r="F224" s="166">
        <v>414.41666666666669</v>
      </c>
      <c r="G224">
        <v>4973</v>
      </c>
    </row>
    <row r="225" spans="1:7" hidden="1">
      <c r="A225" t="s">
        <v>350</v>
      </c>
      <c r="B225" s="165">
        <v>41936</v>
      </c>
      <c r="C225" t="s">
        <v>353</v>
      </c>
      <c r="D225" t="s">
        <v>354</v>
      </c>
      <c r="E225">
        <v>4</v>
      </c>
      <c r="F225" s="166">
        <v>1070</v>
      </c>
      <c r="G225">
        <v>4280</v>
      </c>
    </row>
    <row r="226" spans="1:7" hidden="1">
      <c r="A226" t="s">
        <v>350</v>
      </c>
      <c r="B226" s="165">
        <v>41936</v>
      </c>
      <c r="C226" t="s">
        <v>353</v>
      </c>
      <c r="D226" t="s">
        <v>354</v>
      </c>
      <c r="E226">
        <v>14</v>
      </c>
      <c r="F226" s="166">
        <v>1094.7857142857142</v>
      </c>
      <c r="G226">
        <v>15327</v>
      </c>
    </row>
    <row r="227" spans="1:7" hidden="1">
      <c r="A227" t="s">
        <v>350</v>
      </c>
      <c r="B227" s="165">
        <v>41936</v>
      </c>
      <c r="C227" t="s">
        <v>357</v>
      </c>
      <c r="D227" t="s">
        <v>358</v>
      </c>
      <c r="E227">
        <v>1</v>
      </c>
      <c r="F227" s="166">
        <v>479</v>
      </c>
      <c r="G227">
        <v>479</v>
      </c>
    </row>
    <row r="228" spans="1:7" hidden="1">
      <c r="A228" t="s">
        <v>350</v>
      </c>
      <c r="B228" s="165">
        <v>41936</v>
      </c>
      <c r="C228" t="s">
        <v>351</v>
      </c>
      <c r="D228" t="s">
        <v>352</v>
      </c>
      <c r="E228">
        <v>3</v>
      </c>
      <c r="F228" s="166">
        <v>200</v>
      </c>
      <c r="G228">
        <v>600</v>
      </c>
    </row>
    <row r="229" spans="1:7" hidden="1">
      <c r="A229" t="s">
        <v>350</v>
      </c>
      <c r="B229" s="165">
        <v>41936</v>
      </c>
      <c r="C229" t="s">
        <v>351</v>
      </c>
      <c r="D229" t="s">
        <v>352</v>
      </c>
      <c r="E229">
        <v>2</v>
      </c>
      <c r="F229" s="166">
        <v>323</v>
      </c>
      <c r="G229">
        <v>646</v>
      </c>
    </row>
    <row r="230" spans="1:7" hidden="1">
      <c r="A230" t="s">
        <v>350</v>
      </c>
      <c r="B230" s="165">
        <v>41936</v>
      </c>
      <c r="C230" t="s">
        <v>351</v>
      </c>
      <c r="D230" t="s">
        <v>352</v>
      </c>
      <c r="E230">
        <v>5</v>
      </c>
      <c r="F230" s="166">
        <v>600</v>
      </c>
      <c r="G230">
        <v>3000</v>
      </c>
    </row>
    <row r="231" spans="1:7" hidden="1">
      <c r="A231" t="s">
        <v>350</v>
      </c>
      <c r="B231" s="165">
        <v>41936</v>
      </c>
      <c r="C231" t="s">
        <v>351</v>
      </c>
      <c r="D231" t="s">
        <v>352</v>
      </c>
      <c r="E231">
        <v>12</v>
      </c>
      <c r="F231" s="166">
        <v>489</v>
      </c>
      <c r="G231">
        <v>5868</v>
      </c>
    </row>
    <row r="232" spans="1:7" hidden="1">
      <c r="A232" t="s">
        <v>350</v>
      </c>
      <c r="B232" s="165">
        <v>41936</v>
      </c>
      <c r="C232" t="s">
        <v>351</v>
      </c>
      <c r="D232" t="s">
        <v>352</v>
      </c>
      <c r="E232">
        <v>8</v>
      </c>
      <c r="F232" s="166">
        <v>787.875</v>
      </c>
      <c r="G232">
        <v>6303</v>
      </c>
    </row>
    <row r="233" spans="1:7" hidden="1">
      <c r="A233" t="s">
        <v>350</v>
      </c>
      <c r="B233" s="165">
        <v>41936</v>
      </c>
      <c r="C233" t="s">
        <v>351</v>
      </c>
      <c r="D233" t="s">
        <v>352</v>
      </c>
      <c r="E233">
        <v>10</v>
      </c>
      <c r="F233" s="166">
        <v>637</v>
      </c>
      <c r="G233">
        <v>6370</v>
      </c>
    </row>
    <row r="234" spans="1:7" hidden="1">
      <c r="A234" t="s">
        <v>350</v>
      </c>
      <c r="B234" s="165">
        <v>41943</v>
      </c>
      <c r="C234" t="s">
        <v>359</v>
      </c>
      <c r="D234" t="s">
        <v>360</v>
      </c>
      <c r="E234">
        <v>3</v>
      </c>
      <c r="F234" s="166">
        <v>722</v>
      </c>
      <c r="G234">
        <v>2166</v>
      </c>
    </row>
    <row r="235" spans="1:7" hidden="1">
      <c r="A235" t="s">
        <v>350</v>
      </c>
      <c r="B235" s="165">
        <v>41943</v>
      </c>
      <c r="C235" t="s">
        <v>359</v>
      </c>
      <c r="D235" t="s">
        <v>360</v>
      </c>
      <c r="E235">
        <v>10</v>
      </c>
      <c r="F235" s="166">
        <v>675</v>
      </c>
      <c r="G235">
        <v>6750</v>
      </c>
    </row>
    <row r="236" spans="1:7" hidden="1">
      <c r="A236" t="s">
        <v>350</v>
      </c>
      <c r="B236" s="165">
        <v>41943</v>
      </c>
      <c r="C236" t="s">
        <v>355</v>
      </c>
      <c r="D236" t="s">
        <v>356</v>
      </c>
      <c r="E236">
        <v>2</v>
      </c>
      <c r="F236" s="166">
        <v>815</v>
      </c>
      <c r="G236">
        <v>1630</v>
      </c>
    </row>
    <row r="237" spans="1:7" hidden="1">
      <c r="A237" t="s">
        <v>350</v>
      </c>
      <c r="B237" s="165">
        <v>41943</v>
      </c>
      <c r="C237" t="s">
        <v>355</v>
      </c>
      <c r="D237" t="s">
        <v>356</v>
      </c>
      <c r="E237">
        <v>15</v>
      </c>
      <c r="F237" s="166">
        <v>299</v>
      </c>
      <c r="G237">
        <v>4485</v>
      </c>
    </row>
    <row r="238" spans="1:7" hidden="1">
      <c r="A238" t="s">
        <v>350</v>
      </c>
      <c r="B238" s="165">
        <v>41943</v>
      </c>
      <c r="C238" t="s">
        <v>355</v>
      </c>
      <c r="D238" t="s">
        <v>356</v>
      </c>
      <c r="E238">
        <v>12</v>
      </c>
      <c r="F238" s="166">
        <v>434.58333333333331</v>
      </c>
      <c r="G238">
        <v>5215</v>
      </c>
    </row>
    <row r="239" spans="1:7" hidden="1">
      <c r="A239" t="s">
        <v>350</v>
      </c>
      <c r="B239" s="165">
        <v>41943</v>
      </c>
      <c r="C239" t="s">
        <v>355</v>
      </c>
      <c r="D239" t="s">
        <v>356</v>
      </c>
      <c r="E239">
        <v>12</v>
      </c>
      <c r="F239" s="166">
        <v>445.08333333333331</v>
      </c>
      <c r="G239">
        <v>5341</v>
      </c>
    </row>
    <row r="240" spans="1:7" hidden="1">
      <c r="A240" t="s">
        <v>350</v>
      </c>
      <c r="B240" s="165">
        <v>41943</v>
      </c>
      <c r="C240" t="s">
        <v>355</v>
      </c>
      <c r="D240" t="s">
        <v>356</v>
      </c>
      <c r="E240">
        <v>16</v>
      </c>
      <c r="F240" s="166">
        <v>446.4375</v>
      </c>
      <c r="G240">
        <v>7143</v>
      </c>
    </row>
    <row r="241" spans="1:7" hidden="1">
      <c r="A241" t="s">
        <v>350</v>
      </c>
      <c r="B241" s="165">
        <v>41943</v>
      </c>
      <c r="C241" t="s">
        <v>355</v>
      </c>
      <c r="D241" t="s">
        <v>356</v>
      </c>
      <c r="E241">
        <v>24</v>
      </c>
      <c r="F241" s="166">
        <v>438.70833333333331</v>
      </c>
      <c r="G241">
        <v>10529</v>
      </c>
    </row>
    <row r="242" spans="1:7" hidden="1">
      <c r="A242" t="s">
        <v>350</v>
      </c>
      <c r="B242" s="165">
        <v>41943</v>
      </c>
      <c r="C242" t="s">
        <v>355</v>
      </c>
      <c r="D242" t="s">
        <v>356</v>
      </c>
      <c r="E242">
        <v>24</v>
      </c>
      <c r="F242" s="166">
        <v>445</v>
      </c>
      <c r="G242">
        <v>10680</v>
      </c>
    </row>
    <row r="243" spans="1:7" hidden="1">
      <c r="A243" t="s">
        <v>350</v>
      </c>
      <c r="B243" s="165">
        <v>41943</v>
      </c>
      <c r="C243" t="s">
        <v>353</v>
      </c>
      <c r="D243" t="s">
        <v>354</v>
      </c>
      <c r="E243">
        <v>2</v>
      </c>
      <c r="F243" s="166">
        <v>880</v>
      </c>
      <c r="G243">
        <v>1760</v>
      </c>
    </row>
    <row r="244" spans="1:7" hidden="1">
      <c r="A244" t="s">
        <v>350</v>
      </c>
      <c r="B244" s="165">
        <v>41943</v>
      </c>
      <c r="C244" t="s">
        <v>353</v>
      </c>
      <c r="D244" t="s">
        <v>354</v>
      </c>
      <c r="E244">
        <v>2</v>
      </c>
      <c r="F244" s="166">
        <v>880</v>
      </c>
      <c r="G244">
        <v>1760</v>
      </c>
    </row>
    <row r="245" spans="1:7" hidden="1">
      <c r="A245" t="s">
        <v>350</v>
      </c>
      <c r="B245" s="165">
        <v>41943</v>
      </c>
      <c r="C245" t="s">
        <v>353</v>
      </c>
      <c r="D245" t="s">
        <v>354</v>
      </c>
      <c r="E245">
        <v>4</v>
      </c>
      <c r="F245" s="166">
        <v>497</v>
      </c>
      <c r="G245">
        <v>1988</v>
      </c>
    </row>
    <row r="246" spans="1:7" hidden="1">
      <c r="A246" t="s">
        <v>350</v>
      </c>
      <c r="B246" s="165">
        <v>41943</v>
      </c>
      <c r="C246" t="s">
        <v>353</v>
      </c>
      <c r="D246" t="s">
        <v>354</v>
      </c>
      <c r="E246">
        <v>5</v>
      </c>
      <c r="F246" s="166">
        <v>880</v>
      </c>
      <c r="G246">
        <v>4400</v>
      </c>
    </row>
    <row r="247" spans="1:7" hidden="1">
      <c r="A247" t="s">
        <v>350</v>
      </c>
      <c r="B247" s="165">
        <v>41943</v>
      </c>
      <c r="C247" t="s">
        <v>353</v>
      </c>
      <c r="D247" t="s">
        <v>354</v>
      </c>
      <c r="E247">
        <v>5</v>
      </c>
      <c r="F247" s="166">
        <v>1750</v>
      </c>
      <c r="G247">
        <v>8750</v>
      </c>
    </row>
    <row r="248" spans="1:7" hidden="1">
      <c r="A248" t="s">
        <v>350</v>
      </c>
      <c r="B248" s="165">
        <v>41943</v>
      </c>
      <c r="C248" t="s">
        <v>353</v>
      </c>
      <c r="D248" t="s">
        <v>354</v>
      </c>
      <c r="E248">
        <v>49</v>
      </c>
      <c r="F248" s="166">
        <v>1704.9795918367347</v>
      </c>
      <c r="G248">
        <v>83544</v>
      </c>
    </row>
    <row r="249" spans="1:7" hidden="1">
      <c r="A249" t="s">
        <v>350</v>
      </c>
      <c r="B249" s="165">
        <v>41943</v>
      </c>
      <c r="C249" t="s">
        <v>357</v>
      </c>
      <c r="D249" t="s">
        <v>358</v>
      </c>
      <c r="E249">
        <v>2</v>
      </c>
      <c r="F249" s="166">
        <v>200</v>
      </c>
      <c r="G249">
        <v>400</v>
      </c>
    </row>
    <row r="250" spans="1:7" hidden="1">
      <c r="A250" t="s">
        <v>350</v>
      </c>
      <c r="B250" s="165">
        <v>41943</v>
      </c>
      <c r="C250" t="s">
        <v>357</v>
      </c>
      <c r="D250" t="s">
        <v>358</v>
      </c>
      <c r="E250">
        <v>3</v>
      </c>
      <c r="F250" s="166">
        <v>260</v>
      </c>
      <c r="G250">
        <v>780</v>
      </c>
    </row>
    <row r="251" spans="1:7" hidden="1">
      <c r="A251" t="s">
        <v>350</v>
      </c>
      <c r="B251" s="165">
        <v>41943</v>
      </c>
      <c r="C251" t="s">
        <v>357</v>
      </c>
      <c r="D251" t="s">
        <v>358</v>
      </c>
      <c r="E251">
        <v>21</v>
      </c>
      <c r="F251" s="166">
        <v>265.66666666666669</v>
      </c>
      <c r="G251">
        <v>5579</v>
      </c>
    </row>
    <row r="252" spans="1:7" hidden="1">
      <c r="A252" t="s">
        <v>350</v>
      </c>
      <c r="B252" s="165">
        <v>41943</v>
      </c>
      <c r="C252" t="s">
        <v>351</v>
      </c>
      <c r="D252" t="s">
        <v>352</v>
      </c>
      <c r="E252">
        <v>2</v>
      </c>
      <c r="F252" s="166">
        <v>198.5</v>
      </c>
      <c r="G252">
        <v>397</v>
      </c>
    </row>
    <row r="253" spans="1:7" hidden="1">
      <c r="A253" t="s">
        <v>350</v>
      </c>
      <c r="B253" s="165">
        <v>41943</v>
      </c>
      <c r="C253" t="s">
        <v>351</v>
      </c>
      <c r="D253" t="s">
        <v>352</v>
      </c>
      <c r="E253">
        <v>3</v>
      </c>
      <c r="F253" s="166">
        <v>399</v>
      </c>
      <c r="G253">
        <v>1197</v>
      </c>
    </row>
    <row r="254" spans="1:7" hidden="1">
      <c r="A254" t="s">
        <v>350</v>
      </c>
      <c r="B254" s="165">
        <v>41943</v>
      </c>
      <c r="C254" t="s">
        <v>351</v>
      </c>
      <c r="D254" t="s">
        <v>352</v>
      </c>
      <c r="E254">
        <v>9</v>
      </c>
      <c r="F254" s="166">
        <v>227.33333333333334</v>
      </c>
      <c r="G254">
        <v>2046</v>
      </c>
    </row>
    <row r="255" spans="1:7" hidden="1">
      <c r="A255" t="s">
        <v>350</v>
      </c>
      <c r="B255" s="165">
        <v>41943</v>
      </c>
      <c r="C255" t="s">
        <v>351</v>
      </c>
      <c r="D255" t="s">
        <v>352</v>
      </c>
      <c r="E255">
        <v>6</v>
      </c>
      <c r="F255" s="166">
        <v>650</v>
      </c>
      <c r="G255">
        <v>3900</v>
      </c>
    </row>
    <row r="256" spans="1:7" hidden="1">
      <c r="A256" t="s">
        <v>350</v>
      </c>
      <c r="B256" s="165">
        <v>41943</v>
      </c>
      <c r="C256" t="s">
        <v>351</v>
      </c>
      <c r="D256" t="s">
        <v>352</v>
      </c>
      <c r="E256">
        <v>15</v>
      </c>
      <c r="F256" s="166">
        <v>722</v>
      </c>
      <c r="G256">
        <v>10830</v>
      </c>
    </row>
    <row r="257" spans="1:7" hidden="1">
      <c r="A257" t="s">
        <v>350</v>
      </c>
      <c r="B257" s="165">
        <v>41949</v>
      </c>
      <c r="C257" t="s">
        <v>359</v>
      </c>
      <c r="D257" t="s">
        <v>360</v>
      </c>
      <c r="E257">
        <v>2</v>
      </c>
      <c r="F257" s="166">
        <v>757</v>
      </c>
      <c r="G257">
        <v>1514</v>
      </c>
    </row>
    <row r="258" spans="1:7" hidden="1">
      <c r="A258" t="s">
        <v>350</v>
      </c>
      <c r="B258" s="165">
        <v>41949</v>
      </c>
      <c r="C258" t="s">
        <v>359</v>
      </c>
      <c r="D258" t="s">
        <v>360</v>
      </c>
      <c r="E258">
        <v>16</v>
      </c>
      <c r="F258" s="166">
        <v>482.5</v>
      </c>
      <c r="G258">
        <v>7720</v>
      </c>
    </row>
    <row r="259" spans="1:7" hidden="1">
      <c r="A259" t="s">
        <v>350</v>
      </c>
      <c r="B259" s="165">
        <v>41949</v>
      </c>
      <c r="C259" t="s">
        <v>355</v>
      </c>
      <c r="D259" t="s">
        <v>356</v>
      </c>
      <c r="E259">
        <v>11</v>
      </c>
      <c r="F259" s="166">
        <v>402.27272727272725</v>
      </c>
      <c r="G259">
        <v>4425</v>
      </c>
    </row>
    <row r="260" spans="1:7" hidden="1">
      <c r="A260" t="s">
        <v>350</v>
      </c>
      <c r="B260" s="165">
        <v>41949</v>
      </c>
      <c r="C260" t="s">
        <v>355</v>
      </c>
      <c r="D260" t="s">
        <v>356</v>
      </c>
      <c r="E260">
        <v>12</v>
      </c>
      <c r="F260" s="166">
        <v>446.41666666666669</v>
      </c>
      <c r="G260">
        <v>5357</v>
      </c>
    </row>
    <row r="261" spans="1:7" hidden="1">
      <c r="A261" t="s">
        <v>350</v>
      </c>
      <c r="B261" s="165">
        <v>41949</v>
      </c>
      <c r="C261" t="s">
        <v>355</v>
      </c>
      <c r="D261" t="s">
        <v>356</v>
      </c>
      <c r="E261">
        <v>7</v>
      </c>
      <c r="F261" s="166">
        <v>1245</v>
      </c>
      <c r="G261">
        <v>8715</v>
      </c>
    </row>
    <row r="262" spans="1:7" hidden="1">
      <c r="A262" t="s">
        <v>350</v>
      </c>
      <c r="B262" s="165">
        <v>41949</v>
      </c>
      <c r="C262" t="s">
        <v>355</v>
      </c>
      <c r="D262" t="s">
        <v>356</v>
      </c>
      <c r="E262">
        <v>33</v>
      </c>
      <c r="F262" s="166">
        <v>912.39393939393938</v>
      </c>
      <c r="G262">
        <v>30109</v>
      </c>
    </row>
    <row r="263" spans="1:7" hidden="1">
      <c r="A263" t="s">
        <v>350</v>
      </c>
      <c r="B263" s="165">
        <v>41949</v>
      </c>
      <c r="C263" t="s">
        <v>353</v>
      </c>
      <c r="D263" t="s">
        <v>354</v>
      </c>
      <c r="E263">
        <v>5</v>
      </c>
      <c r="F263" s="166">
        <v>872.2</v>
      </c>
      <c r="G263">
        <v>4361</v>
      </c>
    </row>
    <row r="264" spans="1:7" hidden="1">
      <c r="A264" t="s">
        <v>350</v>
      </c>
      <c r="B264" s="165">
        <v>41949</v>
      </c>
      <c r="C264" t="s">
        <v>357</v>
      </c>
      <c r="D264" t="s">
        <v>358</v>
      </c>
      <c r="E264">
        <v>2</v>
      </c>
      <c r="F264" s="166">
        <v>350</v>
      </c>
      <c r="G264">
        <v>700</v>
      </c>
    </row>
    <row r="265" spans="1:7" hidden="1">
      <c r="A265" t="s">
        <v>350</v>
      </c>
      <c r="B265" s="165">
        <v>41949</v>
      </c>
      <c r="C265" t="s">
        <v>357</v>
      </c>
      <c r="D265" t="s">
        <v>358</v>
      </c>
      <c r="E265">
        <v>9</v>
      </c>
      <c r="F265" s="166">
        <v>295.11111111111109</v>
      </c>
      <c r="G265">
        <v>2656</v>
      </c>
    </row>
    <row r="266" spans="1:7" hidden="1">
      <c r="A266" t="s">
        <v>350</v>
      </c>
      <c r="B266" s="165">
        <v>41949</v>
      </c>
      <c r="C266" t="s">
        <v>357</v>
      </c>
      <c r="D266" t="s">
        <v>358</v>
      </c>
      <c r="E266">
        <v>10</v>
      </c>
      <c r="F266" s="166">
        <v>320.2</v>
      </c>
      <c r="G266">
        <v>3202</v>
      </c>
    </row>
    <row r="267" spans="1:7" hidden="1">
      <c r="A267" t="s">
        <v>350</v>
      </c>
      <c r="B267" s="165">
        <v>41949</v>
      </c>
      <c r="C267" t="s">
        <v>357</v>
      </c>
      <c r="D267" t="s">
        <v>358</v>
      </c>
      <c r="E267">
        <v>18</v>
      </c>
      <c r="F267" s="166">
        <v>353.33333333333331</v>
      </c>
      <c r="G267">
        <v>6360</v>
      </c>
    </row>
    <row r="268" spans="1:7" hidden="1">
      <c r="A268" t="s">
        <v>350</v>
      </c>
      <c r="B268" s="165">
        <v>41949</v>
      </c>
      <c r="C268" t="s">
        <v>357</v>
      </c>
      <c r="D268" t="s">
        <v>358</v>
      </c>
      <c r="E268">
        <v>27</v>
      </c>
      <c r="F268" s="166">
        <v>452</v>
      </c>
      <c r="G268">
        <v>12204</v>
      </c>
    </row>
    <row r="269" spans="1:7" hidden="1">
      <c r="A269" t="s">
        <v>350</v>
      </c>
      <c r="B269" s="165">
        <v>41949</v>
      </c>
      <c r="C269" t="s">
        <v>351</v>
      </c>
      <c r="D269" t="s">
        <v>352</v>
      </c>
      <c r="E269">
        <v>1</v>
      </c>
      <c r="F269" s="166">
        <v>330</v>
      </c>
      <c r="G269">
        <v>330</v>
      </c>
    </row>
    <row r="270" spans="1:7" hidden="1">
      <c r="A270" t="s">
        <v>350</v>
      </c>
      <c r="B270" s="165">
        <v>41949</v>
      </c>
      <c r="C270" t="s">
        <v>351</v>
      </c>
      <c r="D270" t="s">
        <v>352</v>
      </c>
      <c r="E270">
        <v>2</v>
      </c>
      <c r="F270" s="166">
        <v>350</v>
      </c>
      <c r="G270">
        <v>700</v>
      </c>
    </row>
    <row r="271" spans="1:7" hidden="1">
      <c r="A271" t="s">
        <v>350</v>
      </c>
      <c r="B271" s="165">
        <v>41949</v>
      </c>
      <c r="C271" t="s">
        <v>351</v>
      </c>
      <c r="D271" t="s">
        <v>352</v>
      </c>
      <c r="E271">
        <v>1</v>
      </c>
      <c r="F271" s="166">
        <v>795</v>
      </c>
      <c r="G271">
        <v>795</v>
      </c>
    </row>
    <row r="272" spans="1:7" hidden="1">
      <c r="A272" t="s">
        <v>350</v>
      </c>
      <c r="B272" s="165">
        <v>41949</v>
      </c>
      <c r="C272" t="s">
        <v>351</v>
      </c>
      <c r="D272" t="s">
        <v>352</v>
      </c>
      <c r="E272">
        <v>2</v>
      </c>
      <c r="F272" s="166">
        <v>422.5</v>
      </c>
      <c r="G272">
        <v>845</v>
      </c>
    </row>
    <row r="273" spans="1:7" hidden="1">
      <c r="A273" t="s">
        <v>350</v>
      </c>
      <c r="B273" s="165">
        <v>41949</v>
      </c>
      <c r="C273" t="s">
        <v>351</v>
      </c>
      <c r="D273" t="s">
        <v>352</v>
      </c>
      <c r="E273">
        <v>4</v>
      </c>
      <c r="F273" s="166">
        <v>615</v>
      </c>
      <c r="G273">
        <v>2460</v>
      </c>
    </row>
    <row r="274" spans="1:7" hidden="1">
      <c r="A274" t="s">
        <v>350</v>
      </c>
      <c r="B274" s="165">
        <v>41949</v>
      </c>
      <c r="C274" t="s">
        <v>351</v>
      </c>
      <c r="D274" t="s">
        <v>352</v>
      </c>
      <c r="E274">
        <v>8</v>
      </c>
      <c r="F274" s="166">
        <v>550</v>
      </c>
      <c r="G274">
        <v>4400</v>
      </c>
    </row>
    <row r="275" spans="1:7" hidden="1">
      <c r="A275" t="s">
        <v>350</v>
      </c>
      <c r="B275" s="165">
        <v>41949</v>
      </c>
      <c r="C275" t="s">
        <v>351</v>
      </c>
      <c r="D275" t="s">
        <v>352</v>
      </c>
      <c r="E275">
        <v>13</v>
      </c>
      <c r="F275" s="166">
        <v>392.30769230769232</v>
      </c>
      <c r="G275">
        <v>5100</v>
      </c>
    </row>
    <row r="276" spans="1:7" hidden="1">
      <c r="A276" t="s">
        <v>350</v>
      </c>
      <c r="B276" s="165">
        <v>41949</v>
      </c>
      <c r="C276" t="s">
        <v>351</v>
      </c>
      <c r="D276" t="s">
        <v>352</v>
      </c>
      <c r="E276">
        <v>15</v>
      </c>
      <c r="F276" s="166">
        <v>705.6</v>
      </c>
      <c r="G276">
        <v>10584</v>
      </c>
    </row>
    <row r="277" spans="1:7" hidden="1">
      <c r="A277" t="s">
        <v>350</v>
      </c>
      <c r="B277" s="165">
        <v>41957</v>
      </c>
      <c r="C277" t="s">
        <v>355</v>
      </c>
      <c r="D277" t="s">
        <v>356</v>
      </c>
      <c r="E277">
        <v>2</v>
      </c>
      <c r="F277" s="166">
        <v>360</v>
      </c>
      <c r="G277">
        <v>720</v>
      </c>
    </row>
    <row r="278" spans="1:7" hidden="1">
      <c r="A278" t="s">
        <v>350</v>
      </c>
      <c r="B278" s="165">
        <v>41957</v>
      </c>
      <c r="C278" t="s">
        <v>355</v>
      </c>
      <c r="D278" t="s">
        <v>356</v>
      </c>
      <c r="E278">
        <v>4</v>
      </c>
      <c r="F278" s="166">
        <v>556.75</v>
      </c>
      <c r="G278">
        <v>2227</v>
      </c>
    </row>
    <row r="279" spans="1:7" hidden="1">
      <c r="A279" t="s">
        <v>350</v>
      </c>
      <c r="B279" s="165">
        <v>41957</v>
      </c>
      <c r="C279" t="s">
        <v>355</v>
      </c>
      <c r="D279" t="s">
        <v>356</v>
      </c>
      <c r="E279">
        <v>8</v>
      </c>
      <c r="F279" s="166">
        <v>556.625</v>
      </c>
      <c r="G279">
        <v>4453</v>
      </c>
    </row>
    <row r="280" spans="1:7" hidden="1">
      <c r="A280" t="s">
        <v>350</v>
      </c>
      <c r="B280" s="165">
        <v>41957</v>
      </c>
      <c r="C280" t="s">
        <v>355</v>
      </c>
      <c r="D280" t="s">
        <v>356</v>
      </c>
      <c r="E280">
        <v>8</v>
      </c>
      <c r="F280" s="166">
        <v>556.625</v>
      </c>
      <c r="G280">
        <v>4453</v>
      </c>
    </row>
    <row r="281" spans="1:7" hidden="1">
      <c r="A281" t="s">
        <v>350</v>
      </c>
      <c r="B281" s="165">
        <v>41957</v>
      </c>
      <c r="C281" t="s">
        <v>355</v>
      </c>
      <c r="D281" t="s">
        <v>356</v>
      </c>
      <c r="E281">
        <v>8</v>
      </c>
      <c r="F281" s="166">
        <v>556.625</v>
      </c>
      <c r="G281">
        <v>4453</v>
      </c>
    </row>
    <row r="282" spans="1:7" hidden="1">
      <c r="A282" t="s">
        <v>350</v>
      </c>
      <c r="B282" s="165">
        <v>41957</v>
      </c>
      <c r="C282" t="s">
        <v>355</v>
      </c>
      <c r="D282" t="s">
        <v>356</v>
      </c>
      <c r="E282">
        <v>16</v>
      </c>
      <c r="F282" s="166">
        <v>550</v>
      </c>
      <c r="G282">
        <v>8800</v>
      </c>
    </row>
    <row r="283" spans="1:7" hidden="1">
      <c r="A283" t="s">
        <v>350</v>
      </c>
      <c r="B283" s="165">
        <v>41957</v>
      </c>
      <c r="C283" t="s">
        <v>353</v>
      </c>
      <c r="D283" t="s">
        <v>354</v>
      </c>
      <c r="E283">
        <v>3</v>
      </c>
      <c r="F283" s="166">
        <v>875</v>
      </c>
      <c r="G283">
        <v>2625</v>
      </c>
    </row>
    <row r="284" spans="1:7" hidden="1">
      <c r="A284" t="s">
        <v>350</v>
      </c>
      <c r="B284" s="165">
        <v>41957</v>
      </c>
      <c r="C284" t="s">
        <v>353</v>
      </c>
      <c r="D284" t="s">
        <v>354</v>
      </c>
      <c r="E284">
        <v>4</v>
      </c>
      <c r="F284" s="166">
        <v>846.5</v>
      </c>
      <c r="G284">
        <v>3386</v>
      </c>
    </row>
    <row r="285" spans="1:7" hidden="1">
      <c r="A285" t="s">
        <v>350</v>
      </c>
      <c r="B285" s="165">
        <v>41957</v>
      </c>
      <c r="C285" t="s">
        <v>353</v>
      </c>
      <c r="D285" t="s">
        <v>354</v>
      </c>
      <c r="E285">
        <v>5</v>
      </c>
      <c r="F285" s="166">
        <v>836</v>
      </c>
      <c r="G285">
        <v>4180</v>
      </c>
    </row>
    <row r="286" spans="1:7" hidden="1">
      <c r="A286" t="s">
        <v>350</v>
      </c>
      <c r="B286" s="165">
        <v>41957</v>
      </c>
      <c r="C286" t="s">
        <v>353</v>
      </c>
      <c r="D286" t="s">
        <v>354</v>
      </c>
      <c r="E286">
        <v>6</v>
      </c>
      <c r="F286" s="166">
        <v>828.16666666666663</v>
      </c>
      <c r="G286">
        <v>4969</v>
      </c>
    </row>
    <row r="287" spans="1:7" hidden="1">
      <c r="A287" t="s">
        <v>350</v>
      </c>
      <c r="B287" s="165">
        <v>41957</v>
      </c>
      <c r="C287" t="s">
        <v>353</v>
      </c>
      <c r="D287" t="s">
        <v>354</v>
      </c>
      <c r="E287">
        <v>6</v>
      </c>
      <c r="F287" s="166">
        <v>828.16666666666663</v>
      </c>
      <c r="G287">
        <v>4969</v>
      </c>
    </row>
    <row r="288" spans="1:7" hidden="1">
      <c r="A288" t="s">
        <v>350</v>
      </c>
      <c r="B288" s="165">
        <v>41957</v>
      </c>
      <c r="C288" t="s">
        <v>353</v>
      </c>
      <c r="D288" t="s">
        <v>354</v>
      </c>
      <c r="E288">
        <v>8</v>
      </c>
      <c r="F288" s="166">
        <v>802.875</v>
      </c>
      <c r="G288">
        <v>6423</v>
      </c>
    </row>
    <row r="289" spans="1:7" hidden="1">
      <c r="A289" t="s">
        <v>350</v>
      </c>
      <c r="B289" s="165">
        <v>41957</v>
      </c>
      <c r="C289" t="s">
        <v>353</v>
      </c>
      <c r="D289" t="s">
        <v>354</v>
      </c>
      <c r="E289">
        <v>8</v>
      </c>
      <c r="F289" s="166">
        <v>802.875</v>
      </c>
      <c r="G289">
        <v>6423</v>
      </c>
    </row>
    <row r="290" spans="1:7" hidden="1">
      <c r="A290" t="s">
        <v>350</v>
      </c>
      <c r="B290" s="165">
        <v>41957</v>
      </c>
      <c r="C290" t="s">
        <v>353</v>
      </c>
      <c r="D290" t="s">
        <v>354</v>
      </c>
      <c r="E290">
        <v>9</v>
      </c>
      <c r="F290" s="166">
        <v>794.55555555555554</v>
      </c>
      <c r="G290">
        <v>7151</v>
      </c>
    </row>
    <row r="291" spans="1:7" hidden="1">
      <c r="A291" t="s">
        <v>350</v>
      </c>
      <c r="B291" s="165">
        <v>41957</v>
      </c>
      <c r="C291" t="s">
        <v>353</v>
      </c>
      <c r="D291" t="s">
        <v>354</v>
      </c>
      <c r="E291">
        <v>9</v>
      </c>
      <c r="F291" s="166">
        <v>794.55555555555554</v>
      </c>
      <c r="G291">
        <v>7151</v>
      </c>
    </row>
    <row r="292" spans="1:7" hidden="1">
      <c r="A292" t="s">
        <v>350</v>
      </c>
      <c r="B292" s="165">
        <v>41957</v>
      </c>
      <c r="C292" t="s">
        <v>353</v>
      </c>
      <c r="D292" t="s">
        <v>354</v>
      </c>
      <c r="E292">
        <v>9</v>
      </c>
      <c r="F292" s="166">
        <v>794.55555555555554</v>
      </c>
      <c r="G292">
        <v>7151</v>
      </c>
    </row>
    <row r="293" spans="1:7" hidden="1">
      <c r="A293" t="s">
        <v>350</v>
      </c>
      <c r="B293" s="165">
        <v>41957</v>
      </c>
      <c r="C293" t="s">
        <v>353</v>
      </c>
      <c r="D293" t="s">
        <v>354</v>
      </c>
      <c r="E293">
        <v>11</v>
      </c>
      <c r="F293" s="166">
        <v>782.18181818181813</v>
      </c>
      <c r="G293">
        <v>8604</v>
      </c>
    </row>
    <row r="294" spans="1:7" hidden="1">
      <c r="A294" t="s">
        <v>350</v>
      </c>
      <c r="B294" s="165">
        <v>41957</v>
      </c>
      <c r="C294" t="s">
        <v>353</v>
      </c>
      <c r="D294" t="s">
        <v>354</v>
      </c>
      <c r="E294">
        <v>8</v>
      </c>
      <c r="F294" s="166">
        <v>2400</v>
      </c>
      <c r="G294">
        <v>19200</v>
      </c>
    </row>
    <row r="295" spans="1:7" hidden="1">
      <c r="A295" t="s">
        <v>350</v>
      </c>
      <c r="B295" s="165">
        <v>41957</v>
      </c>
      <c r="C295" t="s">
        <v>357</v>
      </c>
      <c r="D295" t="s">
        <v>358</v>
      </c>
      <c r="E295">
        <v>1</v>
      </c>
      <c r="F295" s="166">
        <v>350</v>
      </c>
      <c r="G295">
        <v>350</v>
      </c>
    </row>
    <row r="296" spans="1:7" hidden="1">
      <c r="A296" t="s">
        <v>350</v>
      </c>
      <c r="B296" s="165">
        <v>41957</v>
      </c>
      <c r="C296" t="s">
        <v>357</v>
      </c>
      <c r="D296" t="s">
        <v>358</v>
      </c>
      <c r="E296">
        <v>1</v>
      </c>
      <c r="F296" s="166">
        <v>370</v>
      </c>
      <c r="G296">
        <v>370</v>
      </c>
    </row>
    <row r="297" spans="1:7" hidden="1">
      <c r="A297" t="s">
        <v>350</v>
      </c>
      <c r="B297" s="165">
        <v>41957</v>
      </c>
      <c r="C297" t="s">
        <v>357</v>
      </c>
      <c r="D297" t="s">
        <v>358</v>
      </c>
      <c r="E297">
        <v>7</v>
      </c>
      <c r="F297" s="166">
        <v>303.28571428571428</v>
      </c>
      <c r="G297">
        <v>2123</v>
      </c>
    </row>
    <row r="298" spans="1:7" hidden="1">
      <c r="A298" t="s">
        <v>350</v>
      </c>
      <c r="B298" s="165">
        <v>41963</v>
      </c>
      <c r="C298" t="s">
        <v>359</v>
      </c>
      <c r="D298" t="s">
        <v>360</v>
      </c>
      <c r="E298">
        <v>1</v>
      </c>
      <c r="F298" s="166">
        <v>385</v>
      </c>
      <c r="G298">
        <v>385</v>
      </c>
    </row>
    <row r="299" spans="1:7" hidden="1">
      <c r="A299" t="s">
        <v>350</v>
      </c>
      <c r="B299" s="165">
        <v>41963</v>
      </c>
      <c r="C299" t="s">
        <v>359</v>
      </c>
      <c r="D299" t="s">
        <v>360</v>
      </c>
      <c r="E299">
        <v>6</v>
      </c>
      <c r="F299" s="166">
        <v>485</v>
      </c>
      <c r="G299">
        <v>2910</v>
      </c>
    </row>
    <row r="300" spans="1:7" hidden="1">
      <c r="A300" t="s">
        <v>350</v>
      </c>
      <c r="B300" s="165">
        <v>41963</v>
      </c>
      <c r="C300" t="s">
        <v>359</v>
      </c>
      <c r="D300" t="s">
        <v>360</v>
      </c>
      <c r="E300">
        <v>5</v>
      </c>
      <c r="F300" s="166">
        <v>650</v>
      </c>
      <c r="G300">
        <v>3250</v>
      </c>
    </row>
    <row r="301" spans="1:7" hidden="1">
      <c r="A301" t="s">
        <v>350</v>
      </c>
      <c r="B301" s="165">
        <v>41963</v>
      </c>
      <c r="C301" t="s">
        <v>359</v>
      </c>
      <c r="D301" t="s">
        <v>360</v>
      </c>
      <c r="E301">
        <v>6</v>
      </c>
      <c r="F301" s="166">
        <v>1100</v>
      </c>
      <c r="G301">
        <v>6600</v>
      </c>
    </row>
    <row r="302" spans="1:7" hidden="1">
      <c r="A302" t="s">
        <v>350</v>
      </c>
      <c r="B302" s="165">
        <v>41963</v>
      </c>
      <c r="C302" t="s">
        <v>355</v>
      </c>
      <c r="D302" t="s">
        <v>356</v>
      </c>
      <c r="E302">
        <v>1</v>
      </c>
      <c r="F302" s="166">
        <v>500</v>
      </c>
      <c r="G302">
        <v>500</v>
      </c>
    </row>
    <row r="303" spans="1:7" hidden="1">
      <c r="A303" t="s">
        <v>350</v>
      </c>
      <c r="B303" s="165">
        <v>41963</v>
      </c>
      <c r="C303" t="s">
        <v>355</v>
      </c>
      <c r="D303" t="s">
        <v>356</v>
      </c>
      <c r="E303">
        <v>2</v>
      </c>
      <c r="F303" s="166">
        <v>650</v>
      </c>
      <c r="G303">
        <v>1300</v>
      </c>
    </row>
    <row r="304" spans="1:7" hidden="1">
      <c r="A304" t="s">
        <v>350</v>
      </c>
      <c r="B304" s="165">
        <v>41963</v>
      </c>
      <c r="C304" t="s">
        <v>355</v>
      </c>
      <c r="D304" t="s">
        <v>356</v>
      </c>
      <c r="E304">
        <v>6</v>
      </c>
      <c r="F304" s="166">
        <v>390</v>
      </c>
      <c r="G304">
        <v>2340</v>
      </c>
    </row>
    <row r="305" spans="1:7" hidden="1">
      <c r="A305" t="s">
        <v>350</v>
      </c>
      <c r="B305" s="165">
        <v>41963</v>
      </c>
      <c r="C305" t="s">
        <v>355</v>
      </c>
      <c r="D305" t="s">
        <v>356</v>
      </c>
      <c r="E305">
        <v>7</v>
      </c>
      <c r="F305" s="166">
        <v>482.71428571428572</v>
      </c>
      <c r="G305">
        <v>3379</v>
      </c>
    </row>
    <row r="306" spans="1:7" hidden="1">
      <c r="A306" t="s">
        <v>350</v>
      </c>
      <c r="B306" s="165">
        <v>41963</v>
      </c>
      <c r="C306" t="s">
        <v>355</v>
      </c>
      <c r="D306" t="s">
        <v>356</v>
      </c>
      <c r="E306">
        <v>16</v>
      </c>
      <c r="F306" s="166">
        <v>385</v>
      </c>
      <c r="G306">
        <v>6160</v>
      </c>
    </row>
    <row r="307" spans="1:7" hidden="1">
      <c r="A307" t="s">
        <v>350</v>
      </c>
      <c r="B307" s="165">
        <v>41963</v>
      </c>
      <c r="C307" t="s">
        <v>355</v>
      </c>
      <c r="D307" t="s">
        <v>356</v>
      </c>
      <c r="E307">
        <v>16</v>
      </c>
      <c r="F307" s="166">
        <v>466</v>
      </c>
      <c r="G307">
        <v>7456</v>
      </c>
    </row>
    <row r="308" spans="1:7" hidden="1">
      <c r="A308" t="s">
        <v>350</v>
      </c>
      <c r="B308" s="165">
        <v>41963</v>
      </c>
      <c r="C308" t="s">
        <v>353</v>
      </c>
      <c r="D308" t="s">
        <v>354</v>
      </c>
      <c r="E308">
        <v>4</v>
      </c>
      <c r="F308" s="166">
        <v>999</v>
      </c>
      <c r="G308">
        <v>3996</v>
      </c>
    </row>
    <row r="309" spans="1:7" hidden="1">
      <c r="A309" t="s">
        <v>350</v>
      </c>
      <c r="B309" s="165">
        <v>41963</v>
      </c>
      <c r="C309" t="s">
        <v>353</v>
      </c>
      <c r="D309" t="s">
        <v>354</v>
      </c>
      <c r="E309">
        <v>11</v>
      </c>
      <c r="F309" s="166">
        <v>390</v>
      </c>
      <c r="G309">
        <v>4290</v>
      </c>
    </row>
    <row r="310" spans="1:7" hidden="1">
      <c r="A310" t="s">
        <v>350</v>
      </c>
      <c r="B310" s="165">
        <v>41963</v>
      </c>
      <c r="C310" t="s">
        <v>353</v>
      </c>
      <c r="D310" t="s">
        <v>354</v>
      </c>
      <c r="E310">
        <v>62</v>
      </c>
      <c r="F310" s="166">
        <v>1250</v>
      </c>
      <c r="G310">
        <v>77500</v>
      </c>
    </row>
    <row r="311" spans="1:7" hidden="1">
      <c r="A311" t="s">
        <v>350</v>
      </c>
      <c r="B311" s="165">
        <v>41963</v>
      </c>
      <c r="C311" t="s">
        <v>357</v>
      </c>
      <c r="D311" t="s">
        <v>358</v>
      </c>
      <c r="E311">
        <v>1</v>
      </c>
      <c r="F311" s="166">
        <v>237</v>
      </c>
      <c r="G311">
        <v>237</v>
      </c>
    </row>
    <row r="312" spans="1:7" hidden="1">
      <c r="A312" t="s">
        <v>350</v>
      </c>
      <c r="B312" s="165">
        <v>41963</v>
      </c>
      <c r="C312" t="s">
        <v>357</v>
      </c>
      <c r="D312" t="s">
        <v>358</v>
      </c>
      <c r="E312">
        <v>7</v>
      </c>
      <c r="F312" s="166">
        <v>287</v>
      </c>
      <c r="G312">
        <v>2009</v>
      </c>
    </row>
    <row r="313" spans="1:7" hidden="1">
      <c r="A313" t="s">
        <v>350</v>
      </c>
      <c r="B313" s="165">
        <v>41963</v>
      </c>
      <c r="C313" t="s">
        <v>357</v>
      </c>
      <c r="D313" t="s">
        <v>358</v>
      </c>
      <c r="E313">
        <v>29</v>
      </c>
      <c r="F313" s="166">
        <v>155</v>
      </c>
      <c r="G313">
        <v>4495</v>
      </c>
    </row>
    <row r="314" spans="1:7" hidden="1">
      <c r="A314" t="s">
        <v>350</v>
      </c>
      <c r="B314" s="165">
        <v>41963</v>
      </c>
      <c r="C314" t="s">
        <v>351</v>
      </c>
      <c r="D314" t="s">
        <v>352</v>
      </c>
      <c r="E314">
        <v>1</v>
      </c>
      <c r="F314" s="166">
        <v>385</v>
      </c>
      <c r="G314">
        <v>385</v>
      </c>
    </row>
    <row r="315" spans="1:7" hidden="1">
      <c r="A315" t="s">
        <v>350</v>
      </c>
      <c r="B315" s="165">
        <v>41963</v>
      </c>
      <c r="C315" t="s">
        <v>351</v>
      </c>
      <c r="D315" t="s">
        <v>352</v>
      </c>
      <c r="E315">
        <v>2</v>
      </c>
      <c r="F315" s="166">
        <v>510</v>
      </c>
      <c r="G315">
        <v>1020</v>
      </c>
    </row>
    <row r="316" spans="1:7" hidden="1">
      <c r="A316" t="s">
        <v>350</v>
      </c>
      <c r="B316" s="165">
        <v>41963</v>
      </c>
      <c r="C316" t="s">
        <v>351</v>
      </c>
      <c r="D316" t="s">
        <v>352</v>
      </c>
      <c r="E316">
        <v>2</v>
      </c>
      <c r="F316" s="166">
        <v>552</v>
      </c>
      <c r="G316">
        <v>1104</v>
      </c>
    </row>
    <row r="317" spans="1:7" hidden="1">
      <c r="A317" t="s">
        <v>350</v>
      </c>
      <c r="B317" s="165">
        <v>41963</v>
      </c>
      <c r="C317" t="s">
        <v>351</v>
      </c>
      <c r="D317" t="s">
        <v>352</v>
      </c>
      <c r="E317">
        <v>5</v>
      </c>
      <c r="F317" s="166">
        <v>300</v>
      </c>
      <c r="G317">
        <v>1500</v>
      </c>
    </row>
    <row r="318" spans="1:7" hidden="1">
      <c r="A318" t="s">
        <v>350</v>
      </c>
      <c r="B318" s="165">
        <v>41963</v>
      </c>
      <c r="C318" t="s">
        <v>351</v>
      </c>
      <c r="D318" t="s">
        <v>352</v>
      </c>
      <c r="E318">
        <v>2</v>
      </c>
      <c r="F318" s="166">
        <v>916.5</v>
      </c>
      <c r="G318">
        <v>1833</v>
      </c>
    </row>
    <row r="319" spans="1:7" hidden="1">
      <c r="A319" t="s">
        <v>350</v>
      </c>
      <c r="B319" s="165">
        <v>41963</v>
      </c>
      <c r="C319" t="s">
        <v>351</v>
      </c>
      <c r="D319" t="s">
        <v>352</v>
      </c>
      <c r="E319">
        <v>16</v>
      </c>
      <c r="F319" s="166">
        <v>217.5</v>
      </c>
      <c r="G319">
        <v>3480</v>
      </c>
    </row>
    <row r="320" spans="1:7" hidden="1">
      <c r="A320" t="s">
        <v>350</v>
      </c>
      <c r="B320" s="165">
        <v>41963</v>
      </c>
      <c r="C320" t="s">
        <v>351</v>
      </c>
      <c r="D320" t="s">
        <v>352</v>
      </c>
      <c r="E320">
        <v>13</v>
      </c>
      <c r="F320" s="166">
        <v>366.69230769230768</v>
      </c>
      <c r="G320">
        <v>4767</v>
      </c>
    </row>
    <row r="321" spans="1:7" hidden="1">
      <c r="A321" t="s">
        <v>350</v>
      </c>
      <c r="B321" s="165">
        <v>41963</v>
      </c>
      <c r="C321" t="s">
        <v>351</v>
      </c>
      <c r="D321" t="s">
        <v>352</v>
      </c>
      <c r="E321">
        <v>11</v>
      </c>
      <c r="F321" s="166">
        <v>654.5454545454545</v>
      </c>
      <c r="G321">
        <v>7200</v>
      </c>
    </row>
    <row r="322" spans="1:7" hidden="1">
      <c r="A322" t="s">
        <v>350</v>
      </c>
      <c r="B322" s="165">
        <v>41963</v>
      </c>
      <c r="C322" t="s">
        <v>351</v>
      </c>
      <c r="D322" t="s">
        <v>352</v>
      </c>
      <c r="E322">
        <v>13</v>
      </c>
      <c r="F322" s="166">
        <v>714</v>
      </c>
      <c r="G322">
        <v>9282</v>
      </c>
    </row>
    <row r="323" spans="1:7" hidden="1">
      <c r="A323" t="s">
        <v>350</v>
      </c>
      <c r="B323" s="165">
        <v>41963</v>
      </c>
      <c r="C323" t="s">
        <v>351</v>
      </c>
      <c r="D323" t="s">
        <v>352</v>
      </c>
      <c r="E323">
        <v>17</v>
      </c>
      <c r="F323" s="166">
        <v>733.35294117647061</v>
      </c>
      <c r="G323">
        <v>12467</v>
      </c>
    </row>
    <row r="324" spans="1:7" hidden="1">
      <c r="A324" t="s">
        <v>350</v>
      </c>
      <c r="B324" s="165">
        <v>41971</v>
      </c>
      <c r="C324" t="s">
        <v>359</v>
      </c>
      <c r="D324" t="s">
        <v>360</v>
      </c>
      <c r="E324">
        <v>2</v>
      </c>
      <c r="F324" s="166">
        <v>448</v>
      </c>
      <c r="G324">
        <v>896</v>
      </c>
    </row>
    <row r="325" spans="1:7" hidden="1">
      <c r="A325" t="s">
        <v>350</v>
      </c>
      <c r="B325" s="165">
        <v>41971</v>
      </c>
      <c r="C325" t="s">
        <v>359</v>
      </c>
      <c r="D325" t="s">
        <v>360</v>
      </c>
      <c r="E325">
        <v>11</v>
      </c>
      <c r="F325" s="166">
        <v>680</v>
      </c>
      <c r="G325">
        <v>7480</v>
      </c>
    </row>
    <row r="326" spans="1:7" hidden="1">
      <c r="A326" t="s">
        <v>350</v>
      </c>
      <c r="B326" s="165">
        <v>41971</v>
      </c>
      <c r="C326" t="s">
        <v>357</v>
      </c>
      <c r="D326" t="s">
        <v>358</v>
      </c>
      <c r="E326">
        <v>1</v>
      </c>
      <c r="F326" s="166">
        <v>420</v>
      </c>
      <c r="G326">
        <v>420</v>
      </c>
    </row>
    <row r="327" spans="1:7" hidden="1">
      <c r="A327" t="s">
        <v>350</v>
      </c>
      <c r="B327" s="165">
        <v>41971</v>
      </c>
      <c r="C327" t="s">
        <v>357</v>
      </c>
      <c r="D327" t="s">
        <v>358</v>
      </c>
      <c r="E327">
        <v>5</v>
      </c>
      <c r="F327" s="166">
        <v>175</v>
      </c>
      <c r="G327">
        <v>875</v>
      </c>
    </row>
    <row r="328" spans="1:7" hidden="1">
      <c r="A328" t="s">
        <v>350</v>
      </c>
      <c r="B328" s="165">
        <v>41971</v>
      </c>
      <c r="C328" t="s">
        <v>351</v>
      </c>
      <c r="D328" t="s">
        <v>352</v>
      </c>
      <c r="E328">
        <v>1</v>
      </c>
      <c r="F328" s="166">
        <v>685</v>
      </c>
      <c r="G328">
        <v>685</v>
      </c>
    </row>
    <row r="329" spans="1:7" hidden="1">
      <c r="A329" t="s">
        <v>350</v>
      </c>
      <c r="B329" s="165">
        <v>41971</v>
      </c>
      <c r="C329" t="s">
        <v>351</v>
      </c>
      <c r="D329" t="s">
        <v>352</v>
      </c>
      <c r="E329">
        <v>8</v>
      </c>
      <c r="F329" s="166">
        <v>306</v>
      </c>
      <c r="G329">
        <v>2448</v>
      </c>
    </row>
    <row r="330" spans="1:7" hidden="1">
      <c r="A330" t="s">
        <v>350</v>
      </c>
      <c r="B330" s="165">
        <v>41971</v>
      </c>
      <c r="C330" t="s">
        <v>351</v>
      </c>
      <c r="D330" t="s">
        <v>352</v>
      </c>
      <c r="E330">
        <v>9</v>
      </c>
      <c r="F330" s="166">
        <v>448</v>
      </c>
      <c r="G330">
        <v>4032</v>
      </c>
    </row>
    <row r="331" spans="1:7" hidden="1">
      <c r="A331" t="s">
        <v>350</v>
      </c>
      <c r="B331" s="165">
        <v>41977</v>
      </c>
      <c r="C331" t="s">
        <v>355</v>
      </c>
      <c r="D331" t="s">
        <v>356</v>
      </c>
      <c r="E331">
        <v>9</v>
      </c>
      <c r="F331" s="166">
        <v>1144.4444444444443</v>
      </c>
      <c r="G331">
        <v>10300</v>
      </c>
    </row>
    <row r="332" spans="1:7" hidden="1">
      <c r="A332" t="s">
        <v>350</v>
      </c>
      <c r="B332" s="165">
        <v>41977</v>
      </c>
      <c r="C332" t="s">
        <v>353</v>
      </c>
      <c r="D332" t="s">
        <v>354</v>
      </c>
      <c r="E332">
        <v>9</v>
      </c>
      <c r="F332" s="166">
        <v>794.55555555555554</v>
      </c>
      <c r="G332">
        <v>7151</v>
      </c>
    </row>
    <row r="333" spans="1:7">
      <c r="A333" t="s">
        <v>350</v>
      </c>
      <c r="B333" s="165">
        <v>41977</v>
      </c>
      <c r="C333" t="s">
        <v>361</v>
      </c>
      <c r="D333" t="s">
        <v>362</v>
      </c>
      <c r="E333">
        <v>5</v>
      </c>
      <c r="F333" s="166">
        <v>975</v>
      </c>
      <c r="G333">
        <v>4875</v>
      </c>
    </row>
    <row r="334" spans="1:7" hidden="1">
      <c r="A334" t="s">
        <v>350</v>
      </c>
      <c r="B334" s="165">
        <v>41977</v>
      </c>
      <c r="C334" t="s">
        <v>357</v>
      </c>
      <c r="D334" t="s">
        <v>358</v>
      </c>
      <c r="E334">
        <v>2</v>
      </c>
      <c r="F334" s="166">
        <v>132.5</v>
      </c>
      <c r="G334">
        <v>265</v>
      </c>
    </row>
    <row r="335" spans="1:7" hidden="1">
      <c r="A335" t="s">
        <v>350</v>
      </c>
      <c r="B335" s="165">
        <v>41977</v>
      </c>
      <c r="C335" t="s">
        <v>357</v>
      </c>
      <c r="D335" t="s">
        <v>358</v>
      </c>
      <c r="E335">
        <v>4</v>
      </c>
      <c r="F335" s="166">
        <v>375</v>
      </c>
      <c r="G335">
        <v>1500</v>
      </c>
    </row>
    <row r="336" spans="1:7" hidden="1">
      <c r="A336" t="s">
        <v>350</v>
      </c>
      <c r="B336" s="165">
        <v>41977</v>
      </c>
      <c r="C336" t="s">
        <v>357</v>
      </c>
      <c r="D336" t="s">
        <v>358</v>
      </c>
      <c r="E336">
        <v>6</v>
      </c>
      <c r="F336" s="166">
        <v>400.16666666666669</v>
      </c>
      <c r="G336">
        <v>2401</v>
      </c>
    </row>
    <row r="337" spans="1:7" hidden="1">
      <c r="A337" t="s">
        <v>350</v>
      </c>
      <c r="B337" s="165">
        <v>41977</v>
      </c>
      <c r="C337" t="s">
        <v>351</v>
      </c>
      <c r="D337" t="s">
        <v>352</v>
      </c>
      <c r="E337">
        <v>4</v>
      </c>
      <c r="F337" s="166">
        <v>296</v>
      </c>
      <c r="G337">
        <v>1184</v>
      </c>
    </row>
    <row r="338" spans="1:7" hidden="1">
      <c r="A338" t="s">
        <v>350</v>
      </c>
      <c r="B338" s="165">
        <v>41977</v>
      </c>
      <c r="C338" t="s">
        <v>351</v>
      </c>
      <c r="D338" t="s">
        <v>352</v>
      </c>
      <c r="E338">
        <v>14</v>
      </c>
      <c r="F338" s="166">
        <v>450</v>
      </c>
      <c r="G338">
        <v>6300</v>
      </c>
    </row>
    <row r="339" spans="1:7" hidden="1">
      <c r="A339" t="s">
        <v>350</v>
      </c>
      <c r="B339" s="165">
        <v>41984</v>
      </c>
      <c r="C339" t="s">
        <v>357</v>
      </c>
      <c r="D339" t="s">
        <v>358</v>
      </c>
      <c r="E339">
        <v>3</v>
      </c>
      <c r="F339" s="166">
        <v>176.33333333333334</v>
      </c>
      <c r="G339">
        <v>529</v>
      </c>
    </row>
    <row r="340" spans="1:7" hidden="1">
      <c r="A340" t="s">
        <v>350</v>
      </c>
      <c r="B340" s="165">
        <v>41984</v>
      </c>
      <c r="C340" t="s">
        <v>357</v>
      </c>
      <c r="D340" t="s">
        <v>358</v>
      </c>
      <c r="E340">
        <v>4</v>
      </c>
      <c r="F340" s="166">
        <v>238.75</v>
      </c>
      <c r="G340">
        <v>955</v>
      </c>
    </row>
    <row r="341" spans="1:7" hidden="1">
      <c r="A341" t="s">
        <v>350</v>
      </c>
      <c r="B341" s="165">
        <v>41984</v>
      </c>
      <c r="C341" t="s">
        <v>351</v>
      </c>
      <c r="D341" t="s">
        <v>352</v>
      </c>
      <c r="E341">
        <v>4</v>
      </c>
      <c r="F341" s="166">
        <v>675</v>
      </c>
      <c r="G341">
        <v>2700</v>
      </c>
    </row>
    <row r="342" spans="1:7" hidden="1">
      <c r="A342" t="s">
        <v>350</v>
      </c>
      <c r="B342" s="165">
        <v>41984</v>
      </c>
      <c r="C342" t="s">
        <v>351</v>
      </c>
      <c r="D342" t="s">
        <v>352</v>
      </c>
      <c r="E342">
        <v>6</v>
      </c>
      <c r="F342" s="166">
        <v>630</v>
      </c>
      <c r="G342">
        <v>3780</v>
      </c>
    </row>
    <row r="343" spans="1:7" hidden="1">
      <c r="A343" t="s">
        <v>350</v>
      </c>
      <c r="B343" s="165">
        <v>41991</v>
      </c>
      <c r="C343" t="s">
        <v>359</v>
      </c>
      <c r="D343" t="s">
        <v>360</v>
      </c>
      <c r="E343">
        <v>7</v>
      </c>
      <c r="F343" s="166">
        <v>575</v>
      </c>
      <c r="G343">
        <v>4025</v>
      </c>
    </row>
    <row r="344" spans="1:7" hidden="1">
      <c r="A344" t="s">
        <v>350</v>
      </c>
      <c r="B344" s="165">
        <v>41991</v>
      </c>
      <c r="C344" t="s">
        <v>359</v>
      </c>
      <c r="D344" t="s">
        <v>360</v>
      </c>
      <c r="E344">
        <v>4</v>
      </c>
      <c r="F344" s="166">
        <v>1730</v>
      </c>
      <c r="G344">
        <v>6920</v>
      </c>
    </row>
    <row r="345" spans="1:7" hidden="1">
      <c r="A345" t="s">
        <v>350</v>
      </c>
      <c r="B345" s="165">
        <v>41991</v>
      </c>
      <c r="C345" t="s">
        <v>355</v>
      </c>
      <c r="D345" t="s">
        <v>356</v>
      </c>
      <c r="E345">
        <v>3</v>
      </c>
      <c r="F345" s="166">
        <v>815</v>
      </c>
      <c r="G345">
        <v>2445</v>
      </c>
    </row>
    <row r="346" spans="1:7" hidden="1">
      <c r="A346" t="s">
        <v>350</v>
      </c>
      <c r="B346" s="165">
        <v>41991</v>
      </c>
      <c r="C346" t="s">
        <v>355</v>
      </c>
      <c r="D346" t="s">
        <v>356</v>
      </c>
      <c r="E346">
        <v>6</v>
      </c>
      <c r="F346" s="166">
        <v>839.16666666666663</v>
      </c>
      <c r="G346">
        <v>5035</v>
      </c>
    </row>
    <row r="347" spans="1:7" hidden="1">
      <c r="A347" t="s">
        <v>350</v>
      </c>
      <c r="B347" s="165">
        <v>41991</v>
      </c>
      <c r="C347" t="s">
        <v>353</v>
      </c>
      <c r="D347" t="s">
        <v>354</v>
      </c>
      <c r="E347">
        <v>2</v>
      </c>
      <c r="F347" s="166">
        <v>575</v>
      </c>
      <c r="G347">
        <v>1150</v>
      </c>
    </row>
    <row r="348" spans="1:7" hidden="1">
      <c r="A348" t="s">
        <v>350</v>
      </c>
      <c r="B348" s="165">
        <v>41991</v>
      </c>
      <c r="C348" t="s">
        <v>357</v>
      </c>
      <c r="D348" t="s">
        <v>358</v>
      </c>
      <c r="E348">
        <v>3</v>
      </c>
      <c r="F348" s="166">
        <v>275.33333333333331</v>
      </c>
      <c r="G348">
        <v>826</v>
      </c>
    </row>
    <row r="349" spans="1:7" hidden="1">
      <c r="A349" t="s">
        <v>350</v>
      </c>
      <c r="B349" s="165">
        <v>41991</v>
      </c>
      <c r="C349" t="s">
        <v>351</v>
      </c>
      <c r="D349" t="s">
        <v>352</v>
      </c>
      <c r="E349">
        <v>4</v>
      </c>
      <c r="F349" s="166">
        <v>1460.5</v>
      </c>
      <c r="G349">
        <v>5842</v>
      </c>
    </row>
    <row r="350" spans="1:7" hidden="1">
      <c r="A350" t="s">
        <v>350</v>
      </c>
      <c r="B350" s="165">
        <v>41991</v>
      </c>
      <c r="C350" t="s">
        <v>351</v>
      </c>
      <c r="D350" t="s">
        <v>352</v>
      </c>
      <c r="E350">
        <v>31</v>
      </c>
      <c r="F350" s="166">
        <v>321.25806451612902</v>
      </c>
      <c r="G350">
        <v>9959</v>
      </c>
    </row>
    <row r="351" spans="1:7" hidden="1">
      <c r="A351" t="s">
        <v>350</v>
      </c>
      <c r="B351" s="165">
        <v>41991</v>
      </c>
      <c r="C351" t="s">
        <v>351</v>
      </c>
      <c r="D351" t="s">
        <v>352</v>
      </c>
      <c r="E351">
        <v>18</v>
      </c>
      <c r="F351" s="166">
        <v>613.22222222222217</v>
      </c>
      <c r="G351">
        <v>11038</v>
      </c>
    </row>
    <row r="352" spans="1:7" hidden="1">
      <c r="A352" t="s">
        <v>350</v>
      </c>
      <c r="B352" s="165">
        <v>41991</v>
      </c>
      <c r="C352" t="s">
        <v>351</v>
      </c>
      <c r="D352" t="s">
        <v>352</v>
      </c>
      <c r="E352">
        <v>37</v>
      </c>
      <c r="F352" s="166">
        <v>300</v>
      </c>
      <c r="G352">
        <v>11100</v>
      </c>
    </row>
    <row r="353" spans="1:7" hidden="1">
      <c r="A353" t="s">
        <v>350</v>
      </c>
      <c r="B353" s="165">
        <v>41999</v>
      </c>
      <c r="C353" t="s">
        <v>359</v>
      </c>
      <c r="D353" t="s">
        <v>360</v>
      </c>
      <c r="E353">
        <v>1</v>
      </c>
      <c r="F353" s="166">
        <v>537</v>
      </c>
      <c r="G353">
        <v>537</v>
      </c>
    </row>
    <row r="354" spans="1:7" hidden="1">
      <c r="A354" t="s">
        <v>350</v>
      </c>
      <c r="B354" s="165">
        <v>41999</v>
      </c>
      <c r="C354" t="s">
        <v>359</v>
      </c>
      <c r="D354" t="s">
        <v>360</v>
      </c>
      <c r="E354">
        <v>1</v>
      </c>
      <c r="F354" s="166">
        <v>724</v>
      </c>
      <c r="G354">
        <v>724</v>
      </c>
    </row>
    <row r="355" spans="1:7" hidden="1">
      <c r="A355" t="s">
        <v>350</v>
      </c>
      <c r="B355" s="165">
        <v>41999</v>
      </c>
      <c r="C355" t="s">
        <v>359</v>
      </c>
      <c r="D355" t="s">
        <v>360</v>
      </c>
      <c r="E355">
        <v>3</v>
      </c>
      <c r="F355" s="166">
        <v>418.33333333333331</v>
      </c>
      <c r="G355">
        <v>1255</v>
      </c>
    </row>
    <row r="356" spans="1:7" hidden="1">
      <c r="A356" t="s">
        <v>350</v>
      </c>
      <c r="B356" s="165">
        <v>41999</v>
      </c>
      <c r="C356" t="s">
        <v>355</v>
      </c>
      <c r="D356" t="s">
        <v>356</v>
      </c>
      <c r="E356">
        <v>3</v>
      </c>
      <c r="F356" s="166">
        <v>700</v>
      </c>
      <c r="G356">
        <v>2100</v>
      </c>
    </row>
    <row r="357" spans="1:7" hidden="1">
      <c r="A357" t="s">
        <v>350</v>
      </c>
      <c r="B357" s="165">
        <v>41999</v>
      </c>
      <c r="C357" t="s">
        <v>355</v>
      </c>
      <c r="D357" t="s">
        <v>356</v>
      </c>
      <c r="E357">
        <v>4</v>
      </c>
      <c r="F357" s="166">
        <v>642</v>
      </c>
      <c r="G357">
        <v>2568</v>
      </c>
    </row>
    <row r="358" spans="1:7" hidden="1">
      <c r="A358" t="s">
        <v>350</v>
      </c>
      <c r="B358" s="165">
        <v>41999</v>
      </c>
      <c r="C358" t="s">
        <v>355</v>
      </c>
      <c r="D358" t="s">
        <v>356</v>
      </c>
      <c r="E358">
        <v>6</v>
      </c>
      <c r="F358" s="166">
        <v>528</v>
      </c>
      <c r="G358">
        <v>3168</v>
      </c>
    </row>
    <row r="359" spans="1:7" hidden="1">
      <c r="A359" t="s">
        <v>350</v>
      </c>
      <c r="B359" s="165">
        <v>41999</v>
      </c>
      <c r="C359" t="s">
        <v>355</v>
      </c>
      <c r="D359" t="s">
        <v>356</v>
      </c>
      <c r="E359">
        <v>13</v>
      </c>
      <c r="F359" s="166">
        <v>666.46153846153845</v>
      </c>
      <c r="G359">
        <v>8664</v>
      </c>
    </row>
    <row r="360" spans="1:7" hidden="1">
      <c r="A360" t="s">
        <v>350</v>
      </c>
      <c r="B360" s="165">
        <v>41999</v>
      </c>
      <c r="C360" t="s">
        <v>357</v>
      </c>
      <c r="D360" t="s">
        <v>358</v>
      </c>
      <c r="E360">
        <v>2</v>
      </c>
      <c r="F360" s="166">
        <v>585</v>
      </c>
      <c r="G360">
        <v>1170</v>
      </c>
    </row>
    <row r="361" spans="1:7" hidden="1">
      <c r="A361" t="s">
        <v>350</v>
      </c>
      <c r="B361" s="165">
        <v>41999</v>
      </c>
      <c r="C361" t="s">
        <v>357</v>
      </c>
      <c r="D361" t="s">
        <v>358</v>
      </c>
      <c r="E361">
        <v>15</v>
      </c>
      <c r="F361" s="166">
        <v>304.39999999999998</v>
      </c>
      <c r="G361">
        <v>4566</v>
      </c>
    </row>
    <row r="362" spans="1:7" hidden="1">
      <c r="A362" t="s">
        <v>350</v>
      </c>
      <c r="B362" s="165">
        <v>41999</v>
      </c>
      <c r="C362" t="s">
        <v>357</v>
      </c>
      <c r="D362" t="s">
        <v>358</v>
      </c>
      <c r="E362">
        <v>43</v>
      </c>
      <c r="F362" s="166">
        <v>154</v>
      </c>
      <c r="G362">
        <v>6622</v>
      </c>
    </row>
    <row r="363" spans="1:7" hidden="1">
      <c r="A363" t="s">
        <v>350</v>
      </c>
      <c r="B363" s="165">
        <v>41999</v>
      </c>
      <c r="C363" t="s">
        <v>357</v>
      </c>
      <c r="D363" t="s">
        <v>358</v>
      </c>
      <c r="E363">
        <v>18</v>
      </c>
      <c r="F363" s="166">
        <v>389.27777777777777</v>
      </c>
      <c r="G363">
        <v>7007</v>
      </c>
    </row>
    <row r="364" spans="1:7" hidden="1">
      <c r="A364" t="s">
        <v>350</v>
      </c>
      <c r="B364" s="165">
        <v>41999</v>
      </c>
      <c r="C364" t="s">
        <v>351</v>
      </c>
      <c r="D364" t="s">
        <v>352</v>
      </c>
      <c r="E364">
        <v>2</v>
      </c>
      <c r="F364" s="166">
        <v>357</v>
      </c>
      <c r="G364">
        <v>714</v>
      </c>
    </row>
    <row r="365" spans="1:7" hidden="1">
      <c r="A365" t="s">
        <v>350</v>
      </c>
      <c r="B365" s="165">
        <v>41999</v>
      </c>
      <c r="C365" t="s">
        <v>351</v>
      </c>
      <c r="D365" t="s">
        <v>352</v>
      </c>
      <c r="E365">
        <v>4</v>
      </c>
      <c r="F365" s="166">
        <v>270</v>
      </c>
      <c r="G365">
        <v>1080</v>
      </c>
    </row>
    <row r="366" spans="1:7" hidden="1">
      <c r="A366" t="s">
        <v>350</v>
      </c>
      <c r="B366" s="165">
        <v>41999</v>
      </c>
      <c r="C366" t="s">
        <v>351</v>
      </c>
      <c r="D366" t="s">
        <v>352</v>
      </c>
      <c r="E366">
        <v>23</v>
      </c>
      <c r="F366" s="166">
        <v>532.52173913043475</v>
      </c>
      <c r="G366">
        <v>12248</v>
      </c>
    </row>
    <row r="367" spans="1:7" hidden="1">
      <c r="A367" t="s">
        <v>350</v>
      </c>
      <c r="B367" s="165">
        <v>41999</v>
      </c>
      <c r="C367" t="s">
        <v>351</v>
      </c>
      <c r="D367" t="s">
        <v>352</v>
      </c>
      <c r="E367">
        <v>39</v>
      </c>
      <c r="F367" s="166">
        <v>381.89743589743591</v>
      </c>
      <c r="G367">
        <v>14894</v>
      </c>
    </row>
    <row r="368" spans="1:7" hidden="1">
      <c r="A368" t="s">
        <v>350</v>
      </c>
      <c r="B368" s="165">
        <v>42004</v>
      </c>
      <c r="C368" t="s">
        <v>359</v>
      </c>
      <c r="D368" t="s">
        <v>360</v>
      </c>
      <c r="E368">
        <v>2</v>
      </c>
      <c r="F368" s="166">
        <v>537</v>
      </c>
      <c r="G368">
        <v>1074</v>
      </c>
    </row>
    <row r="369" spans="1:7" hidden="1">
      <c r="A369" t="s">
        <v>350</v>
      </c>
      <c r="B369" s="165">
        <v>42004</v>
      </c>
      <c r="C369" t="s">
        <v>359</v>
      </c>
      <c r="D369" t="s">
        <v>360</v>
      </c>
      <c r="E369">
        <v>4</v>
      </c>
      <c r="F369" s="166">
        <v>1190</v>
      </c>
      <c r="G369">
        <v>4760</v>
      </c>
    </row>
    <row r="370" spans="1:7" hidden="1">
      <c r="A370" t="s">
        <v>350</v>
      </c>
      <c r="B370" s="165">
        <v>42004</v>
      </c>
      <c r="C370" t="s">
        <v>359</v>
      </c>
      <c r="D370" t="s">
        <v>360</v>
      </c>
      <c r="E370">
        <v>16</v>
      </c>
      <c r="F370" s="166">
        <v>485</v>
      </c>
      <c r="G370">
        <v>7760</v>
      </c>
    </row>
    <row r="371" spans="1:7" hidden="1">
      <c r="A371" t="s">
        <v>350</v>
      </c>
      <c r="B371" s="165">
        <v>42004</v>
      </c>
      <c r="C371" t="s">
        <v>359</v>
      </c>
      <c r="D371" t="s">
        <v>360</v>
      </c>
      <c r="E371">
        <v>14</v>
      </c>
      <c r="F371" s="166">
        <v>750.21428571428567</v>
      </c>
      <c r="G371">
        <v>10503</v>
      </c>
    </row>
    <row r="372" spans="1:7" hidden="1">
      <c r="A372" t="s">
        <v>350</v>
      </c>
      <c r="B372" s="165">
        <v>42004</v>
      </c>
      <c r="C372" t="s">
        <v>355</v>
      </c>
      <c r="D372" t="s">
        <v>356</v>
      </c>
      <c r="E372">
        <v>2</v>
      </c>
      <c r="F372" s="166">
        <v>596</v>
      </c>
      <c r="G372">
        <v>1192</v>
      </c>
    </row>
    <row r="373" spans="1:7" hidden="1">
      <c r="A373" t="s">
        <v>350</v>
      </c>
      <c r="B373" s="165">
        <v>42004</v>
      </c>
      <c r="C373" t="s">
        <v>355</v>
      </c>
      <c r="D373" t="s">
        <v>356</v>
      </c>
      <c r="E373">
        <v>3</v>
      </c>
      <c r="F373" s="166">
        <v>798</v>
      </c>
      <c r="G373">
        <v>2394</v>
      </c>
    </row>
    <row r="374" spans="1:7" hidden="1">
      <c r="A374" t="s">
        <v>350</v>
      </c>
      <c r="B374" s="165">
        <v>42004</v>
      </c>
      <c r="C374" t="s">
        <v>355</v>
      </c>
      <c r="D374" t="s">
        <v>356</v>
      </c>
      <c r="E374">
        <v>4</v>
      </c>
      <c r="F374" s="166">
        <v>910</v>
      </c>
      <c r="G374">
        <v>3640</v>
      </c>
    </row>
    <row r="375" spans="1:7" hidden="1">
      <c r="A375" t="s">
        <v>350</v>
      </c>
      <c r="B375" s="165">
        <v>42004</v>
      </c>
      <c r="C375" t="s">
        <v>355</v>
      </c>
      <c r="D375" t="s">
        <v>356</v>
      </c>
      <c r="E375">
        <v>6</v>
      </c>
      <c r="F375" s="166">
        <v>620</v>
      </c>
      <c r="G375">
        <v>3720</v>
      </c>
    </row>
    <row r="376" spans="1:7" hidden="1">
      <c r="A376" t="s">
        <v>350</v>
      </c>
      <c r="B376" s="165">
        <v>42004</v>
      </c>
      <c r="C376" t="s">
        <v>355</v>
      </c>
      <c r="D376" t="s">
        <v>356</v>
      </c>
      <c r="E376">
        <v>9</v>
      </c>
      <c r="F376" s="166">
        <v>486</v>
      </c>
      <c r="G376">
        <v>4374</v>
      </c>
    </row>
    <row r="377" spans="1:7" hidden="1">
      <c r="A377" t="s">
        <v>350</v>
      </c>
      <c r="B377" s="165">
        <v>42004</v>
      </c>
      <c r="C377" t="s">
        <v>355</v>
      </c>
      <c r="D377" t="s">
        <v>356</v>
      </c>
      <c r="E377">
        <v>5</v>
      </c>
      <c r="F377" s="166">
        <v>1200</v>
      </c>
      <c r="G377">
        <v>6000</v>
      </c>
    </row>
    <row r="378" spans="1:7" hidden="1">
      <c r="A378" t="s">
        <v>350</v>
      </c>
      <c r="B378" s="165">
        <v>42004</v>
      </c>
      <c r="C378" t="s">
        <v>355</v>
      </c>
      <c r="D378" t="s">
        <v>356</v>
      </c>
      <c r="E378">
        <v>7</v>
      </c>
      <c r="F378" s="166">
        <v>865</v>
      </c>
      <c r="G378">
        <v>6055</v>
      </c>
    </row>
    <row r="379" spans="1:7" hidden="1">
      <c r="A379" t="s">
        <v>350</v>
      </c>
      <c r="B379" s="165">
        <v>42004</v>
      </c>
      <c r="C379" t="s">
        <v>355</v>
      </c>
      <c r="D379" t="s">
        <v>356</v>
      </c>
      <c r="E379">
        <v>4</v>
      </c>
      <c r="F379" s="166">
        <v>1547</v>
      </c>
      <c r="G379">
        <v>6188</v>
      </c>
    </row>
    <row r="380" spans="1:7" hidden="1">
      <c r="A380" t="s">
        <v>350</v>
      </c>
      <c r="B380" s="165">
        <v>42004</v>
      </c>
      <c r="C380" t="s">
        <v>355</v>
      </c>
      <c r="D380" t="s">
        <v>356</v>
      </c>
      <c r="E380">
        <v>7</v>
      </c>
      <c r="F380" s="166">
        <v>995.71428571428567</v>
      </c>
      <c r="G380">
        <v>6970</v>
      </c>
    </row>
    <row r="381" spans="1:7" hidden="1">
      <c r="A381" t="s">
        <v>350</v>
      </c>
      <c r="B381" s="165">
        <v>42004</v>
      </c>
      <c r="C381" t="s">
        <v>355</v>
      </c>
      <c r="D381" t="s">
        <v>356</v>
      </c>
      <c r="E381">
        <v>9</v>
      </c>
      <c r="F381" s="166">
        <v>989</v>
      </c>
      <c r="G381">
        <v>8901</v>
      </c>
    </row>
    <row r="382" spans="1:7" hidden="1">
      <c r="A382" t="s">
        <v>350</v>
      </c>
      <c r="B382" s="165">
        <v>42004</v>
      </c>
      <c r="C382" t="s">
        <v>355</v>
      </c>
      <c r="D382" t="s">
        <v>356</v>
      </c>
      <c r="E382">
        <v>24</v>
      </c>
      <c r="F382" s="166">
        <v>995</v>
      </c>
      <c r="G382">
        <v>23880</v>
      </c>
    </row>
    <row r="383" spans="1:7" hidden="1">
      <c r="A383" t="s">
        <v>350</v>
      </c>
      <c r="B383" s="165">
        <v>42004</v>
      </c>
      <c r="C383" t="s">
        <v>355</v>
      </c>
      <c r="D383" t="s">
        <v>356</v>
      </c>
      <c r="E383">
        <v>19</v>
      </c>
      <c r="F383" s="166">
        <v>1376.578947368421</v>
      </c>
      <c r="G383">
        <v>26155</v>
      </c>
    </row>
    <row r="384" spans="1:7" hidden="1">
      <c r="A384" t="s">
        <v>350</v>
      </c>
      <c r="B384" s="165">
        <v>42004</v>
      </c>
      <c r="C384" t="s">
        <v>355</v>
      </c>
      <c r="D384" t="s">
        <v>356</v>
      </c>
      <c r="E384">
        <v>93</v>
      </c>
      <c r="F384" s="166">
        <v>520</v>
      </c>
      <c r="G384">
        <v>48360</v>
      </c>
    </row>
    <row r="385" spans="1:7" hidden="1">
      <c r="A385" t="s">
        <v>350</v>
      </c>
      <c r="B385" s="165">
        <v>42004</v>
      </c>
      <c r="C385" t="s">
        <v>353</v>
      </c>
      <c r="D385" t="s">
        <v>354</v>
      </c>
      <c r="E385">
        <v>42</v>
      </c>
      <c r="F385" s="166">
        <v>1085</v>
      </c>
      <c r="G385">
        <v>45570</v>
      </c>
    </row>
    <row r="386" spans="1:7" hidden="1">
      <c r="A386" t="s">
        <v>350</v>
      </c>
      <c r="B386" s="165">
        <v>42004</v>
      </c>
      <c r="C386" t="s">
        <v>353</v>
      </c>
      <c r="D386" t="s">
        <v>354</v>
      </c>
      <c r="E386">
        <v>55</v>
      </c>
      <c r="F386" s="166">
        <v>1192.090909090909</v>
      </c>
      <c r="G386">
        <v>65565</v>
      </c>
    </row>
    <row r="387" spans="1:7" hidden="1">
      <c r="A387" t="s">
        <v>350</v>
      </c>
      <c r="B387" s="165">
        <v>42004</v>
      </c>
      <c r="C387" t="s">
        <v>353</v>
      </c>
      <c r="D387" t="s">
        <v>354</v>
      </c>
      <c r="E387">
        <v>81</v>
      </c>
      <c r="F387" s="166">
        <v>1200</v>
      </c>
      <c r="G387">
        <v>97200</v>
      </c>
    </row>
    <row r="388" spans="1:7">
      <c r="A388" t="s">
        <v>350</v>
      </c>
      <c r="B388" s="165">
        <v>42004</v>
      </c>
      <c r="C388" t="s">
        <v>361</v>
      </c>
      <c r="D388" t="s">
        <v>362</v>
      </c>
      <c r="E388">
        <v>8</v>
      </c>
      <c r="F388" s="166">
        <v>1502</v>
      </c>
      <c r="G388">
        <v>12016</v>
      </c>
    </row>
    <row r="389" spans="1:7">
      <c r="A389" t="s">
        <v>350</v>
      </c>
      <c r="B389" s="165">
        <v>42004</v>
      </c>
      <c r="C389" t="s">
        <v>361</v>
      </c>
      <c r="D389" t="s">
        <v>362</v>
      </c>
      <c r="E389">
        <v>23</v>
      </c>
      <c r="F389" s="166">
        <v>1502</v>
      </c>
      <c r="G389">
        <v>34546</v>
      </c>
    </row>
    <row r="390" spans="1:7" hidden="1">
      <c r="A390" t="s">
        <v>350</v>
      </c>
      <c r="B390" s="165">
        <v>42004</v>
      </c>
      <c r="C390" t="s">
        <v>357</v>
      </c>
      <c r="D390" t="s">
        <v>358</v>
      </c>
      <c r="E390">
        <v>2</v>
      </c>
      <c r="F390" s="166">
        <v>385</v>
      </c>
      <c r="G390">
        <v>770</v>
      </c>
    </row>
    <row r="391" spans="1:7" hidden="1">
      <c r="A391" t="s">
        <v>350</v>
      </c>
      <c r="B391" s="165">
        <v>42004</v>
      </c>
      <c r="C391" t="s">
        <v>357</v>
      </c>
      <c r="D391" t="s">
        <v>358</v>
      </c>
      <c r="E391">
        <v>4</v>
      </c>
      <c r="F391" s="166">
        <v>250</v>
      </c>
      <c r="G391">
        <v>1000</v>
      </c>
    </row>
    <row r="392" spans="1:7" hidden="1">
      <c r="A392" t="s">
        <v>350</v>
      </c>
      <c r="B392" s="165">
        <v>42004</v>
      </c>
      <c r="C392" t="s">
        <v>357</v>
      </c>
      <c r="D392" t="s">
        <v>358</v>
      </c>
      <c r="E392">
        <v>4</v>
      </c>
      <c r="F392" s="166">
        <v>264.75</v>
      </c>
      <c r="G392">
        <v>1059</v>
      </c>
    </row>
    <row r="393" spans="1:7" hidden="1">
      <c r="A393" t="s">
        <v>350</v>
      </c>
      <c r="B393" s="165">
        <v>42004</v>
      </c>
      <c r="C393" t="s">
        <v>351</v>
      </c>
      <c r="D393" t="s">
        <v>352</v>
      </c>
      <c r="E393">
        <v>1</v>
      </c>
      <c r="F393" s="166">
        <v>250</v>
      </c>
      <c r="G393">
        <v>250</v>
      </c>
    </row>
    <row r="394" spans="1:7" hidden="1">
      <c r="A394" t="s">
        <v>350</v>
      </c>
      <c r="B394" s="165">
        <v>42004</v>
      </c>
      <c r="C394" t="s">
        <v>351</v>
      </c>
      <c r="D394" t="s">
        <v>352</v>
      </c>
      <c r="E394">
        <v>2</v>
      </c>
      <c r="F394" s="166">
        <v>257</v>
      </c>
      <c r="G394">
        <v>514</v>
      </c>
    </row>
    <row r="395" spans="1:7" hidden="1">
      <c r="A395" t="s">
        <v>350</v>
      </c>
      <c r="B395" s="165">
        <v>42004</v>
      </c>
      <c r="C395" t="s">
        <v>351</v>
      </c>
      <c r="D395" t="s">
        <v>352</v>
      </c>
      <c r="E395">
        <v>1</v>
      </c>
      <c r="F395" s="166">
        <v>550</v>
      </c>
      <c r="G395">
        <v>550</v>
      </c>
    </row>
    <row r="396" spans="1:7" hidden="1">
      <c r="A396" t="s">
        <v>350</v>
      </c>
      <c r="B396" s="165">
        <v>42004</v>
      </c>
      <c r="C396" t="s">
        <v>351</v>
      </c>
      <c r="D396" t="s">
        <v>352</v>
      </c>
      <c r="E396">
        <v>2</v>
      </c>
      <c r="F396" s="166">
        <v>396</v>
      </c>
      <c r="G396">
        <v>792</v>
      </c>
    </row>
    <row r="397" spans="1:7" hidden="1">
      <c r="A397" t="s">
        <v>350</v>
      </c>
      <c r="B397" s="165">
        <v>42004</v>
      </c>
      <c r="C397" t="s">
        <v>351</v>
      </c>
      <c r="D397" t="s">
        <v>352</v>
      </c>
      <c r="E397">
        <v>1</v>
      </c>
      <c r="F397" s="166">
        <v>865</v>
      </c>
      <c r="G397">
        <v>865</v>
      </c>
    </row>
    <row r="398" spans="1:7" hidden="1">
      <c r="A398" t="s">
        <v>350</v>
      </c>
      <c r="B398" s="165">
        <v>42004</v>
      </c>
      <c r="C398" t="s">
        <v>351</v>
      </c>
      <c r="D398" t="s">
        <v>352</v>
      </c>
      <c r="E398">
        <v>1</v>
      </c>
      <c r="F398" s="166">
        <v>1190</v>
      </c>
      <c r="G398">
        <v>1190</v>
      </c>
    </row>
    <row r="399" spans="1:7" hidden="1">
      <c r="A399" t="s">
        <v>350</v>
      </c>
      <c r="B399" s="165">
        <v>42004</v>
      </c>
      <c r="C399" t="s">
        <v>351</v>
      </c>
      <c r="D399" t="s">
        <v>352</v>
      </c>
      <c r="E399">
        <v>2</v>
      </c>
      <c r="F399" s="166">
        <v>750</v>
      </c>
      <c r="G399">
        <v>1500</v>
      </c>
    </row>
    <row r="400" spans="1:7" hidden="1">
      <c r="A400" t="s">
        <v>350</v>
      </c>
      <c r="B400" s="165">
        <v>42004</v>
      </c>
      <c r="C400" t="s">
        <v>351</v>
      </c>
      <c r="D400" t="s">
        <v>352</v>
      </c>
      <c r="E400">
        <v>10</v>
      </c>
      <c r="F400" s="166">
        <v>570</v>
      </c>
      <c r="G400">
        <v>5700</v>
      </c>
    </row>
    <row r="401" spans="1:7" hidden="1">
      <c r="A401" t="s">
        <v>350</v>
      </c>
      <c r="B401" s="165">
        <v>42004</v>
      </c>
      <c r="C401" t="s">
        <v>351</v>
      </c>
      <c r="D401" t="s">
        <v>352</v>
      </c>
      <c r="E401">
        <v>10</v>
      </c>
      <c r="F401" s="166">
        <v>570</v>
      </c>
      <c r="G401">
        <v>5700</v>
      </c>
    </row>
    <row r="402" spans="1:7" hidden="1">
      <c r="A402" t="s">
        <v>350</v>
      </c>
      <c r="B402" s="165">
        <v>42004</v>
      </c>
      <c r="C402" t="s">
        <v>351</v>
      </c>
      <c r="D402" t="s">
        <v>352</v>
      </c>
      <c r="E402">
        <v>15</v>
      </c>
      <c r="F402" s="166">
        <v>388</v>
      </c>
      <c r="G402">
        <v>5820</v>
      </c>
    </row>
    <row r="403" spans="1:7" hidden="1">
      <c r="A403" t="s">
        <v>350</v>
      </c>
      <c r="B403" s="165">
        <v>42004</v>
      </c>
      <c r="C403" t="s">
        <v>351</v>
      </c>
      <c r="D403" t="s">
        <v>352</v>
      </c>
      <c r="E403">
        <v>26</v>
      </c>
      <c r="F403" s="166">
        <v>891.84615384615381</v>
      </c>
      <c r="G403">
        <v>23188</v>
      </c>
    </row>
    <row r="404" spans="1:7" hidden="1">
      <c r="A404" t="s">
        <v>350</v>
      </c>
      <c r="B404" s="165">
        <v>42004</v>
      </c>
      <c r="C404" t="s">
        <v>351</v>
      </c>
      <c r="D404" t="s">
        <v>352</v>
      </c>
      <c r="E404">
        <v>120</v>
      </c>
      <c r="F404" s="166">
        <v>346</v>
      </c>
      <c r="G404">
        <v>41520</v>
      </c>
    </row>
    <row r="405" spans="1:7" hidden="1">
      <c r="A405" t="s">
        <v>363</v>
      </c>
      <c r="B405" s="165">
        <v>41690</v>
      </c>
      <c r="C405" t="s">
        <v>351</v>
      </c>
      <c r="D405" t="s">
        <v>352</v>
      </c>
      <c r="E405">
        <v>15</v>
      </c>
      <c r="F405" s="166">
        <v>697.66666666666663</v>
      </c>
      <c r="G405">
        <v>10465</v>
      </c>
    </row>
    <row r="406" spans="1:7" hidden="1">
      <c r="A406" t="s">
        <v>363</v>
      </c>
      <c r="B406" s="165">
        <v>41697</v>
      </c>
      <c r="C406" t="s">
        <v>355</v>
      </c>
      <c r="D406" t="s">
        <v>356</v>
      </c>
      <c r="E406">
        <v>4</v>
      </c>
      <c r="F406" s="166">
        <v>638</v>
      </c>
      <c r="G406">
        <v>2552</v>
      </c>
    </row>
    <row r="407" spans="1:7" hidden="1">
      <c r="A407" t="s">
        <v>363</v>
      </c>
      <c r="B407" s="165">
        <v>41697</v>
      </c>
      <c r="C407" t="s">
        <v>357</v>
      </c>
      <c r="D407" t="s">
        <v>358</v>
      </c>
      <c r="E407">
        <v>37</v>
      </c>
      <c r="F407" s="166">
        <v>275.24324324324323</v>
      </c>
      <c r="G407">
        <v>10184</v>
      </c>
    </row>
    <row r="408" spans="1:7" hidden="1">
      <c r="A408" t="s">
        <v>363</v>
      </c>
      <c r="B408" s="165">
        <v>41704</v>
      </c>
      <c r="C408" t="s">
        <v>357</v>
      </c>
      <c r="D408" t="s">
        <v>358</v>
      </c>
      <c r="E408">
        <v>20</v>
      </c>
      <c r="F408" s="166">
        <v>597</v>
      </c>
      <c r="G408">
        <v>11940</v>
      </c>
    </row>
    <row r="409" spans="1:7" hidden="1">
      <c r="A409" t="s">
        <v>363</v>
      </c>
      <c r="B409" s="165">
        <v>41704</v>
      </c>
      <c r="C409" t="s">
        <v>357</v>
      </c>
      <c r="D409" t="s">
        <v>358</v>
      </c>
      <c r="E409">
        <v>92</v>
      </c>
      <c r="F409" s="166">
        <v>415.76086956521738</v>
      </c>
      <c r="G409">
        <v>38250</v>
      </c>
    </row>
    <row r="410" spans="1:7" hidden="1">
      <c r="A410" t="s">
        <v>363</v>
      </c>
      <c r="B410" s="165">
        <v>41711</v>
      </c>
      <c r="C410" t="s">
        <v>357</v>
      </c>
      <c r="D410" t="s">
        <v>358</v>
      </c>
      <c r="E410">
        <v>8</v>
      </c>
      <c r="F410" s="166">
        <v>364</v>
      </c>
      <c r="G410">
        <v>2912</v>
      </c>
    </row>
    <row r="411" spans="1:7" hidden="1">
      <c r="A411" t="s">
        <v>363</v>
      </c>
      <c r="B411" s="165">
        <v>41732</v>
      </c>
      <c r="C411" t="s">
        <v>357</v>
      </c>
      <c r="D411" t="s">
        <v>358</v>
      </c>
      <c r="E411">
        <v>5</v>
      </c>
      <c r="F411" s="166">
        <v>495</v>
      </c>
      <c r="G411">
        <v>2475</v>
      </c>
    </row>
    <row r="412" spans="1:7" hidden="1">
      <c r="A412" t="s">
        <v>363</v>
      </c>
      <c r="B412" s="165">
        <v>41732</v>
      </c>
      <c r="C412" t="s">
        <v>357</v>
      </c>
      <c r="D412" t="s">
        <v>358</v>
      </c>
      <c r="E412">
        <v>8</v>
      </c>
      <c r="F412" s="166">
        <v>330.75</v>
      </c>
      <c r="G412">
        <v>2646</v>
      </c>
    </row>
    <row r="413" spans="1:7" hidden="1">
      <c r="A413" t="s">
        <v>363</v>
      </c>
      <c r="B413" s="165">
        <v>41732</v>
      </c>
      <c r="C413" t="s">
        <v>351</v>
      </c>
      <c r="D413" t="s">
        <v>352</v>
      </c>
      <c r="E413">
        <v>5</v>
      </c>
      <c r="F413" s="166">
        <v>485.4</v>
      </c>
      <c r="G413">
        <v>2427</v>
      </c>
    </row>
    <row r="414" spans="1:7" hidden="1">
      <c r="A414" t="s">
        <v>363</v>
      </c>
      <c r="B414" s="165">
        <v>41732</v>
      </c>
      <c r="C414" t="s">
        <v>351</v>
      </c>
      <c r="D414" t="s">
        <v>352</v>
      </c>
      <c r="E414">
        <v>9</v>
      </c>
      <c r="F414" s="166">
        <v>362.44444444444446</v>
      </c>
      <c r="G414">
        <v>3262</v>
      </c>
    </row>
    <row r="415" spans="1:7" hidden="1">
      <c r="A415" t="s">
        <v>363</v>
      </c>
      <c r="B415" s="165">
        <v>41732</v>
      </c>
      <c r="C415" t="s">
        <v>351</v>
      </c>
      <c r="D415" t="s">
        <v>352</v>
      </c>
      <c r="E415">
        <v>8</v>
      </c>
      <c r="F415" s="166">
        <v>664.375</v>
      </c>
      <c r="G415">
        <v>5315</v>
      </c>
    </row>
    <row r="416" spans="1:7" hidden="1">
      <c r="A416" t="s">
        <v>363</v>
      </c>
      <c r="B416" s="165">
        <v>41760</v>
      </c>
      <c r="C416" t="s">
        <v>357</v>
      </c>
      <c r="D416" t="s">
        <v>358</v>
      </c>
      <c r="E416">
        <v>37</v>
      </c>
      <c r="F416" s="166">
        <v>159</v>
      </c>
      <c r="G416">
        <v>5883</v>
      </c>
    </row>
    <row r="417" spans="1:7" hidden="1">
      <c r="A417" t="s">
        <v>363</v>
      </c>
      <c r="B417" s="165">
        <v>41760</v>
      </c>
      <c r="C417" t="s">
        <v>357</v>
      </c>
      <c r="D417" t="s">
        <v>358</v>
      </c>
      <c r="E417">
        <v>65</v>
      </c>
      <c r="F417" s="166">
        <v>302</v>
      </c>
      <c r="G417">
        <v>19630</v>
      </c>
    </row>
    <row r="418" spans="1:7" hidden="1">
      <c r="A418" t="s">
        <v>363</v>
      </c>
      <c r="B418" s="165">
        <v>41767</v>
      </c>
      <c r="C418" t="s">
        <v>351</v>
      </c>
      <c r="D418" t="s">
        <v>352</v>
      </c>
      <c r="E418">
        <v>27</v>
      </c>
      <c r="F418" s="166">
        <v>250</v>
      </c>
      <c r="G418">
        <v>6750</v>
      </c>
    </row>
    <row r="419" spans="1:7" hidden="1">
      <c r="A419" t="s">
        <v>363</v>
      </c>
      <c r="B419" s="165">
        <v>41788</v>
      </c>
      <c r="C419" t="s">
        <v>359</v>
      </c>
      <c r="D419" t="s">
        <v>360</v>
      </c>
      <c r="E419">
        <v>4</v>
      </c>
      <c r="F419" s="166">
        <v>528</v>
      </c>
      <c r="G419">
        <v>2112</v>
      </c>
    </row>
    <row r="420" spans="1:7" hidden="1">
      <c r="A420" t="s">
        <v>363</v>
      </c>
      <c r="B420" s="165">
        <v>41788</v>
      </c>
      <c r="C420" t="s">
        <v>359</v>
      </c>
      <c r="D420" t="s">
        <v>360</v>
      </c>
      <c r="E420">
        <v>48</v>
      </c>
      <c r="F420" s="166">
        <v>299</v>
      </c>
      <c r="G420">
        <v>14352</v>
      </c>
    </row>
    <row r="421" spans="1:7" hidden="1">
      <c r="A421" t="s">
        <v>363</v>
      </c>
      <c r="B421" s="165">
        <v>41788</v>
      </c>
      <c r="C421" t="s">
        <v>357</v>
      </c>
      <c r="D421" t="s">
        <v>358</v>
      </c>
      <c r="E421">
        <v>4</v>
      </c>
      <c r="F421" s="166">
        <v>263</v>
      </c>
      <c r="G421">
        <v>1052</v>
      </c>
    </row>
    <row r="422" spans="1:7" hidden="1">
      <c r="A422" t="s">
        <v>363</v>
      </c>
      <c r="B422" s="165">
        <v>41788</v>
      </c>
      <c r="C422" t="s">
        <v>357</v>
      </c>
      <c r="D422" t="s">
        <v>358</v>
      </c>
      <c r="E422">
        <v>4</v>
      </c>
      <c r="F422" s="166">
        <v>292</v>
      </c>
      <c r="G422">
        <v>1168</v>
      </c>
    </row>
    <row r="423" spans="1:7" hidden="1">
      <c r="A423" t="s">
        <v>363</v>
      </c>
      <c r="B423" s="165">
        <v>41788</v>
      </c>
      <c r="C423" t="s">
        <v>357</v>
      </c>
      <c r="D423" t="s">
        <v>358</v>
      </c>
      <c r="E423">
        <v>12</v>
      </c>
      <c r="F423" s="166">
        <v>264.83333333333331</v>
      </c>
      <c r="G423">
        <v>3178</v>
      </c>
    </row>
    <row r="424" spans="1:7" hidden="1">
      <c r="A424" t="s">
        <v>363</v>
      </c>
      <c r="B424" s="165">
        <v>41788</v>
      </c>
      <c r="C424" t="s">
        <v>357</v>
      </c>
      <c r="D424" t="s">
        <v>358</v>
      </c>
      <c r="E424">
        <v>22</v>
      </c>
      <c r="F424" s="166">
        <v>222</v>
      </c>
      <c r="G424">
        <v>4884</v>
      </c>
    </row>
    <row r="425" spans="1:7" hidden="1">
      <c r="A425" t="s">
        <v>363</v>
      </c>
      <c r="B425" s="165">
        <v>41788</v>
      </c>
      <c r="C425" t="s">
        <v>351</v>
      </c>
      <c r="D425" t="s">
        <v>352</v>
      </c>
      <c r="E425">
        <v>1</v>
      </c>
      <c r="F425" s="166">
        <v>249</v>
      </c>
      <c r="G425">
        <v>249</v>
      </c>
    </row>
    <row r="426" spans="1:7" hidden="1">
      <c r="A426" t="s">
        <v>363</v>
      </c>
      <c r="B426" s="165">
        <v>41788</v>
      </c>
      <c r="C426" t="s">
        <v>351</v>
      </c>
      <c r="D426" t="s">
        <v>352</v>
      </c>
      <c r="E426">
        <v>11</v>
      </c>
      <c r="F426" s="166">
        <v>282</v>
      </c>
      <c r="G426">
        <v>3102</v>
      </c>
    </row>
    <row r="427" spans="1:7" hidden="1">
      <c r="A427" t="s">
        <v>363</v>
      </c>
      <c r="B427" s="165">
        <v>41788</v>
      </c>
      <c r="C427" t="s">
        <v>351</v>
      </c>
      <c r="D427" t="s">
        <v>352</v>
      </c>
      <c r="E427">
        <v>20</v>
      </c>
      <c r="F427" s="166">
        <v>299</v>
      </c>
      <c r="G427">
        <v>5980</v>
      </c>
    </row>
    <row r="428" spans="1:7" hidden="1">
      <c r="A428" t="s">
        <v>363</v>
      </c>
      <c r="B428" s="165">
        <v>41795</v>
      </c>
      <c r="C428" t="s">
        <v>351</v>
      </c>
      <c r="D428" t="s">
        <v>352</v>
      </c>
      <c r="E428">
        <v>10</v>
      </c>
      <c r="F428" s="166">
        <v>302</v>
      </c>
      <c r="G428">
        <v>3020</v>
      </c>
    </row>
    <row r="429" spans="1:7" hidden="1">
      <c r="A429" t="s">
        <v>363</v>
      </c>
      <c r="B429" s="165">
        <v>41810</v>
      </c>
      <c r="C429" t="s">
        <v>355</v>
      </c>
      <c r="D429" t="s">
        <v>356</v>
      </c>
      <c r="E429">
        <v>4</v>
      </c>
      <c r="F429" s="166">
        <v>387.5</v>
      </c>
      <c r="G429">
        <v>1550</v>
      </c>
    </row>
    <row r="430" spans="1:7" hidden="1">
      <c r="A430" t="s">
        <v>363</v>
      </c>
      <c r="B430" s="165">
        <v>41810</v>
      </c>
      <c r="C430" t="s">
        <v>357</v>
      </c>
      <c r="D430" t="s">
        <v>358</v>
      </c>
      <c r="E430">
        <v>37</v>
      </c>
      <c r="F430" s="166">
        <v>188.24324324324326</v>
      </c>
      <c r="G430">
        <v>6965</v>
      </c>
    </row>
    <row r="431" spans="1:7" hidden="1">
      <c r="A431" t="s">
        <v>363</v>
      </c>
      <c r="B431" s="165">
        <v>41858</v>
      </c>
      <c r="C431" t="s">
        <v>351</v>
      </c>
      <c r="D431" t="s">
        <v>352</v>
      </c>
      <c r="E431">
        <v>22</v>
      </c>
      <c r="F431" s="166">
        <v>1435</v>
      </c>
      <c r="G431">
        <v>31570</v>
      </c>
    </row>
    <row r="432" spans="1:7" hidden="1">
      <c r="A432" t="s">
        <v>363</v>
      </c>
      <c r="B432" s="165">
        <v>41865</v>
      </c>
      <c r="C432" t="s">
        <v>353</v>
      </c>
      <c r="D432" t="s">
        <v>354</v>
      </c>
      <c r="E432">
        <v>12</v>
      </c>
      <c r="F432" s="166">
        <v>787.5</v>
      </c>
      <c r="G432">
        <v>9450</v>
      </c>
    </row>
    <row r="433" spans="1:7" hidden="1">
      <c r="A433" t="s">
        <v>363</v>
      </c>
      <c r="B433" s="165">
        <v>41865</v>
      </c>
      <c r="C433" t="s">
        <v>357</v>
      </c>
      <c r="D433" t="s">
        <v>358</v>
      </c>
      <c r="E433">
        <v>19</v>
      </c>
      <c r="F433" s="166">
        <v>316</v>
      </c>
      <c r="G433">
        <v>6004</v>
      </c>
    </row>
    <row r="434" spans="1:7" hidden="1">
      <c r="A434" t="s">
        <v>363</v>
      </c>
      <c r="B434" s="165">
        <v>41872</v>
      </c>
      <c r="C434" t="s">
        <v>353</v>
      </c>
      <c r="D434" t="s">
        <v>354</v>
      </c>
      <c r="E434">
        <v>3</v>
      </c>
      <c r="F434" s="166">
        <v>835</v>
      </c>
      <c r="G434">
        <v>2505</v>
      </c>
    </row>
    <row r="435" spans="1:7" hidden="1">
      <c r="A435" t="s">
        <v>363</v>
      </c>
      <c r="B435" s="165">
        <v>41879</v>
      </c>
      <c r="C435" t="s">
        <v>351</v>
      </c>
      <c r="D435" t="s">
        <v>352</v>
      </c>
      <c r="E435">
        <v>3</v>
      </c>
      <c r="F435" s="166">
        <v>571.25</v>
      </c>
      <c r="G435">
        <v>1713.75</v>
      </c>
    </row>
    <row r="436" spans="1:7" hidden="1">
      <c r="A436" t="s">
        <v>363</v>
      </c>
      <c r="B436" s="165">
        <v>41879</v>
      </c>
      <c r="C436" t="s">
        <v>351</v>
      </c>
      <c r="D436" t="s">
        <v>352</v>
      </c>
      <c r="E436">
        <v>3</v>
      </c>
      <c r="F436" s="166">
        <v>2103</v>
      </c>
      <c r="G436">
        <v>6309</v>
      </c>
    </row>
    <row r="437" spans="1:7" hidden="1">
      <c r="A437" t="s">
        <v>363</v>
      </c>
      <c r="B437" s="165">
        <v>41928</v>
      </c>
      <c r="C437" t="s">
        <v>357</v>
      </c>
      <c r="D437" t="s">
        <v>358</v>
      </c>
      <c r="E437">
        <v>2</v>
      </c>
      <c r="F437" s="166">
        <v>295</v>
      </c>
      <c r="G437">
        <v>590</v>
      </c>
    </row>
    <row r="438" spans="1:7" hidden="1">
      <c r="A438" t="s">
        <v>363</v>
      </c>
      <c r="B438" s="165">
        <v>41928</v>
      </c>
      <c r="C438" t="s">
        <v>357</v>
      </c>
      <c r="D438" t="s">
        <v>358</v>
      </c>
      <c r="E438">
        <v>2</v>
      </c>
      <c r="F438" s="166">
        <v>405.5</v>
      </c>
      <c r="G438">
        <v>811</v>
      </c>
    </row>
    <row r="439" spans="1:7" hidden="1">
      <c r="A439" t="s">
        <v>363</v>
      </c>
      <c r="B439" s="165">
        <v>41928</v>
      </c>
      <c r="C439" t="s">
        <v>357</v>
      </c>
      <c r="D439" t="s">
        <v>358</v>
      </c>
      <c r="E439">
        <v>3</v>
      </c>
      <c r="F439" s="166">
        <v>295</v>
      </c>
      <c r="G439">
        <v>885</v>
      </c>
    </row>
    <row r="440" spans="1:7" hidden="1">
      <c r="A440" t="s">
        <v>363</v>
      </c>
      <c r="B440" s="165">
        <v>41928</v>
      </c>
      <c r="C440" t="s">
        <v>357</v>
      </c>
      <c r="D440" t="s">
        <v>358</v>
      </c>
      <c r="E440">
        <v>5</v>
      </c>
      <c r="F440" s="166">
        <v>234.2</v>
      </c>
      <c r="G440">
        <v>1171</v>
      </c>
    </row>
    <row r="441" spans="1:7" hidden="1">
      <c r="A441" t="s">
        <v>363</v>
      </c>
      <c r="B441" s="165">
        <v>41928</v>
      </c>
      <c r="C441" t="s">
        <v>357</v>
      </c>
      <c r="D441" t="s">
        <v>358</v>
      </c>
      <c r="E441">
        <v>4</v>
      </c>
      <c r="F441" s="166">
        <v>328</v>
      </c>
      <c r="G441">
        <v>1312</v>
      </c>
    </row>
    <row r="442" spans="1:7" hidden="1">
      <c r="A442" t="s">
        <v>363</v>
      </c>
      <c r="B442" s="165">
        <v>41928</v>
      </c>
      <c r="C442" t="s">
        <v>357</v>
      </c>
      <c r="D442" t="s">
        <v>358</v>
      </c>
      <c r="E442">
        <v>5</v>
      </c>
      <c r="F442" s="166">
        <v>315</v>
      </c>
      <c r="G442">
        <v>1575</v>
      </c>
    </row>
    <row r="443" spans="1:7" hidden="1">
      <c r="A443" t="s">
        <v>363</v>
      </c>
      <c r="B443" s="165">
        <v>41928</v>
      </c>
      <c r="C443" t="s">
        <v>357</v>
      </c>
      <c r="D443" t="s">
        <v>358</v>
      </c>
      <c r="E443">
        <v>5</v>
      </c>
      <c r="F443" s="166">
        <v>321</v>
      </c>
      <c r="G443">
        <v>1605</v>
      </c>
    </row>
    <row r="444" spans="1:7" hidden="1">
      <c r="A444" t="s">
        <v>363</v>
      </c>
      <c r="B444" s="165">
        <v>41928</v>
      </c>
      <c r="C444" t="s">
        <v>357</v>
      </c>
      <c r="D444" t="s">
        <v>358</v>
      </c>
      <c r="E444">
        <v>6</v>
      </c>
      <c r="F444" s="166">
        <v>317.5</v>
      </c>
      <c r="G444">
        <v>1905</v>
      </c>
    </row>
    <row r="445" spans="1:7" hidden="1">
      <c r="A445" t="s">
        <v>363</v>
      </c>
      <c r="B445" s="165">
        <v>41928</v>
      </c>
      <c r="C445" t="s">
        <v>357</v>
      </c>
      <c r="D445" t="s">
        <v>358</v>
      </c>
      <c r="E445">
        <v>9</v>
      </c>
      <c r="F445" s="166">
        <v>280.88888888888891</v>
      </c>
      <c r="G445">
        <v>2528</v>
      </c>
    </row>
    <row r="446" spans="1:7" hidden="1">
      <c r="A446" t="s">
        <v>363</v>
      </c>
      <c r="B446" s="165">
        <v>41928</v>
      </c>
      <c r="C446" t="s">
        <v>357</v>
      </c>
      <c r="D446" t="s">
        <v>358</v>
      </c>
      <c r="E446">
        <v>23</v>
      </c>
      <c r="F446" s="166">
        <v>263</v>
      </c>
      <c r="G446">
        <v>6049</v>
      </c>
    </row>
    <row r="447" spans="1:7" hidden="1">
      <c r="A447" t="s">
        <v>363</v>
      </c>
      <c r="B447" s="165">
        <v>41928</v>
      </c>
      <c r="C447" t="s">
        <v>351</v>
      </c>
      <c r="D447" t="s">
        <v>352</v>
      </c>
      <c r="E447">
        <v>1</v>
      </c>
      <c r="F447" s="166">
        <v>328</v>
      </c>
      <c r="G447">
        <v>328</v>
      </c>
    </row>
    <row r="448" spans="1:7" hidden="1">
      <c r="A448" t="s">
        <v>363</v>
      </c>
      <c r="B448" s="165">
        <v>41928</v>
      </c>
      <c r="C448" t="s">
        <v>351</v>
      </c>
      <c r="D448" t="s">
        <v>352</v>
      </c>
      <c r="E448">
        <v>1</v>
      </c>
      <c r="F448" s="166">
        <v>886</v>
      </c>
      <c r="G448">
        <v>886</v>
      </c>
    </row>
    <row r="449" spans="1:7" hidden="1">
      <c r="A449" t="s">
        <v>363</v>
      </c>
      <c r="B449" s="165">
        <v>41936</v>
      </c>
      <c r="C449" t="s">
        <v>359</v>
      </c>
      <c r="D449" t="s">
        <v>360</v>
      </c>
      <c r="E449">
        <v>147</v>
      </c>
      <c r="F449" s="166">
        <v>997.03401360544217</v>
      </c>
      <c r="G449">
        <v>146564</v>
      </c>
    </row>
    <row r="450" spans="1:7" hidden="1">
      <c r="A450" t="s">
        <v>363</v>
      </c>
      <c r="B450" s="165">
        <v>41936</v>
      </c>
      <c r="C450" t="s">
        <v>351</v>
      </c>
      <c r="D450" t="s">
        <v>352</v>
      </c>
      <c r="E450">
        <v>104</v>
      </c>
      <c r="F450" s="166">
        <v>732.42307692307691</v>
      </c>
      <c r="G450">
        <v>76172</v>
      </c>
    </row>
    <row r="451" spans="1:7" hidden="1">
      <c r="A451" t="s">
        <v>363</v>
      </c>
      <c r="B451" s="165">
        <v>41943</v>
      </c>
      <c r="C451" t="s">
        <v>357</v>
      </c>
      <c r="D451" t="s">
        <v>358</v>
      </c>
      <c r="E451">
        <v>1</v>
      </c>
      <c r="F451" s="166">
        <v>287</v>
      </c>
      <c r="G451">
        <v>287</v>
      </c>
    </row>
    <row r="452" spans="1:7" hidden="1">
      <c r="A452" t="s">
        <v>363</v>
      </c>
      <c r="B452" s="165">
        <v>41943</v>
      </c>
      <c r="C452" t="s">
        <v>357</v>
      </c>
      <c r="D452" t="s">
        <v>358</v>
      </c>
      <c r="E452">
        <v>9</v>
      </c>
      <c r="F452" s="166">
        <v>269.22222222222223</v>
      </c>
      <c r="G452">
        <v>2423</v>
      </c>
    </row>
    <row r="453" spans="1:7" hidden="1">
      <c r="A453" t="s">
        <v>363</v>
      </c>
      <c r="B453" s="165">
        <v>41943</v>
      </c>
      <c r="C453" t="s">
        <v>357</v>
      </c>
      <c r="D453" t="s">
        <v>358</v>
      </c>
      <c r="E453">
        <v>15</v>
      </c>
      <c r="F453" s="166">
        <v>285</v>
      </c>
      <c r="G453">
        <v>4275</v>
      </c>
    </row>
    <row r="454" spans="1:7" hidden="1">
      <c r="A454" t="s">
        <v>363</v>
      </c>
      <c r="B454" s="165">
        <v>41943</v>
      </c>
      <c r="C454" t="s">
        <v>351</v>
      </c>
      <c r="D454" t="s">
        <v>352</v>
      </c>
      <c r="E454">
        <v>1</v>
      </c>
      <c r="F454" s="166">
        <v>526</v>
      </c>
      <c r="G454">
        <v>526</v>
      </c>
    </row>
    <row r="455" spans="1:7" hidden="1">
      <c r="A455" t="s">
        <v>363</v>
      </c>
      <c r="B455" s="165">
        <v>41943</v>
      </c>
      <c r="C455" t="s">
        <v>351</v>
      </c>
      <c r="D455" t="s">
        <v>352</v>
      </c>
      <c r="E455">
        <v>6</v>
      </c>
      <c r="F455" s="166">
        <v>345</v>
      </c>
      <c r="G455">
        <v>2070</v>
      </c>
    </row>
    <row r="456" spans="1:7" hidden="1">
      <c r="A456" t="s">
        <v>363</v>
      </c>
      <c r="B456" s="165">
        <v>41943</v>
      </c>
      <c r="C456" t="s">
        <v>351</v>
      </c>
      <c r="D456" t="s">
        <v>352</v>
      </c>
      <c r="E456">
        <v>6</v>
      </c>
      <c r="F456" s="166">
        <v>459</v>
      </c>
      <c r="G456">
        <v>2754</v>
      </c>
    </row>
    <row r="457" spans="1:7" hidden="1">
      <c r="A457" t="s">
        <v>363</v>
      </c>
      <c r="B457" s="165">
        <v>41943</v>
      </c>
      <c r="C457" t="s">
        <v>351</v>
      </c>
      <c r="D457" t="s">
        <v>352</v>
      </c>
      <c r="E457">
        <v>11</v>
      </c>
      <c r="F457" s="166">
        <v>336</v>
      </c>
      <c r="G457">
        <v>3696</v>
      </c>
    </row>
    <row r="458" spans="1:7" hidden="1">
      <c r="A458" t="s">
        <v>363</v>
      </c>
      <c r="B458" s="165">
        <v>41949</v>
      </c>
      <c r="C458" t="s">
        <v>357</v>
      </c>
      <c r="D458" t="s">
        <v>358</v>
      </c>
      <c r="E458">
        <v>4</v>
      </c>
      <c r="F458" s="166">
        <v>506.75</v>
      </c>
      <c r="G458">
        <v>2027</v>
      </c>
    </row>
    <row r="459" spans="1:7" hidden="1">
      <c r="A459" t="s">
        <v>363</v>
      </c>
      <c r="B459" s="165">
        <v>41963</v>
      </c>
      <c r="C459" t="s">
        <v>357</v>
      </c>
      <c r="D459" t="s">
        <v>358</v>
      </c>
      <c r="E459">
        <v>11</v>
      </c>
      <c r="F459" s="166">
        <v>195</v>
      </c>
      <c r="G459">
        <v>2145</v>
      </c>
    </row>
    <row r="460" spans="1:7" hidden="1">
      <c r="A460" t="s">
        <v>363</v>
      </c>
      <c r="B460" s="165">
        <v>41977</v>
      </c>
      <c r="C460" t="s">
        <v>357</v>
      </c>
      <c r="D460" t="s">
        <v>358</v>
      </c>
      <c r="E460">
        <v>1</v>
      </c>
      <c r="F460" s="166">
        <v>400</v>
      </c>
      <c r="G460">
        <v>400</v>
      </c>
    </row>
    <row r="461" spans="1:7" hidden="1">
      <c r="A461" t="s">
        <v>363</v>
      </c>
      <c r="B461" s="165">
        <v>42004</v>
      </c>
      <c r="C461" t="s">
        <v>357</v>
      </c>
      <c r="D461" t="s">
        <v>358</v>
      </c>
      <c r="E461">
        <v>2</v>
      </c>
      <c r="F461" s="166">
        <v>292.5</v>
      </c>
      <c r="G461">
        <v>585</v>
      </c>
    </row>
    <row r="462" spans="1:7" hidden="1">
      <c r="A462" t="s">
        <v>363</v>
      </c>
      <c r="B462" s="165">
        <v>42004</v>
      </c>
      <c r="C462" t="s">
        <v>357</v>
      </c>
      <c r="D462" t="s">
        <v>358</v>
      </c>
      <c r="E462">
        <v>3</v>
      </c>
      <c r="F462" s="166">
        <v>206.66666666666666</v>
      </c>
      <c r="G462">
        <v>620</v>
      </c>
    </row>
    <row r="463" spans="1:7" hidden="1">
      <c r="A463" t="s">
        <v>363</v>
      </c>
      <c r="B463" s="165">
        <v>42004</v>
      </c>
      <c r="C463" t="s">
        <v>357</v>
      </c>
      <c r="D463" t="s">
        <v>358</v>
      </c>
      <c r="E463">
        <v>2</v>
      </c>
      <c r="F463" s="166">
        <v>429</v>
      </c>
      <c r="G463">
        <v>858</v>
      </c>
    </row>
    <row r="464" spans="1:7" hidden="1">
      <c r="A464" t="s">
        <v>363</v>
      </c>
      <c r="B464" s="165">
        <v>42004</v>
      </c>
      <c r="C464" t="s">
        <v>357</v>
      </c>
      <c r="D464" t="s">
        <v>358</v>
      </c>
      <c r="E464">
        <v>260</v>
      </c>
      <c r="F464" s="166">
        <v>284.55384615384617</v>
      </c>
      <c r="G464">
        <v>73984</v>
      </c>
    </row>
    <row r="465" spans="1:7" hidden="1">
      <c r="A465" t="s">
        <v>363</v>
      </c>
      <c r="B465" s="165">
        <v>42004</v>
      </c>
      <c r="C465" t="s">
        <v>351</v>
      </c>
      <c r="D465" t="s">
        <v>352</v>
      </c>
      <c r="E465">
        <v>1</v>
      </c>
      <c r="F465" s="166">
        <v>429</v>
      </c>
      <c r="G465">
        <v>429</v>
      </c>
    </row>
    <row r="466" spans="1:7" hidden="1">
      <c r="A466" t="s">
        <v>363</v>
      </c>
      <c r="B466" s="165">
        <v>42004</v>
      </c>
      <c r="C466" t="s">
        <v>351</v>
      </c>
      <c r="D466" t="s">
        <v>352</v>
      </c>
      <c r="E466">
        <v>8</v>
      </c>
      <c r="F466" s="166">
        <v>465</v>
      </c>
      <c r="G466">
        <v>3720</v>
      </c>
    </row>
    <row r="467" spans="1:7" hidden="1">
      <c r="A467" t="s">
        <v>363</v>
      </c>
      <c r="B467" s="165">
        <v>42004</v>
      </c>
      <c r="C467" t="s">
        <v>351</v>
      </c>
      <c r="D467" t="s">
        <v>352</v>
      </c>
      <c r="E467">
        <v>52</v>
      </c>
      <c r="F467" s="166">
        <v>1434.5</v>
      </c>
      <c r="G467">
        <v>74594</v>
      </c>
    </row>
    <row r="468" spans="1:7" hidden="1">
      <c r="A468" t="s">
        <v>364</v>
      </c>
      <c r="B468" s="165">
        <v>41739</v>
      </c>
      <c r="C468" t="s">
        <v>351</v>
      </c>
      <c r="D468" t="s">
        <v>352</v>
      </c>
      <c r="E468">
        <v>9</v>
      </c>
      <c r="F468" s="166">
        <v>538.77777777777783</v>
      </c>
      <c r="G468">
        <v>4849</v>
      </c>
    </row>
    <row r="469" spans="1:7" hidden="1">
      <c r="A469" t="s">
        <v>364</v>
      </c>
      <c r="B469" s="165">
        <v>41746</v>
      </c>
      <c r="C469" t="s">
        <v>357</v>
      </c>
      <c r="D469" t="s">
        <v>358</v>
      </c>
      <c r="E469">
        <v>7</v>
      </c>
      <c r="F469" s="166">
        <v>133.28571428571428</v>
      </c>
      <c r="G469">
        <v>933</v>
      </c>
    </row>
    <row r="470" spans="1:7" hidden="1">
      <c r="A470" t="s">
        <v>364</v>
      </c>
      <c r="B470" s="165">
        <v>41746</v>
      </c>
      <c r="C470" t="s">
        <v>351</v>
      </c>
      <c r="D470" t="s">
        <v>352</v>
      </c>
      <c r="E470">
        <v>1</v>
      </c>
      <c r="F470" s="166">
        <v>282</v>
      </c>
      <c r="G470">
        <v>282</v>
      </c>
    </row>
    <row r="471" spans="1:7" hidden="1">
      <c r="A471" t="s">
        <v>364</v>
      </c>
      <c r="B471" s="165">
        <v>41760</v>
      </c>
      <c r="C471" t="s">
        <v>351</v>
      </c>
      <c r="D471" t="s">
        <v>352</v>
      </c>
      <c r="E471">
        <v>2</v>
      </c>
      <c r="F471" s="166">
        <v>358</v>
      </c>
      <c r="G471">
        <v>716</v>
      </c>
    </row>
    <row r="472" spans="1:7" hidden="1">
      <c r="A472" t="s">
        <v>364</v>
      </c>
      <c r="B472" s="165">
        <v>41767</v>
      </c>
      <c r="C472" t="s">
        <v>355</v>
      </c>
      <c r="D472" t="s">
        <v>356</v>
      </c>
      <c r="E472">
        <v>1</v>
      </c>
      <c r="F472" s="166">
        <v>602</v>
      </c>
      <c r="G472">
        <v>602</v>
      </c>
    </row>
    <row r="473" spans="1:7" hidden="1">
      <c r="A473" t="s">
        <v>364</v>
      </c>
      <c r="B473" s="165">
        <v>41767</v>
      </c>
      <c r="C473" t="s">
        <v>357</v>
      </c>
      <c r="D473" t="s">
        <v>358</v>
      </c>
      <c r="E473">
        <v>13</v>
      </c>
      <c r="F473" s="166">
        <v>581</v>
      </c>
      <c r="G473">
        <v>7553</v>
      </c>
    </row>
    <row r="474" spans="1:7" hidden="1">
      <c r="A474" t="s">
        <v>364</v>
      </c>
      <c r="B474" s="165">
        <v>41767</v>
      </c>
      <c r="C474" t="s">
        <v>351</v>
      </c>
      <c r="D474" t="s">
        <v>352</v>
      </c>
      <c r="E474">
        <v>12</v>
      </c>
      <c r="F474" s="166">
        <v>491.25</v>
      </c>
      <c r="G474">
        <v>5895</v>
      </c>
    </row>
    <row r="475" spans="1:7" hidden="1">
      <c r="A475" t="s">
        <v>364</v>
      </c>
      <c r="B475" s="165">
        <v>41774</v>
      </c>
      <c r="C475" t="s">
        <v>357</v>
      </c>
      <c r="D475" t="s">
        <v>358</v>
      </c>
      <c r="E475">
        <v>1</v>
      </c>
      <c r="F475" s="166">
        <v>400</v>
      </c>
      <c r="G475">
        <v>400</v>
      </c>
    </row>
    <row r="476" spans="1:7" hidden="1">
      <c r="A476" t="s">
        <v>364</v>
      </c>
      <c r="B476" s="165">
        <v>41781</v>
      </c>
      <c r="C476" t="s">
        <v>355</v>
      </c>
      <c r="D476" t="s">
        <v>356</v>
      </c>
      <c r="E476">
        <v>2</v>
      </c>
      <c r="F476" s="166">
        <v>570</v>
      </c>
      <c r="G476">
        <v>1140</v>
      </c>
    </row>
    <row r="477" spans="1:7" hidden="1">
      <c r="A477" t="s">
        <v>364</v>
      </c>
      <c r="B477" s="165">
        <v>41781</v>
      </c>
      <c r="C477" t="s">
        <v>351</v>
      </c>
      <c r="D477" t="s">
        <v>352</v>
      </c>
      <c r="E477">
        <v>1</v>
      </c>
      <c r="F477" s="166">
        <v>375</v>
      </c>
      <c r="G477">
        <v>375</v>
      </c>
    </row>
    <row r="478" spans="1:7" hidden="1">
      <c r="A478" t="s">
        <v>364</v>
      </c>
      <c r="B478" s="165">
        <v>41781</v>
      </c>
      <c r="C478" t="s">
        <v>351</v>
      </c>
      <c r="D478" t="s">
        <v>352</v>
      </c>
      <c r="E478">
        <v>20</v>
      </c>
      <c r="F478" s="166">
        <v>509.35</v>
      </c>
      <c r="G478">
        <v>10187</v>
      </c>
    </row>
    <row r="479" spans="1:7" hidden="1">
      <c r="A479" t="s">
        <v>364</v>
      </c>
      <c r="B479" s="165">
        <v>41795</v>
      </c>
      <c r="C479" t="s">
        <v>353</v>
      </c>
      <c r="D479" t="s">
        <v>354</v>
      </c>
      <c r="E479">
        <v>11</v>
      </c>
      <c r="F479" s="166">
        <v>780</v>
      </c>
      <c r="G479">
        <v>8580</v>
      </c>
    </row>
    <row r="480" spans="1:7" hidden="1">
      <c r="A480" t="s">
        <v>364</v>
      </c>
      <c r="B480" s="165">
        <v>41802</v>
      </c>
      <c r="C480" t="s">
        <v>359</v>
      </c>
      <c r="D480" t="s">
        <v>360</v>
      </c>
      <c r="E480">
        <v>4</v>
      </c>
      <c r="F480" s="166">
        <v>132.25</v>
      </c>
      <c r="G480">
        <v>529</v>
      </c>
    </row>
    <row r="481" spans="1:7" hidden="1">
      <c r="A481" t="s">
        <v>364</v>
      </c>
      <c r="B481" s="165">
        <v>41802</v>
      </c>
      <c r="C481" t="s">
        <v>359</v>
      </c>
      <c r="D481" t="s">
        <v>360</v>
      </c>
      <c r="E481">
        <v>1</v>
      </c>
      <c r="F481" s="166">
        <v>641</v>
      </c>
      <c r="G481">
        <v>641</v>
      </c>
    </row>
    <row r="482" spans="1:7" hidden="1">
      <c r="A482" t="s">
        <v>364</v>
      </c>
      <c r="B482" s="165">
        <v>41802</v>
      </c>
      <c r="C482" t="s">
        <v>355</v>
      </c>
      <c r="D482" t="s">
        <v>356</v>
      </c>
      <c r="E482">
        <v>2</v>
      </c>
      <c r="F482" s="166">
        <v>595</v>
      </c>
      <c r="G482">
        <v>1190</v>
      </c>
    </row>
    <row r="483" spans="1:7" hidden="1">
      <c r="A483" t="s">
        <v>364</v>
      </c>
      <c r="B483" s="165">
        <v>41802</v>
      </c>
      <c r="C483" t="s">
        <v>357</v>
      </c>
      <c r="D483" t="s">
        <v>358</v>
      </c>
      <c r="E483">
        <v>8</v>
      </c>
      <c r="F483" s="166">
        <v>197.125</v>
      </c>
      <c r="G483">
        <v>1577</v>
      </c>
    </row>
    <row r="484" spans="1:7" hidden="1">
      <c r="A484" t="s">
        <v>364</v>
      </c>
      <c r="B484" s="165">
        <v>41802</v>
      </c>
      <c r="C484" t="s">
        <v>351</v>
      </c>
      <c r="D484" t="s">
        <v>352</v>
      </c>
      <c r="E484">
        <v>1</v>
      </c>
      <c r="F484" s="166">
        <v>625</v>
      </c>
      <c r="G484">
        <v>625</v>
      </c>
    </row>
    <row r="485" spans="1:7" hidden="1">
      <c r="A485" t="s">
        <v>364</v>
      </c>
      <c r="B485" s="165">
        <v>41802</v>
      </c>
      <c r="C485" t="s">
        <v>351</v>
      </c>
      <c r="D485" t="s">
        <v>352</v>
      </c>
      <c r="E485">
        <v>2</v>
      </c>
      <c r="F485" s="166">
        <v>725</v>
      </c>
      <c r="G485">
        <v>1450</v>
      </c>
    </row>
    <row r="486" spans="1:7" hidden="1">
      <c r="A486" t="s">
        <v>364</v>
      </c>
      <c r="B486" s="165">
        <v>41802</v>
      </c>
      <c r="C486" t="s">
        <v>351</v>
      </c>
      <c r="D486" t="s">
        <v>352</v>
      </c>
      <c r="E486">
        <v>4</v>
      </c>
      <c r="F486" s="166">
        <v>730</v>
      </c>
      <c r="G486">
        <v>2920</v>
      </c>
    </row>
    <row r="487" spans="1:7" hidden="1">
      <c r="A487" t="s">
        <v>364</v>
      </c>
      <c r="B487" s="165">
        <v>41802</v>
      </c>
      <c r="C487" t="s">
        <v>351</v>
      </c>
      <c r="D487" t="s">
        <v>352</v>
      </c>
      <c r="E487">
        <v>15</v>
      </c>
      <c r="F487" s="166">
        <v>407</v>
      </c>
      <c r="G487">
        <v>6105</v>
      </c>
    </row>
    <row r="488" spans="1:7" hidden="1">
      <c r="A488" t="s">
        <v>364</v>
      </c>
      <c r="B488" s="165">
        <v>41810</v>
      </c>
      <c r="C488" t="s">
        <v>359</v>
      </c>
      <c r="D488" t="s">
        <v>360</v>
      </c>
      <c r="E488">
        <v>10</v>
      </c>
      <c r="F488" s="166">
        <v>625</v>
      </c>
      <c r="G488">
        <v>6250</v>
      </c>
    </row>
    <row r="489" spans="1:7" hidden="1">
      <c r="A489" t="s">
        <v>364</v>
      </c>
      <c r="B489" s="165">
        <v>41810</v>
      </c>
      <c r="C489" t="s">
        <v>357</v>
      </c>
      <c r="D489" t="s">
        <v>358</v>
      </c>
      <c r="E489">
        <v>1</v>
      </c>
      <c r="F489" s="166">
        <v>450</v>
      </c>
      <c r="G489">
        <v>450</v>
      </c>
    </row>
    <row r="490" spans="1:7" hidden="1">
      <c r="A490" t="s">
        <v>364</v>
      </c>
      <c r="B490" s="165">
        <v>41810</v>
      </c>
      <c r="C490" t="s">
        <v>351</v>
      </c>
      <c r="D490" t="s">
        <v>352</v>
      </c>
      <c r="E490">
        <v>12</v>
      </c>
      <c r="F490" s="166">
        <v>475</v>
      </c>
      <c r="G490">
        <v>5700</v>
      </c>
    </row>
    <row r="491" spans="1:7" hidden="1">
      <c r="A491" t="s">
        <v>364</v>
      </c>
      <c r="B491" s="165">
        <v>41816</v>
      </c>
      <c r="C491" t="s">
        <v>357</v>
      </c>
      <c r="D491" t="s">
        <v>358</v>
      </c>
      <c r="E491">
        <v>4</v>
      </c>
      <c r="F491" s="166">
        <v>260</v>
      </c>
      <c r="G491">
        <v>1040</v>
      </c>
    </row>
    <row r="492" spans="1:7" hidden="1">
      <c r="A492" t="s">
        <v>364</v>
      </c>
      <c r="B492" s="165">
        <v>41823</v>
      </c>
      <c r="C492" t="s">
        <v>359</v>
      </c>
      <c r="D492" t="s">
        <v>360</v>
      </c>
      <c r="E492">
        <v>10</v>
      </c>
      <c r="F492" s="166">
        <v>331.2</v>
      </c>
      <c r="G492">
        <v>3312</v>
      </c>
    </row>
    <row r="493" spans="1:7" hidden="1">
      <c r="A493" t="s">
        <v>364</v>
      </c>
      <c r="B493" s="165">
        <v>41830</v>
      </c>
      <c r="C493" t="s">
        <v>359</v>
      </c>
      <c r="D493" t="s">
        <v>360</v>
      </c>
      <c r="E493">
        <v>2</v>
      </c>
      <c r="F493" s="166">
        <v>409</v>
      </c>
      <c r="G493">
        <v>818</v>
      </c>
    </row>
    <row r="494" spans="1:7" hidden="1">
      <c r="A494" t="s">
        <v>364</v>
      </c>
      <c r="B494" s="165">
        <v>41830</v>
      </c>
      <c r="C494" t="s">
        <v>357</v>
      </c>
      <c r="D494" t="s">
        <v>358</v>
      </c>
      <c r="E494">
        <v>2</v>
      </c>
      <c r="F494" s="166">
        <v>295</v>
      </c>
      <c r="G494">
        <v>590</v>
      </c>
    </row>
    <row r="495" spans="1:7" hidden="1">
      <c r="A495" t="s">
        <v>364</v>
      </c>
      <c r="B495" s="165">
        <v>41830</v>
      </c>
      <c r="C495" t="s">
        <v>357</v>
      </c>
      <c r="D495" t="s">
        <v>358</v>
      </c>
      <c r="E495">
        <v>2</v>
      </c>
      <c r="F495" s="166">
        <v>339</v>
      </c>
      <c r="G495">
        <v>678</v>
      </c>
    </row>
    <row r="496" spans="1:7" hidden="1">
      <c r="A496" t="s">
        <v>364</v>
      </c>
      <c r="B496" s="165">
        <v>41844</v>
      </c>
      <c r="C496" t="s">
        <v>359</v>
      </c>
      <c r="D496" t="s">
        <v>360</v>
      </c>
      <c r="E496">
        <v>4</v>
      </c>
      <c r="F496" s="166">
        <v>550</v>
      </c>
      <c r="G496">
        <v>2200</v>
      </c>
    </row>
    <row r="497" spans="1:7" hidden="1">
      <c r="A497" t="s">
        <v>364</v>
      </c>
      <c r="B497" s="165">
        <v>41844</v>
      </c>
      <c r="C497" t="s">
        <v>359</v>
      </c>
      <c r="D497" t="s">
        <v>360</v>
      </c>
      <c r="E497">
        <v>5</v>
      </c>
      <c r="F497" s="166">
        <v>677</v>
      </c>
      <c r="G497">
        <v>3385</v>
      </c>
    </row>
    <row r="498" spans="1:7" hidden="1">
      <c r="A498" t="s">
        <v>364</v>
      </c>
      <c r="B498" s="165">
        <v>41844</v>
      </c>
      <c r="C498" t="s">
        <v>355</v>
      </c>
      <c r="D498" t="s">
        <v>356</v>
      </c>
      <c r="E498">
        <v>1</v>
      </c>
      <c r="F498" s="166">
        <v>547</v>
      </c>
      <c r="G498">
        <v>547</v>
      </c>
    </row>
    <row r="499" spans="1:7" hidden="1">
      <c r="A499" t="s">
        <v>364</v>
      </c>
      <c r="B499" s="165">
        <v>41844</v>
      </c>
      <c r="C499" t="s">
        <v>355</v>
      </c>
      <c r="D499" t="s">
        <v>356</v>
      </c>
      <c r="E499">
        <v>5</v>
      </c>
      <c r="F499" s="166">
        <v>732</v>
      </c>
      <c r="G499">
        <v>3660</v>
      </c>
    </row>
    <row r="500" spans="1:7" hidden="1">
      <c r="A500" t="s">
        <v>364</v>
      </c>
      <c r="B500" s="165">
        <v>41844</v>
      </c>
      <c r="C500" t="s">
        <v>353</v>
      </c>
      <c r="D500" t="s">
        <v>354</v>
      </c>
      <c r="E500">
        <v>3</v>
      </c>
      <c r="F500" s="166">
        <v>547.33333333333337</v>
      </c>
      <c r="G500">
        <v>1642</v>
      </c>
    </row>
    <row r="501" spans="1:7" hidden="1">
      <c r="A501" t="s">
        <v>364</v>
      </c>
      <c r="B501" s="165">
        <v>41844</v>
      </c>
      <c r="C501" t="s">
        <v>357</v>
      </c>
      <c r="D501" t="s">
        <v>358</v>
      </c>
      <c r="E501">
        <v>8</v>
      </c>
      <c r="F501" s="166">
        <v>375</v>
      </c>
      <c r="G501">
        <v>3000</v>
      </c>
    </row>
    <row r="502" spans="1:7" hidden="1">
      <c r="A502" t="s">
        <v>364</v>
      </c>
      <c r="B502" s="165">
        <v>41844</v>
      </c>
      <c r="C502" t="s">
        <v>351</v>
      </c>
      <c r="D502" t="s">
        <v>352</v>
      </c>
      <c r="E502">
        <v>1</v>
      </c>
      <c r="F502" s="166">
        <v>375</v>
      </c>
      <c r="G502">
        <v>375</v>
      </c>
    </row>
    <row r="503" spans="1:7" hidden="1">
      <c r="A503" t="s">
        <v>364</v>
      </c>
      <c r="B503" s="165">
        <v>41844</v>
      </c>
      <c r="C503" t="s">
        <v>351</v>
      </c>
      <c r="D503" t="s">
        <v>352</v>
      </c>
      <c r="E503">
        <v>2</v>
      </c>
      <c r="F503" s="166">
        <v>375</v>
      </c>
      <c r="G503">
        <v>750</v>
      </c>
    </row>
    <row r="504" spans="1:7" hidden="1">
      <c r="A504" t="s">
        <v>364</v>
      </c>
      <c r="B504" s="165">
        <v>41844</v>
      </c>
      <c r="C504" t="s">
        <v>351</v>
      </c>
      <c r="D504" t="s">
        <v>352</v>
      </c>
      <c r="E504">
        <v>13</v>
      </c>
      <c r="F504" s="166">
        <v>417.30769230769232</v>
      </c>
      <c r="G504">
        <v>5425</v>
      </c>
    </row>
    <row r="505" spans="1:7" hidden="1">
      <c r="A505" t="s">
        <v>364</v>
      </c>
      <c r="B505" s="165">
        <v>41858</v>
      </c>
      <c r="C505" t="s">
        <v>355</v>
      </c>
      <c r="D505" t="s">
        <v>356</v>
      </c>
      <c r="E505">
        <v>4</v>
      </c>
      <c r="F505" s="166">
        <v>695</v>
      </c>
      <c r="G505">
        <v>2780</v>
      </c>
    </row>
    <row r="506" spans="1:7" hidden="1">
      <c r="A506" t="s">
        <v>364</v>
      </c>
      <c r="B506" s="165">
        <v>41858</v>
      </c>
      <c r="C506" t="s">
        <v>357</v>
      </c>
      <c r="D506" t="s">
        <v>358</v>
      </c>
      <c r="E506">
        <v>6</v>
      </c>
      <c r="F506" s="166">
        <v>225</v>
      </c>
      <c r="G506">
        <v>1350</v>
      </c>
    </row>
    <row r="507" spans="1:7" hidden="1">
      <c r="A507" t="s">
        <v>364</v>
      </c>
      <c r="B507" s="165">
        <v>41858</v>
      </c>
      <c r="C507" t="s">
        <v>351</v>
      </c>
      <c r="D507" t="s">
        <v>352</v>
      </c>
      <c r="E507">
        <v>6</v>
      </c>
      <c r="F507" s="166">
        <v>405</v>
      </c>
      <c r="G507">
        <v>2430</v>
      </c>
    </row>
    <row r="508" spans="1:7" hidden="1">
      <c r="A508" t="s">
        <v>364</v>
      </c>
      <c r="B508" s="165">
        <v>41865</v>
      </c>
      <c r="C508" t="s">
        <v>355</v>
      </c>
      <c r="D508" t="s">
        <v>356</v>
      </c>
      <c r="E508">
        <v>5</v>
      </c>
      <c r="F508" s="166">
        <v>864</v>
      </c>
      <c r="G508">
        <v>4320</v>
      </c>
    </row>
    <row r="509" spans="1:7" hidden="1">
      <c r="A509" t="s">
        <v>364</v>
      </c>
      <c r="B509" s="165">
        <v>41865</v>
      </c>
      <c r="C509" t="s">
        <v>357</v>
      </c>
      <c r="D509" t="s">
        <v>358</v>
      </c>
      <c r="E509">
        <v>4</v>
      </c>
      <c r="F509" s="166">
        <v>264</v>
      </c>
      <c r="G509">
        <v>1056</v>
      </c>
    </row>
    <row r="510" spans="1:7" hidden="1">
      <c r="A510" t="s">
        <v>364</v>
      </c>
      <c r="B510" s="165">
        <v>41865</v>
      </c>
      <c r="C510" t="s">
        <v>351</v>
      </c>
      <c r="D510" t="s">
        <v>352</v>
      </c>
      <c r="E510">
        <v>4</v>
      </c>
      <c r="F510" s="166">
        <v>460</v>
      </c>
      <c r="G510">
        <v>1840</v>
      </c>
    </row>
    <row r="511" spans="1:7" hidden="1">
      <c r="A511" t="s">
        <v>364</v>
      </c>
      <c r="B511" s="165">
        <v>41872</v>
      </c>
      <c r="C511" t="s">
        <v>359</v>
      </c>
      <c r="D511" t="s">
        <v>360</v>
      </c>
      <c r="E511">
        <v>8</v>
      </c>
      <c r="F511" s="166">
        <v>805.75</v>
      </c>
      <c r="G511">
        <v>6446</v>
      </c>
    </row>
    <row r="512" spans="1:7" hidden="1">
      <c r="A512" t="s">
        <v>364</v>
      </c>
      <c r="B512" s="165">
        <v>41872</v>
      </c>
      <c r="C512" t="s">
        <v>357</v>
      </c>
      <c r="D512" t="s">
        <v>358</v>
      </c>
      <c r="E512">
        <v>16</v>
      </c>
      <c r="F512" s="166">
        <v>501.625</v>
      </c>
      <c r="G512">
        <v>8026</v>
      </c>
    </row>
    <row r="513" spans="1:7" hidden="1">
      <c r="A513" t="s">
        <v>364</v>
      </c>
      <c r="B513" s="165">
        <v>41872</v>
      </c>
      <c r="C513" t="s">
        <v>351</v>
      </c>
      <c r="D513" t="s">
        <v>352</v>
      </c>
      <c r="E513">
        <v>26</v>
      </c>
      <c r="F513" s="166">
        <v>746.46153846153845</v>
      </c>
      <c r="G513">
        <v>19408</v>
      </c>
    </row>
    <row r="514" spans="1:7" hidden="1">
      <c r="A514" t="s">
        <v>364</v>
      </c>
      <c r="B514" s="165">
        <v>41879</v>
      </c>
      <c r="C514" t="s">
        <v>357</v>
      </c>
      <c r="D514" t="s">
        <v>358</v>
      </c>
      <c r="E514">
        <v>15</v>
      </c>
      <c r="F514" s="166">
        <v>345</v>
      </c>
      <c r="G514">
        <v>5175</v>
      </c>
    </row>
    <row r="515" spans="1:7" hidden="1">
      <c r="A515" t="s">
        <v>364</v>
      </c>
      <c r="B515" s="165">
        <v>41879</v>
      </c>
      <c r="C515" t="s">
        <v>351</v>
      </c>
      <c r="D515" t="s">
        <v>352</v>
      </c>
      <c r="E515">
        <v>5</v>
      </c>
      <c r="F515" s="166">
        <v>418</v>
      </c>
      <c r="G515">
        <v>2090</v>
      </c>
    </row>
    <row r="516" spans="1:7" hidden="1">
      <c r="A516" t="s">
        <v>364</v>
      </c>
      <c r="B516" s="165">
        <v>41893</v>
      </c>
      <c r="C516" t="s">
        <v>359</v>
      </c>
      <c r="D516" t="s">
        <v>360</v>
      </c>
      <c r="E516">
        <v>1</v>
      </c>
      <c r="F516" s="166">
        <v>650</v>
      </c>
      <c r="G516">
        <v>650</v>
      </c>
    </row>
    <row r="517" spans="1:7" hidden="1">
      <c r="A517" t="s">
        <v>364</v>
      </c>
      <c r="B517" s="165">
        <v>41893</v>
      </c>
      <c r="C517" t="s">
        <v>359</v>
      </c>
      <c r="D517" t="s">
        <v>360</v>
      </c>
      <c r="E517">
        <v>11</v>
      </c>
      <c r="F517" s="166">
        <v>268.18181818181819</v>
      </c>
      <c r="G517">
        <v>2950</v>
      </c>
    </row>
    <row r="518" spans="1:7" hidden="1">
      <c r="A518" t="s">
        <v>364</v>
      </c>
      <c r="B518" s="165">
        <v>41893</v>
      </c>
      <c r="C518" t="s">
        <v>355</v>
      </c>
      <c r="D518" t="s">
        <v>356</v>
      </c>
      <c r="E518">
        <v>6</v>
      </c>
      <c r="F518" s="166">
        <v>1200</v>
      </c>
      <c r="G518">
        <v>7200</v>
      </c>
    </row>
    <row r="519" spans="1:7" hidden="1">
      <c r="A519" t="s">
        <v>364</v>
      </c>
      <c r="B519" s="165">
        <v>41893</v>
      </c>
      <c r="C519" t="s">
        <v>357</v>
      </c>
      <c r="D519" t="s">
        <v>358</v>
      </c>
      <c r="E519">
        <v>1</v>
      </c>
      <c r="F519" s="166">
        <v>445</v>
      </c>
      <c r="G519">
        <v>445</v>
      </c>
    </row>
    <row r="520" spans="1:7" hidden="1">
      <c r="A520" t="s">
        <v>364</v>
      </c>
      <c r="B520" s="165">
        <v>41893</v>
      </c>
      <c r="C520" t="s">
        <v>351</v>
      </c>
      <c r="D520" t="s">
        <v>352</v>
      </c>
      <c r="E520">
        <v>5</v>
      </c>
      <c r="F520" s="166">
        <v>775</v>
      </c>
      <c r="G520">
        <v>3875</v>
      </c>
    </row>
    <row r="521" spans="1:7" hidden="1">
      <c r="A521" t="s">
        <v>364</v>
      </c>
      <c r="B521" s="165">
        <v>41900</v>
      </c>
      <c r="C521" t="s">
        <v>359</v>
      </c>
      <c r="D521" t="s">
        <v>360</v>
      </c>
      <c r="E521">
        <v>5</v>
      </c>
      <c r="F521" s="166">
        <v>674.4</v>
      </c>
      <c r="G521">
        <v>3372</v>
      </c>
    </row>
    <row r="522" spans="1:7" hidden="1">
      <c r="A522" t="s">
        <v>364</v>
      </c>
      <c r="B522" s="165">
        <v>41900</v>
      </c>
      <c r="C522" t="s">
        <v>355</v>
      </c>
      <c r="D522" t="s">
        <v>356</v>
      </c>
      <c r="E522">
        <v>18</v>
      </c>
      <c r="F522" s="166">
        <v>854</v>
      </c>
      <c r="G522">
        <v>15372</v>
      </c>
    </row>
    <row r="523" spans="1:7" hidden="1">
      <c r="A523" t="s">
        <v>364</v>
      </c>
      <c r="B523" s="165">
        <v>41900</v>
      </c>
      <c r="C523" t="s">
        <v>353</v>
      </c>
      <c r="D523" t="s">
        <v>354</v>
      </c>
      <c r="E523">
        <v>12</v>
      </c>
      <c r="F523" s="166">
        <v>885.5</v>
      </c>
      <c r="G523">
        <v>10626</v>
      </c>
    </row>
    <row r="524" spans="1:7" hidden="1">
      <c r="A524" t="s">
        <v>364</v>
      </c>
      <c r="B524" s="165">
        <v>41915</v>
      </c>
      <c r="C524" t="s">
        <v>355</v>
      </c>
      <c r="D524" t="s">
        <v>356</v>
      </c>
      <c r="E524">
        <v>4</v>
      </c>
      <c r="F524" s="166">
        <v>510</v>
      </c>
      <c r="G524">
        <v>2040</v>
      </c>
    </row>
    <row r="525" spans="1:7" hidden="1">
      <c r="A525" t="s">
        <v>364</v>
      </c>
      <c r="B525" s="165">
        <v>41915</v>
      </c>
      <c r="C525" t="s">
        <v>357</v>
      </c>
      <c r="D525" t="s">
        <v>358</v>
      </c>
      <c r="E525">
        <v>6</v>
      </c>
      <c r="F525" s="166">
        <v>230</v>
      </c>
      <c r="G525">
        <v>1380</v>
      </c>
    </row>
    <row r="526" spans="1:7" hidden="1">
      <c r="A526" t="s">
        <v>364</v>
      </c>
      <c r="B526" s="165">
        <v>41915</v>
      </c>
      <c r="C526" t="s">
        <v>357</v>
      </c>
      <c r="D526" t="s">
        <v>358</v>
      </c>
      <c r="E526">
        <v>6</v>
      </c>
      <c r="F526" s="166">
        <v>433.33333333333331</v>
      </c>
      <c r="G526">
        <v>2600</v>
      </c>
    </row>
    <row r="527" spans="1:7" hidden="1">
      <c r="A527" t="s">
        <v>364</v>
      </c>
      <c r="B527" s="165">
        <v>41921</v>
      </c>
      <c r="C527" t="s">
        <v>359</v>
      </c>
      <c r="D527" t="s">
        <v>360</v>
      </c>
      <c r="E527">
        <v>6</v>
      </c>
      <c r="F527" s="166">
        <v>730</v>
      </c>
      <c r="G527">
        <v>4380</v>
      </c>
    </row>
    <row r="528" spans="1:7" hidden="1">
      <c r="A528" t="s">
        <v>364</v>
      </c>
      <c r="B528" s="165">
        <v>41921</v>
      </c>
      <c r="C528" t="s">
        <v>359</v>
      </c>
      <c r="D528" t="s">
        <v>360</v>
      </c>
      <c r="E528">
        <v>10</v>
      </c>
      <c r="F528" s="166">
        <v>450</v>
      </c>
      <c r="G528">
        <v>4500</v>
      </c>
    </row>
    <row r="529" spans="1:7" hidden="1">
      <c r="A529" t="s">
        <v>364</v>
      </c>
      <c r="B529" s="165">
        <v>41921</v>
      </c>
      <c r="C529" t="s">
        <v>359</v>
      </c>
      <c r="D529" t="s">
        <v>360</v>
      </c>
      <c r="E529">
        <v>5</v>
      </c>
      <c r="F529" s="166">
        <v>1000</v>
      </c>
      <c r="G529">
        <v>5000</v>
      </c>
    </row>
    <row r="530" spans="1:7" hidden="1">
      <c r="A530" t="s">
        <v>364</v>
      </c>
      <c r="B530" s="165">
        <v>41921</v>
      </c>
      <c r="C530" t="s">
        <v>355</v>
      </c>
      <c r="D530" t="s">
        <v>356</v>
      </c>
      <c r="E530">
        <v>4</v>
      </c>
      <c r="F530" s="166">
        <v>189.5</v>
      </c>
      <c r="G530">
        <v>758</v>
      </c>
    </row>
    <row r="531" spans="1:7" hidden="1">
      <c r="A531" t="s">
        <v>364</v>
      </c>
      <c r="B531" s="165">
        <v>41921</v>
      </c>
      <c r="C531" t="s">
        <v>355</v>
      </c>
      <c r="D531" t="s">
        <v>356</v>
      </c>
      <c r="E531">
        <v>3</v>
      </c>
      <c r="F531" s="166">
        <v>1000</v>
      </c>
      <c r="G531">
        <v>3000</v>
      </c>
    </row>
    <row r="532" spans="1:7" hidden="1">
      <c r="A532" t="s">
        <v>364</v>
      </c>
      <c r="B532" s="165">
        <v>41921</v>
      </c>
      <c r="C532" t="s">
        <v>355</v>
      </c>
      <c r="D532" t="s">
        <v>356</v>
      </c>
      <c r="E532">
        <v>7</v>
      </c>
      <c r="F532" s="166">
        <v>868</v>
      </c>
      <c r="G532">
        <v>6076</v>
      </c>
    </row>
    <row r="533" spans="1:7" hidden="1">
      <c r="A533" t="s">
        <v>364</v>
      </c>
      <c r="B533" s="165">
        <v>41921</v>
      </c>
      <c r="C533" t="s">
        <v>353</v>
      </c>
      <c r="D533" t="s">
        <v>354</v>
      </c>
      <c r="E533">
        <v>6</v>
      </c>
      <c r="F533" s="166">
        <v>1182</v>
      </c>
      <c r="G533">
        <v>7092</v>
      </c>
    </row>
    <row r="534" spans="1:7" hidden="1">
      <c r="A534" t="s">
        <v>364</v>
      </c>
      <c r="B534" s="165">
        <v>41921</v>
      </c>
      <c r="C534" t="s">
        <v>357</v>
      </c>
      <c r="D534" t="s">
        <v>358</v>
      </c>
      <c r="E534">
        <v>1</v>
      </c>
      <c r="F534" s="166">
        <v>235</v>
      </c>
      <c r="G534">
        <v>235</v>
      </c>
    </row>
    <row r="535" spans="1:7" hidden="1">
      <c r="A535" t="s">
        <v>364</v>
      </c>
      <c r="B535" s="165">
        <v>41921</v>
      </c>
      <c r="C535" t="s">
        <v>357</v>
      </c>
      <c r="D535" t="s">
        <v>358</v>
      </c>
      <c r="E535">
        <v>1</v>
      </c>
      <c r="F535" s="166">
        <v>589</v>
      </c>
      <c r="G535">
        <v>589</v>
      </c>
    </row>
    <row r="536" spans="1:7" hidden="1">
      <c r="A536" t="s">
        <v>364</v>
      </c>
      <c r="B536" s="165">
        <v>41921</v>
      </c>
      <c r="C536" t="s">
        <v>351</v>
      </c>
      <c r="D536" t="s">
        <v>352</v>
      </c>
      <c r="E536">
        <v>1</v>
      </c>
      <c r="F536" s="166">
        <v>600</v>
      </c>
      <c r="G536">
        <v>600</v>
      </c>
    </row>
    <row r="537" spans="1:7" hidden="1">
      <c r="A537" t="s">
        <v>364</v>
      </c>
      <c r="B537" s="165">
        <v>41921</v>
      </c>
      <c r="C537" t="s">
        <v>351</v>
      </c>
      <c r="D537" t="s">
        <v>352</v>
      </c>
      <c r="E537">
        <v>1</v>
      </c>
      <c r="F537" s="166">
        <v>650</v>
      </c>
      <c r="G537">
        <v>650</v>
      </c>
    </row>
    <row r="538" spans="1:7" hidden="1">
      <c r="A538" t="s">
        <v>364</v>
      </c>
      <c r="B538" s="165">
        <v>41921</v>
      </c>
      <c r="C538" t="s">
        <v>351</v>
      </c>
      <c r="D538" t="s">
        <v>352</v>
      </c>
      <c r="E538">
        <v>4</v>
      </c>
      <c r="F538" s="166">
        <v>175</v>
      </c>
      <c r="G538">
        <v>700</v>
      </c>
    </row>
    <row r="539" spans="1:7" hidden="1">
      <c r="A539" t="s">
        <v>364</v>
      </c>
      <c r="B539" s="165">
        <v>41921</v>
      </c>
      <c r="C539" t="s">
        <v>351</v>
      </c>
      <c r="D539" t="s">
        <v>352</v>
      </c>
      <c r="E539">
        <v>11</v>
      </c>
      <c r="F539" s="166">
        <v>450</v>
      </c>
      <c r="G539">
        <v>4950</v>
      </c>
    </row>
    <row r="540" spans="1:7" hidden="1">
      <c r="A540" t="s">
        <v>364</v>
      </c>
      <c r="B540" s="165">
        <v>41936</v>
      </c>
      <c r="C540" t="s">
        <v>355</v>
      </c>
      <c r="D540" t="s">
        <v>356</v>
      </c>
      <c r="E540">
        <v>8</v>
      </c>
      <c r="F540" s="166">
        <v>685</v>
      </c>
      <c r="G540">
        <v>5480</v>
      </c>
    </row>
    <row r="541" spans="1:7" hidden="1">
      <c r="A541" t="s">
        <v>364</v>
      </c>
      <c r="B541" s="165">
        <v>41936</v>
      </c>
      <c r="C541" t="s">
        <v>357</v>
      </c>
      <c r="D541" t="s">
        <v>358</v>
      </c>
      <c r="E541">
        <v>5</v>
      </c>
      <c r="F541" s="166">
        <v>264</v>
      </c>
      <c r="G541">
        <v>1320</v>
      </c>
    </row>
    <row r="542" spans="1:7" hidden="1">
      <c r="A542" t="s">
        <v>364</v>
      </c>
      <c r="B542" s="165">
        <v>41943</v>
      </c>
      <c r="C542" t="s">
        <v>359</v>
      </c>
      <c r="D542" t="s">
        <v>360</v>
      </c>
      <c r="E542">
        <v>4</v>
      </c>
      <c r="F542" s="166">
        <v>670</v>
      </c>
      <c r="G542">
        <v>2680</v>
      </c>
    </row>
    <row r="543" spans="1:7" hidden="1">
      <c r="A543" t="s">
        <v>364</v>
      </c>
      <c r="B543" s="165">
        <v>41943</v>
      </c>
      <c r="C543" t="s">
        <v>355</v>
      </c>
      <c r="D543" t="s">
        <v>356</v>
      </c>
      <c r="E543">
        <v>1</v>
      </c>
      <c r="F543" s="166">
        <v>796</v>
      </c>
      <c r="G543">
        <v>796</v>
      </c>
    </row>
    <row r="544" spans="1:7" hidden="1">
      <c r="A544" t="s">
        <v>364</v>
      </c>
      <c r="B544" s="165">
        <v>41943</v>
      </c>
      <c r="C544" t="s">
        <v>355</v>
      </c>
      <c r="D544" t="s">
        <v>356</v>
      </c>
      <c r="E544">
        <v>10</v>
      </c>
      <c r="F544" s="166">
        <v>796</v>
      </c>
      <c r="G544">
        <v>7960</v>
      </c>
    </row>
    <row r="545" spans="1:7" hidden="1">
      <c r="A545" t="s">
        <v>364</v>
      </c>
      <c r="B545" s="165">
        <v>41943</v>
      </c>
      <c r="C545" t="s">
        <v>351</v>
      </c>
      <c r="D545" t="s">
        <v>352</v>
      </c>
      <c r="E545">
        <v>31</v>
      </c>
      <c r="F545" s="166">
        <v>439.51612903225805</v>
      </c>
      <c r="G545">
        <v>13625</v>
      </c>
    </row>
    <row r="546" spans="1:7" hidden="1">
      <c r="A546" t="s">
        <v>364</v>
      </c>
      <c r="B546" s="165">
        <v>41949</v>
      </c>
      <c r="C546" t="s">
        <v>359</v>
      </c>
      <c r="D546" t="s">
        <v>360</v>
      </c>
      <c r="E546">
        <v>2</v>
      </c>
      <c r="F546" s="166">
        <v>390</v>
      </c>
      <c r="G546">
        <v>780</v>
      </c>
    </row>
    <row r="547" spans="1:7" hidden="1">
      <c r="A547" t="s">
        <v>364</v>
      </c>
      <c r="B547" s="165">
        <v>41949</v>
      </c>
      <c r="C547" t="s">
        <v>355</v>
      </c>
      <c r="D547" t="s">
        <v>356</v>
      </c>
      <c r="E547">
        <v>3</v>
      </c>
      <c r="F547" s="166">
        <v>1950</v>
      </c>
      <c r="G547">
        <v>5850</v>
      </c>
    </row>
    <row r="548" spans="1:7" hidden="1">
      <c r="A548" t="s">
        <v>364</v>
      </c>
      <c r="B548" s="165">
        <v>41949</v>
      </c>
      <c r="C548" t="s">
        <v>353</v>
      </c>
      <c r="D548" t="s">
        <v>354</v>
      </c>
      <c r="E548">
        <v>3</v>
      </c>
      <c r="F548" s="166">
        <v>1900</v>
      </c>
      <c r="G548">
        <v>5700</v>
      </c>
    </row>
    <row r="549" spans="1:7" hidden="1">
      <c r="A549" t="s">
        <v>364</v>
      </c>
      <c r="B549" s="165">
        <v>41949</v>
      </c>
      <c r="C549" t="s">
        <v>353</v>
      </c>
      <c r="D549" t="s">
        <v>354</v>
      </c>
      <c r="E549">
        <v>12</v>
      </c>
      <c r="F549" s="166">
        <v>800</v>
      </c>
      <c r="G549">
        <v>9600</v>
      </c>
    </row>
    <row r="550" spans="1:7" hidden="1">
      <c r="A550" t="s">
        <v>364</v>
      </c>
      <c r="B550" s="165">
        <v>41949</v>
      </c>
      <c r="C550" t="s">
        <v>357</v>
      </c>
      <c r="D550" t="s">
        <v>358</v>
      </c>
      <c r="E550">
        <v>3</v>
      </c>
      <c r="F550" s="166">
        <v>400</v>
      </c>
      <c r="G550">
        <v>1200</v>
      </c>
    </row>
    <row r="551" spans="1:7" hidden="1">
      <c r="A551" t="s">
        <v>364</v>
      </c>
      <c r="B551" s="165">
        <v>41949</v>
      </c>
      <c r="C551" t="s">
        <v>351</v>
      </c>
      <c r="D551" t="s">
        <v>352</v>
      </c>
      <c r="E551">
        <v>5</v>
      </c>
      <c r="F551" s="166">
        <v>400</v>
      </c>
      <c r="G551">
        <v>2000</v>
      </c>
    </row>
    <row r="552" spans="1:7" hidden="1">
      <c r="A552" t="s">
        <v>364</v>
      </c>
      <c r="B552" s="165">
        <v>41949</v>
      </c>
      <c r="C552" t="s">
        <v>351</v>
      </c>
      <c r="D552" t="s">
        <v>352</v>
      </c>
      <c r="E552">
        <v>6</v>
      </c>
      <c r="F552" s="166">
        <v>390</v>
      </c>
      <c r="G552">
        <v>2340</v>
      </c>
    </row>
    <row r="553" spans="1:7" hidden="1">
      <c r="A553" t="s">
        <v>364</v>
      </c>
      <c r="B553" s="165">
        <v>41949</v>
      </c>
      <c r="C553" t="s">
        <v>351</v>
      </c>
      <c r="D553" t="s">
        <v>352</v>
      </c>
      <c r="E553">
        <v>8</v>
      </c>
      <c r="F553" s="166">
        <v>825</v>
      </c>
      <c r="G553">
        <v>6600</v>
      </c>
    </row>
    <row r="554" spans="1:7" hidden="1">
      <c r="A554" t="s">
        <v>364</v>
      </c>
      <c r="B554" s="165">
        <v>41957</v>
      </c>
      <c r="C554" t="s">
        <v>359</v>
      </c>
      <c r="D554" t="s">
        <v>360</v>
      </c>
      <c r="E554">
        <v>2</v>
      </c>
      <c r="F554" s="166">
        <v>680</v>
      </c>
      <c r="G554">
        <v>1360</v>
      </c>
    </row>
    <row r="555" spans="1:7" hidden="1">
      <c r="A555" t="s">
        <v>364</v>
      </c>
      <c r="B555" s="165">
        <v>41957</v>
      </c>
      <c r="C555" t="s">
        <v>355</v>
      </c>
      <c r="D555" t="s">
        <v>356</v>
      </c>
      <c r="E555">
        <v>17</v>
      </c>
      <c r="F555" s="166">
        <v>677.88235294117646</v>
      </c>
      <c r="G555">
        <v>11524</v>
      </c>
    </row>
    <row r="556" spans="1:7" hidden="1">
      <c r="A556" t="s">
        <v>364</v>
      </c>
      <c r="B556" s="165">
        <v>41957</v>
      </c>
      <c r="C556" t="s">
        <v>357</v>
      </c>
      <c r="D556" t="s">
        <v>358</v>
      </c>
      <c r="E556">
        <v>18</v>
      </c>
      <c r="F556" s="166">
        <v>350</v>
      </c>
      <c r="G556">
        <v>6300</v>
      </c>
    </row>
    <row r="557" spans="1:7" hidden="1">
      <c r="A557" t="s">
        <v>364</v>
      </c>
      <c r="B557" s="165">
        <v>41957</v>
      </c>
      <c r="C557" t="s">
        <v>357</v>
      </c>
      <c r="D557" t="s">
        <v>358</v>
      </c>
      <c r="E557">
        <v>22</v>
      </c>
      <c r="F557" s="166">
        <v>309</v>
      </c>
      <c r="G557">
        <v>6798</v>
      </c>
    </row>
    <row r="558" spans="1:7" hidden="1">
      <c r="A558" t="s">
        <v>364</v>
      </c>
      <c r="B558" s="165">
        <v>41963</v>
      </c>
      <c r="C558" t="s">
        <v>359</v>
      </c>
      <c r="D558" t="s">
        <v>360</v>
      </c>
      <c r="E558">
        <v>12</v>
      </c>
      <c r="F558" s="166">
        <v>295</v>
      </c>
      <c r="G558">
        <v>3540</v>
      </c>
    </row>
    <row r="559" spans="1:7" hidden="1">
      <c r="A559" t="s">
        <v>364</v>
      </c>
      <c r="B559" s="165">
        <v>41971</v>
      </c>
      <c r="C559" t="s">
        <v>353</v>
      </c>
      <c r="D559" t="s">
        <v>354</v>
      </c>
      <c r="E559">
        <v>4</v>
      </c>
      <c r="F559" s="166">
        <v>1622.5</v>
      </c>
      <c r="G559">
        <v>6490</v>
      </c>
    </row>
    <row r="560" spans="1:7" hidden="1">
      <c r="A560" t="s">
        <v>364</v>
      </c>
      <c r="B560" s="165">
        <v>41971</v>
      </c>
      <c r="C560" t="s">
        <v>351</v>
      </c>
      <c r="D560" t="s">
        <v>352</v>
      </c>
      <c r="E560">
        <v>1</v>
      </c>
      <c r="F560" s="166">
        <v>225</v>
      </c>
      <c r="G560">
        <v>225</v>
      </c>
    </row>
    <row r="561" spans="1:7" hidden="1">
      <c r="A561" t="s">
        <v>364</v>
      </c>
      <c r="B561" s="165">
        <v>41971</v>
      </c>
      <c r="C561" t="s">
        <v>351</v>
      </c>
      <c r="D561" t="s">
        <v>352</v>
      </c>
      <c r="E561">
        <v>2</v>
      </c>
      <c r="F561" s="166">
        <v>650</v>
      </c>
      <c r="G561">
        <v>1300</v>
      </c>
    </row>
    <row r="562" spans="1:7" hidden="1">
      <c r="A562" t="s">
        <v>364</v>
      </c>
      <c r="B562" s="165">
        <v>41977</v>
      </c>
      <c r="C562" t="s">
        <v>359</v>
      </c>
      <c r="D562" t="s">
        <v>360</v>
      </c>
      <c r="E562">
        <v>17</v>
      </c>
      <c r="F562" s="166">
        <v>690</v>
      </c>
      <c r="G562">
        <v>11730</v>
      </c>
    </row>
    <row r="563" spans="1:7" hidden="1">
      <c r="A563" t="s">
        <v>364</v>
      </c>
      <c r="B563" s="165">
        <v>41977</v>
      </c>
      <c r="C563" t="s">
        <v>359</v>
      </c>
      <c r="D563" t="s">
        <v>360</v>
      </c>
      <c r="E563">
        <v>32</v>
      </c>
      <c r="F563" s="166">
        <v>400</v>
      </c>
      <c r="G563">
        <v>12800</v>
      </c>
    </row>
    <row r="564" spans="1:7" hidden="1">
      <c r="A564" t="s">
        <v>364</v>
      </c>
      <c r="B564" s="165">
        <v>41977</v>
      </c>
      <c r="C564" t="s">
        <v>355</v>
      </c>
      <c r="D564" t="s">
        <v>356</v>
      </c>
      <c r="E564">
        <v>6</v>
      </c>
      <c r="F564" s="166">
        <v>400</v>
      </c>
      <c r="G564">
        <v>2400</v>
      </c>
    </row>
    <row r="565" spans="1:7" hidden="1">
      <c r="A565" t="s">
        <v>364</v>
      </c>
      <c r="B565" s="165">
        <v>41977</v>
      </c>
      <c r="C565" t="s">
        <v>353</v>
      </c>
      <c r="D565" t="s">
        <v>354</v>
      </c>
      <c r="E565">
        <v>288</v>
      </c>
      <c r="F565" s="166">
        <v>847.08333333333337</v>
      </c>
      <c r="G565">
        <v>243960</v>
      </c>
    </row>
    <row r="566" spans="1:7" hidden="1">
      <c r="A566" t="s">
        <v>364</v>
      </c>
      <c r="B566" s="165">
        <v>41977</v>
      </c>
      <c r="C566" t="s">
        <v>351</v>
      </c>
      <c r="D566" t="s">
        <v>352</v>
      </c>
      <c r="E566">
        <v>105</v>
      </c>
      <c r="F566" s="166">
        <v>400</v>
      </c>
      <c r="G566">
        <v>42000</v>
      </c>
    </row>
    <row r="567" spans="1:7" hidden="1">
      <c r="A567" t="s">
        <v>364</v>
      </c>
      <c r="B567" s="165">
        <v>41999</v>
      </c>
      <c r="C567" t="s">
        <v>359</v>
      </c>
      <c r="D567" t="s">
        <v>360</v>
      </c>
      <c r="E567">
        <v>3</v>
      </c>
      <c r="F567" s="166">
        <v>700</v>
      </c>
      <c r="G567">
        <v>2100</v>
      </c>
    </row>
    <row r="568" spans="1:7">
      <c r="A568" t="s">
        <v>364</v>
      </c>
      <c r="B568" s="165">
        <v>41999</v>
      </c>
      <c r="C568" t="s">
        <v>361</v>
      </c>
      <c r="D568" t="s">
        <v>362</v>
      </c>
      <c r="E568">
        <v>2</v>
      </c>
      <c r="F568" s="166">
        <v>980</v>
      </c>
      <c r="G568">
        <v>1960</v>
      </c>
    </row>
    <row r="569" spans="1:7" hidden="1">
      <c r="A569" t="s">
        <v>364</v>
      </c>
      <c r="B569" s="165">
        <v>41999</v>
      </c>
      <c r="C569" t="s">
        <v>357</v>
      </c>
      <c r="D569" t="s">
        <v>358</v>
      </c>
      <c r="E569">
        <v>5</v>
      </c>
      <c r="F569" s="166">
        <v>264.8</v>
      </c>
      <c r="G569">
        <v>1324</v>
      </c>
    </row>
    <row r="570" spans="1:7" hidden="1">
      <c r="A570" t="s">
        <v>364</v>
      </c>
      <c r="B570" s="165">
        <v>41999</v>
      </c>
      <c r="C570" t="s">
        <v>351</v>
      </c>
      <c r="D570" t="s">
        <v>352</v>
      </c>
      <c r="E570">
        <v>12</v>
      </c>
      <c r="F570" s="166">
        <v>469.58333333333331</v>
      </c>
      <c r="G570">
        <v>5635</v>
      </c>
    </row>
    <row r="571" spans="1:7" hidden="1">
      <c r="A571" t="s">
        <v>364</v>
      </c>
      <c r="B571" s="165">
        <v>42004</v>
      </c>
      <c r="C571" t="s">
        <v>355</v>
      </c>
      <c r="D571" t="s">
        <v>356</v>
      </c>
      <c r="E571">
        <v>3</v>
      </c>
      <c r="F571" s="166">
        <v>313.66666666666669</v>
      </c>
      <c r="G571">
        <v>941</v>
      </c>
    </row>
    <row r="572" spans="1:7" hidden="1">
      <c r="A572" t="s">
        <v>364</v>
      </c>
      <c r="B572" s="165">
        <v>42004</v>
      </c>
      <c r="C572" t="s">
        <v>357</v>
      </c>
      <c r="D572" t="s">
        <v>358</v>
      </c>
      <c r="E572">
        <v>11</v>
      </c>
      <c r="F572" s="166">
        <v>225</v>
      </c>
      <c r="G572">
        <v>2475</v>
      </c>
    </row>
    <row r="573" spans="1:7" hidden="1">
      <c r="A573" t="s">
        <v>365</v>
      </c>
      <c r="B573" s="165">
        <v>41872</v>
      </c>
      <c r="C573" t="s">
        <v>357</v>
      </c>
      <c r="D573" t="s">
        <v>358</v>
      </c>
      <c r="E573">
        <v>1</v>
      </c>
      <c r="F573" s="166">
        <v>167</v>
      </c>
      <c r="G573">
        <v>167</v>
      </c>
    </row>
    <row r="574" spans="1:7" hidden="1">
      <c r="A574" t="s">
        <v>365</v>
      </c>
      <c r="B574" s="165">
        <v>41872</v>
      </c>
      <c r="C574" t="s">
        <v>351</v>
      </c>
      <c r="D574" t="s">
        <v>352</v>
      </c>
      <c r="E574">
        <v>7</v>
      </c>
      <c r="F574" s="166">
        <v>454.28571428571428</v>
      </c>
      <c r="G574">
        <v>3180</v>
      </c>
    </row>
    <row r="575" spans="1:7">
      <c r="A575" t="s">
        <v>365</v>
      </c>
      <c r="B575" s="165">
        <v>41977</v>
      </c>
      <c r="C575" t="s">
        <v>361</v>
      </c>
      <c r="D575" t="s">
        <v>362</v>
      </c>
      <c r="E575">
        <v>11</v>
      </c>
      <c r="F575" s="166">
        <v>890.90909090909088</v>
      </c>
      <c r="G575">
        <v>9800</v>
      </c>
    </row>
    <row r="576" spans="1:7">
      <c r="A576" t="s">
        <v>365</v>
      </c>
      <c r="B576" s="165">
        <v>41977</v>
      </c>
      <c r="C576" t="s">
        <v>361</v>
      </c>
      <c r="D576" t="s">
        <v>362</v>
      </c>
      <c r="E576">
        <v>11</v>
      </c>
      <c r="F576" s="166">
        <v>1021.4545454545455</v>
      </c>
      <c r="G576">
        <v>11236</v>
      </c>
    </row>
  </sheetData>
  <autoFilter ref="A1:G576">
    <filterColumn colId="3">
      <filters>
        <filter val="Exterior LED Fixture, 400W or Less"/>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7"/>
  <dimension ref="A1"/>
  <sheetViews>
    <sheetView workbookViewId="0">
      <selection activeCell="M35" sqref="M35"/>
    </sheetView>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1"/>
  <dimension ref="B2:I27"/>
  <sheetViews>
    <sheetView workbookViewId="0">
      <selection activeCell="C13" sqref="C13:C20"/>
    </sheetView>
  </sheetViews>
  <sheetFormatPr defaultRowHeight="12.75"/>
  <cols>
    <col min="3" max="3" width="75.5703125" customWidth="1"/>
    <col min="4" max="4" width="16.140625" customWidth="1"/>
    <col min="6" max="6" width="96.5703125" customWidth="1"/>
    <col min="7" max="7" width="5.42578125" customWidth="1"/>
    <col min="8" max="8" width="3.7109375" customWidth="1"/>
    <col min="9" max="9" width="9.140625" hidden="1" customWidth="1"/>
  </cols>
  <sheetData>
    <row r="2" spans="2:6">
      <c r="B2" s="53" t="s">
        <v>1</v>
      </c>
      <c r="C2" s="53" t="s">
        <v>45</v>
      </c>
      <c r="D2" s="53" t="s">
        <v>46</v>
      </c>
      <c r="E2" s="53" t="s">
        <v>47</v>
      </c>
      <c r="F2" s="53" t="s">
        <v>48</v>
      </c>
    </row>
    <row r="3" spans="2:6" s="55" customFormat="1" ht="18" customHeight="1">
      <c r="B3" s="57">
        <f>ROW()-2</f>
        <v>1</v>
      </c>
      <c r="C3" s="355" t="s">
        <v>49</v>
      </c>
      <c r="D3" s="356">
        <v>42020</v>
      </c>
      <c r="E3" s="357" t="s">
        <v>161</v>
      </c>
      <c r="F3" s="54"/>
    </row>
    <row r="4" spans="2:6" ht="18" customHeight="1">
      <c r="B4" s="57">
        <f t="shared" ref="B4:B27" si="0">ROW()-2</f>
        <v>2</v>
      </c>
      <c r="C4" s="355" t="s">
        <v>50</v>
      </c>
      <c r="D4" s="356">
        <v>42020</v>
      </c>
      <c r="E4" s="357" t="s">
        <v>161</v>
      </c>
    </row>
    <row r="5" spans="2:6" ht="18" customHeight="1">
      <c r="B5" s="57">
        <f t="shared" si="0"/>
        <v>3</v>
      </c>
      <c r="C5" s="355" t="s">
        <v>159</v>
      </c>
      <c r="D5" s="356">
        <v>41996</v>
      </c>
      <c r="E5" s="357" t="s">
        <v>160</v>
      </c>
    </row>
    <row r="6" spans="2:6" ht="18" customHeight="1">
      <c r="B6" s="57">
        <f t="shared" si="0"/>
        <v>4</v>
      </c>
      <c r="C6" s="355" t="s">
        <v>59</v>
      </c>
      <c r="D6" s="356">
        <v>41996</v>
      </c>
      <c r="E6" s="357" t="s">
        <v>160</v>
      </c>
    </row>
    <row r="7" spans="2:6" ht="18" customHeight="1">
      <c r="B7" s="57">
        <f t="shared" si="0"/>
        <v>5</v>
      </c>
      <c r="C7" s="355" t="s">
        <v>58</v>
      </c>
      <c r="D7" s="356">
        <v>41996</v>
      </c>
      <c r="E7" s="357" t="s">
        <v>160</v>
      </c>
    </row>
    <row r="8" spans="2:6" ht="18" customHeight="1">
      <c r="B8" s="57">
        <f t="shared" si="0"/>
        <v>6</v>
      </c>
      <c r="C8" s="355" t="s">
        <v>61</v>
      </c>
      <c r="D8" s="356">
        <v>42020</v>
      </c>
      <c r="E8" s="357" t="s">
        <v>161</v>
      </c>
    </row>
    <row r="9" spans="2:6" ht="18" customHeight="1">
      <c r="B9" s="57">
        <f t="shared" si="0"/>
        <v>7</v>
      </c>
      <c r="C9" s="355" t="s">
        <v>55</v>
      </c>
      <c r="D9" s="356">
        <v>41996</v>
      </c>
      <c r="E9" s="357" t="s">
        <v>160</v>
      </c>
    </row>
    <row r="10" spans="2:6" ht="18" customHeight="1">
      <c r="B10" s="57">
        <f t="shared" si="0"/>
        <v>8</v>
      </c>
      <c r="C10" s="355" t="s">
        <v>976</v>
      </c>
      <c r="D10" s="356">
        <v>42020</v>
      </c>
      <c r="E10" s="358" t="s">
        <v>161</v>
      </c>
    </row>
    <row r="11" spans="2:6" ht="18" customHeight="1">
      <c r="B11" s="57">
        <f t="shared" si="0"/>
        <v>9</v>
      </c>
      <c r="C11" s="355" t="s">
        <v>977</v>
      </c>
      <c r="D11" s="356">
        <v>42020</v>
      </c>
      <c r="E11" s="358" t="s">
        <v>161</v>
      </c>
    </row>
    <row r="12" spans="2:6" ht="43.5" customHeight="1">
      <c r="B12" s="57">
        <f t="shared" si="0"/>
        <v>10</v>
      </c>
      <c r="C12" s="354" t="s">
        <v>983</v>
      </c>
      <c r="D12" s="359"/>
      <c r="E12" s="361" t="s">
        <v>161</v>
      </c>
      <c r="F12" s="354" t="s">
        <v>985</v>
      </c>
    </row>
    <row r="13" spans="2:6" ht="18" customHeight="1">
      <c r="B13" s="57">
        <f t="shared" si="0"/>
        <v>11</v>
      </c>
      <c r="C13" s="355" t="s">
        <v>60</v>
      </c>
      <c r="D13" s="356">
        <v>42022</v>
      </c>
      <c r="E13" s="357" t="s">
        <v>160</v>
      </c>
    </row>
    <row r="14" spans="2:6" ht="18" customHeight="1">
      <c r="B14" s="57">
        <f t="shared" si="0"/>
        <v>12</v>
      </c>
      <c r="C14" s="355" t="s">
        <v>52</v>
      </c>
      <c r="D14" s="356">
        <v>42022</v>
      </c>
      <c r="E14" s="357" t="s">
        <v>160</v>
      </c>
    </row>
    <row r="15" spans="2:6" ht="18" customHeight="1">
      <c r="B15" s="57">
        <f t="shared" si="0"/>
        <v>13</v>
      </c>
      <c r="C15" s="355" t="s">
        <v>53</v>
      </c>
      <c r="D15" s="356">
        <v>42022</v>
      </c>
      <c r="E15" s="357" t="s">
        <v>160</v>
      </c>
    </row>
    <row r="16" spans="2:6" ht="18" customHeight="1">
      <c r="B16" s="57">
        <f t="shared" si="0"/>
        <v>14</v>
      </c>
      <c r="C16" s="355" t="s">
        <v>62</v>
      </c>
      <c r="D16" s="356">
        <v>42022</v>
      </c>
      <c r="E16" s="357" t="s">
        <v>160</v>
      </c>
    </row>
    <row r="17" spans="2:5" ht="18" customHeight="1">
      <c r="B17" s="57">
        <f>ROW()-2</f>
        <v>15</v>
      </c>
      <c r="C17" s="355" t="s">
        <v>56</v>
      </c>
      <c r="D17" s="356">
        <v>42022</v>
      </c>
      <c r="E17" s="357" t="s">
        <v>160</v>
      </c>
    </row>
    <row r="18" spans="2:5" ht="18" customHeight="1">
      <c r="B18" s="57">
        <f t="shared" si="0"/>
        <v>16</v>
      </c>
      <c r="C18" s="355" t="s">
        <v>54</v>
      </c>
      <c r="D18" s="356">
        <v>42022</v>
      </c>
      <c r="E18" s="357" t="s">
        <v>160</v>
      </c>
    </row>
    <row r="19" spans="2:5" ht="18" customHeight="1">
      <c r="B19" s="57">
        <f t="shared" si="0"/>
        <v>17</v>
      </c>
      <c r="C19" s="355" t="s">
        <v>57</v>
      </c>
      <c r="D19" s="356">
        <v>42022</v>
      </c>
      <c r="E19" s="357" t="s">
        <v>160</v>
      </c>
    </row>
    <row r="20" spans="2:5" ht="18" customHeight="1">
      <c r="B20" s="57">
        <f t="shared" si="0"/>
        <v>18</v>
      </c>
      <c r="C20" s="355" t="s">
        <v>51</v>
      </c>
      <c r="D20" s="356">
        <v>42022</v>
      </c>
      <c r="E20" s="357" t="s">
        <v>160</v>
      </c>
    </row>
    <row r="21" spans="2:5" ht="18" customHeight="1">
      <c r="B21" s="57">
        <f t="shared" si="0"/>
        <v>19</v>
      </c>
      <c r="C21" s="354" t="s">
        <v>984</v>
      </c>
      <c r="D21" s="360"/>
      <c r="E21" s="360" t="s">
        <v>160</v>
      </c>
    </row>
    <row r="22" spans="2:5" ht="18" customHeight="1">
      <c r="B22" s="57">
        <f t="shared" si="0"/>
        <v>20</v>
      </c>
      <c r="C22" s="354" t="s">
        <v>980</v>
      </c>
      <c r="D22" s="360"/>
      <c r="E22" s="360" t="s">
        <v>160</v>
      </c>
    </row>
    <row r="23" spans="2:5" ht="18" customHeight="1">
      <c r="B23" s="57">
        <f t="shared" si="0"/>
        <v>21</v>
      </c>
      <c r="C23" s="354" t="s">
        <v>981</v>
      </c>
      <c r="D23" s="360"/>
      <c r="E23" s="360" t="s">
        <v>160</v>
      </c>
    </row>
    <row r="24" spans="2:5" ht="18" customHeight="1">
      <c r="B24" s="57">
        <f t="shared" si="0"/>
        <v>22</v>
      </c>
      <c r="C24" s="354" t="s">
        <v>982</v>
      </c>
      <c r="D24" s="360"/>
      <c r="E24" s="360" t="s">
        <v>160</v>
      </c>
    </row>
    <row r="25" spans="2:5" ht="18" customHeight="1">
      <c r="B25" s="57">
        <f t="shared" si="0"/>
        <v>23</v>
      </c>
      <c r="C25" s="354"/>
      <c r="D25" s="56"/>
    </row>
    <row r="26" spans="2:5" ht="18" customHeight="1">
      <c r="B26" s="57">
        <f t="shared" si="0"/>
        <v>24</v>
      </c>
      <c r="C26" s="354"/>
      <c r="D26" s="56"/>
    </row>
    <row r="27" spans="2:5" ht="18" customHeight="1">
      <c r="B27" s="57">
        <f t="shared" si="0"/>
        <v>25</v>
      </c>
      <c r="C27" s="354"/>
      <c r="D27" s="5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1"/>
  <dimension ref="A1:AC180"/>
  <sheetViews>
    <sheetView topLeftCell="A34" workbookViewId="0">
      <selection activeCell="C64" sqref="C64:C71"/>
    </sheetView>
  </sheetViews>
  <sheetFormatPr defaultRowHeight="12.75"/>
  <cols>
    <col min="1" max="1" width="45.5703125" customWidth="1"/>
    <col min="2" max="2" width="18.7109375" customWidth="1"/>
    <col min="3" max="3" width="54.28515625" customWidth="1"/>
    <col min="4" max="4" width="16.28515625" customWidth="1"/>
    <col min="5" max="5" width="11" customWidth="1"/>
    <col min="10" max="10" width="9.28515625" bestFit="1" customWidth="1"/>
    <col min="24" max="24" width="10" customWidth="1"/>
    <col min="25" max="25" width="12" customWidth="1"/>
    <col min="27" max="27" width="14.42578125" customWidth="1"/>
  </cols>
  <sheetData>
    <row r="1" spans="1:29" ht="12.75" customHeight="1">
      <c r="A1" s="234" t="s">
        <v>691</v>
      </c>
      <c r="B1" s="372" t="s">
        <v>979</v>
      </c>
      <c r="C1" s="373"/>
      <c r="D1" s="373"/>
      <c r="E1" s="373"/>
      <c r="F1" s="373"/>
      <c r="G1" s="373"/>
      <c r="H1" s="373"/>
      <c r="I1" s="373"/>
      <c r="J1" s="373"/>
      <c r="K1" s="373"/>
      <c r="L1" s="373"/>
      <c r="M1" s="373"/>
      <c r="N1" s="373"/>
      <c r="O1" s="373"/>
      <c r="P1" s="373"/>
      <c r="Q1" s="373"/>
      <c r="R1" s="373"/>
      <c r="S1" s="374"/>
      <c r="T1" s="235"/>
      <c r="U1" s="235"/>
      <c r="V1" s="235"/>
      <c r="W1" s="235"/>
      <c r="X1" s="24"/>
      <c r="Y1" s="24"/>
      <c r="Z1" s="24"/>
      <c r="AA1" s="24"/>
      <c r="AB1" s="24"/>
      <c r="AC1" s="24"/>
    </row>
    <row r="2" spans="1:29">
      <c r="A2" s="236"/>
      <c r="B2" s="375"/>
      <c r="C2" s="376"/>
      <c r="D2" s="376"/>
      <c r="E2" s="376"/>
      <c r="F2" s="376"/>
      <c r="G2" s="376"/>
      <c r="H2" s="376"/>
      <c r="I2" s="376"/>
      <c r="J2" s="376"/>
      <c r="K2" s="376"/>
      <c r="L2" s="376"/>
      <c r="M2" s="376"/>
      <c r="N2" s="376"/>
      <c r="O2" s="376"/>
      <c r="P2" s="376"/>
      <c r="Q2" s="376"/>
      <c r="R2" s="376"/>
      <c r="S2" s="377"/>
      <c r="T2" s="237"/>
      <c r="U2" s="237"/>
      <c r="V2" s="237"/>
      <c r="W2" s="237"/>
      <c r="X2" s="24"/>
      <c r="Y2" s="24"/>
      <c r="Z2" s="24"/>
      <c r="AA2" s="24"/>
      <c r="AB2" s="24"/>
      <c r="AC2" s="24"/>
    </row>
    <row r="3" spans="1:29">
      <c r="A3" s="236"/>
      <c r="B3" s="375"/>
      <c r="C3" s="376"/>
      <c r="D3" s="376"/>
      <c r="E3" s="376"/>
      <c r="F3" s="376"/>
      <c r="G3" s="376"/>
      <c r="H3" s="376"/>
      <c r="I3" s="376"/>
      <c r="J3" s="376"/>
      <c r="K3" s="376"/>
      <c r="L3" s="376"/>
      <c r="M3" s="376"/>
      <c r="N3" s="376"/>
      <c r="O3" s="376"/>
      <c r="P3" s="376"/>
      <c r="Q3" s="376"/>
      <c r="R3" s="376"/>
      <c r="S3" s="377"/>
      <c r="T3" s="237"/>
      <c r="U3" s="237"/>
      <c r="V3" s="237"/>
      <c r="W3" s="237"/>
      <c r="X3" s="24"/>
      <c r="Y3" s="24"/>
      <c r="Z3" s="24"/>
      <c r="AA3" s="24"/>
      <c r="AB3" s="24"/>
      <c r="AC3" s="24"/>
    </row>
    <row r="4" spans="1:29">
      <c r="A4" s="236"/>
      <c r="B4" s="375"/>
      <c r="C4" s="376"/>
      <c r="D4" s="376"/>
      <c r="E4" s="376"/>
      <c r="F4" s="376"/>
      <c r="G4" s="376"/>
      <c r="H4" s="376"/>
      <c r="I4" s="376"/>
      <c r="J4" s="376"/>
      <c r="K4" s="376"/>
      <c r="L4" s="376"/>
      <c r="M4" s="376"/>
      <c r="N4" s="376"/>
      <c r="O4" s="376"/>
      <c r="P4" s="376"/>
      <c r="Q4" s="376"/>
      <c r="R4" s="376"/>
      <c r="S4" s="377"/>
      <c r="T4" s="237"/>
      <c r="U4" s="237"/>
      <c r="V4" s="237"/>
      <c r="W4" s="237"/>
      <c r="X4" s="24"/>
      <c r="Y4" s="24"/>
      <c r="Z4" s="24"/>
      <c r="AA4" s="24"/>
      <c r="AB4" s="24"/>
      <c r="AC4" s="24"/>
    </row>
    <row r="5" spans="1:29">
      <c r="A5" s="238" t="s">
        <v>692</v>
      </c>
      <c r="B5" s="375"/>
      <c r="C5" s="376"/>
      <c r="D5" s="378"/>
      <c r="E5" s="378"/>
      <c r="F5" s="378"/>
      <c r="G5" s="378"/>
      <c r="H5" s="378"/>
      <c r="I5" s="378"/>
      <c r="J5" s="378"/>
      <c r="K5" s="378"/>
      <c r="L5" s="378"/>
      <c r="M5" s="378"/>
      <c r="N5" s="378"/>
      <c r="O5" s="378"/>
      <c r="P5" s="378"/>
      <c r="Q5" s="378"/>
      <c r="R5" s="378"/>
      <c r="S5" s="379"/>
      <c r="T5" s="237"/>
      <c r="U5" s="237"/>
      <c r="V5" s="237"/>
      <c r="W5" s="237"/>
      <c r="X5" s="24"/>
      <c r="Y5" s="24"/>
      <c r="Z5" s="24"/>
      <c r="AA5" s="24"/>
      <c r="AB5" s="24"/>
      <c r="AC5" s="24"/>
    </row>
    <row r="6" spans="1:29">
      <c r="A6" s="291" t="s">
        <v>830</v>
      </c>
      <c r="B6" s="239"/>
      <c r="C6" s="239"/>
      <c r="D6" s="240"/>
      <c r="E6" s="241"/>
      <c r="F6" s="241"/>
      <c r="G6" s="241"/>
      <c r="H6" s="241"/>
      <c r="I6" s="241"/>
      <c r="J6" s="241"/>
      <c r="K6" s="241"/>
      <c r="L6" s="241"/>
      <c r="M6" s="241"/>
      <c r="N6" s="241"/>
      <c r="O6" s="241"/>
      <c r="P6" s="241"/>
      <c r="Q6" s="241"/>
      <c r="R6" s="241"/>
      <c r="S6" s="242"/>
      <c r="T6" s="237"/>
      <c r="U6" s="237"/>
      <c r="V6" s="237"/>
      <c r="W6" s="237"/>
      <c r="X6" s="24"/>
      <c r="Y6" s="24"/>
      <c r="Z6" s="24"/>
      <c r="AA6" s="24"/>
      <c r="AB6" s="24"/>
      <c r="AC6" s="24"/>
    </row>
    <row r="7" spans="1:29">
      <c r="A7" s="238" t="s">
        <v>831</v>
      </c>
      <c r="B7" s="243" t="s">
        <v>693</v>
      </c>
      <c r="C7" s="244" t="s">
        <v>41</v>
      </c>
      <c r="D7" s="244" t="s">
        <v>41</v>
      </c>
      <c r="E7" s="24"/>
      <c r="F7" s="24"/>
      <c r="G7" s="24"/>
      <c r="H7" s="24"/>
      <c r="I7" s="24"/>
      <c r="J7" s="24"/>
      <c r="K7" s="24"/>
      <c r="L7" s="24"/>
      <c r="M7" s="24"/>
      <c r="N7" s="24"/>
      <c r="O7" s="24"/>
      <c r="P7" s="24"/>
      <c r="Q7" s="24"/>
      <c r="R7" s="24"/>
      <c r="S7" s="24"/>
      <c r="T7" s="24"/>
      <c r="U7" s="24"/>
      <c r="V7" s="24"/>
      <c r="W7" s="24"/>
      <c r="X7" s="24"/>
      <c r="Y7" s="24"/>
      <c r="Z7" s="24"/>
      <c r="AA7" s="24"/>
      <c r="AB7" s="24"/>
      <c r="AC7" s="24"/>
    </row>
    <row r="8" spans="1:29">
      <c r="A8" s="292" t="s">
        <v>832</v>
      </c>
      <c r="B8" s="243" t="s">
        <v>694</v>
      </c>
      <c r="C8" s="244" t="str">
        <f>[1]MLIST!$D$66</f>
        <v>Exterior Building Lighting-New</v>
      </c>
      <c r="D8" s="244" t="s">
        <v>695</v>
      </c>
      <c r="E8" s="245"/>
      <c r="F8" s="24"/>
      <c r="G8" s="24"/>
      <c r="H8" s="24"/>
      <c r="I8" s="24"/>
      <c r="J8" s="24"/>
      <c r="K8" s="24"/>
      <c r="L8" s="24"/>
      <c r="M8" s="24"/>
      <c r="N8" s="24"/>
      <c r="O8" s="24"/>
      <c r="P8" s="24"/>
      <c r="Q8" s="24"/>
      <c r="R8" s="24"/>
      <c r="S8" s="24"/>
      <c r="T8" s="24"/>
      <c r="U8" s="24"/>
      <c r="V8" s="24"/>
      <c r="W8" s="24"/>
      <c r="X8" s="24"/>
      <c r="Y8" s="24"/>
      <c r="Z8" s="24"/>
      <c r="AA8" s="24"/>
      <c r="AB8" s="24"/>
      <c r="AC8" s="24"/>
    </row>
    <row r="9" spans="1:29">
      <c r="A9" s="24"/>
      <c r="B9" s="246" t="s">
        <v>696</v>
      </c>
      <c r="C9" s="244">
        <f>[1]FILES!$H$4</f>
        <v>2035</v>
      </c>
      <c r="D9" s="244"/>
      <c r="E9" s="247"/>
      <c r="F9" s="24"/>
      <c r="G9" s="24"/>
      <c r="H9" s="24"/>
      <c r="I9" s="24"/>
      <c r="J9" s="24"/>
      <c r="K9" s="24"/>
      <c r="L9" s="24"/>
      <c r="M9" s="24"/>
      <c r="N9" s="24"/>
      <c r="O9" s="24"/>
      <c r="P9" s="24"/>
      <c r="Q9" s="24"/>
      <c r="R9" s="24"/>
      <c r="S9" s="24"/>
      <c r="T9" s="24"/>
      <c r="U9" s="24"/>
      <c r="V9" s="24"/>
      <c r="W9" s="24"/>
      <c r="X9" s="24"/>
      <c r="Y9" s="24"/>
      <c r="Z9" s="24"/>
      <c r="AA9" s="24"/>
      <c r="AB9" s="24"/>
      <c r="AC9" s="24"/>
    </row>
    <row r="10" spans="1:29">
      <c r="A10" s="24"/>
      <c r="B10" s="243" t="s">
        <v>697</v>
      </c>
      <c r="C10" s="248">
        <f>$Y$150</f>
        <v>21.277365061421204</v>
      </c>
      <c r="D10" s="24"/>
      <c r="E10" s="24">
        <v>1</v>
      </c>
      <c r="F10" s="24">
        <f>E10+1</f>
        <v>2</v>
      </c>
      <c r="G10" s="24">
        <f t="shared" ref="G10:V11" si="0">F10+1</f>
        <v>3</v>
      </c>
      <c r="H10" s="24">
        <f t="shared" si="0"/>
        <v>4</v>
      </c>
      <c r="I10" s="24">
        <f t="shared" si="0"/>
        <v>5</v>
      </c>
      <c r="J10" s="24">
        <f t="shared" si="0"/>
        <v>6</v>
      </c>
      <c r="K10" s="24">
        <f t="shared" si="0"/>
        <v>7</v>
      </c>
      <c r="L10" s="24">
        <f t="shared" si="0"/>
        <v>8</v>
      </c>
      <c r="M10" s="24">
        <f t="shared" si="0"/>
        <v>9</v>
      </c>
      <c r="N10" s="24">
        <f t="shared" si="0"/>
        <v>10</v>
      </c>
      <c r="O10" s="24">
        <f t="shared" si="0"/>
        <v>11</v>
      </c>
      <c r="P10" s="24">
        <f t="shared" si="0"/>
        <v>12</v>
      </c>
      <c r="Q10" s="24">
        <f t="shared" si="0"/>
        <v>13</v>
      </c>
      <c r="R10" s="24">
        <f t="shared" si="0"/>
        <v>14</v>
      </c>
      <c r="S10" s="24">
        <f t="shared" si="0"/>
        <v>15</v>
      </c>
      <c r="T10" s="24">
        <f t="shared" si="0"/>
        <v>16</v>
      </c>
      <c r="U10" s="24">
        <f t="shared" si="0"/>
        <v>17</v>
      </c>
      <c r="V10" s="24">
        <f t="shared" si="0"/>
        <v>18</v>
      </c>
      <c r="W10" s="24">
        <f t="shared" ref="W10:X11" si="1">V10+1</f>
        <v>19</v>
      </c>
      <c r="X10" s="24">
        <f t="shared" si="1"/>
        <v>20</v>
      </c>
      <c r="Y10" s="24"/>
      <c r="Z10" s="24"/>
      <c r="AA10" s="24"/>
      <c r="AB10" s="24"/>
      <c r="AC10" s="24"/>
    </row>
    <row r="11" spans="1:29" ht="15">
      <c r="A11" s="249" t="s">
        <v>889</v>
      </c>
      <c r="B11" s="250"/>
      <c r="C11" s="243" t="str">
        <f>$C$8</f>
        <v>Exterior Building Lighting-New</v>
      </c>
      <c r="D11" s="243"/>
      <c r="E11" s="243">
        <f>C9-20+1</f>
        <v>2016</v>
      </c>
      <c r="F11" s="243">
        <f>E11+1</f>
        <v>2017</v>
      </c>
      <c r="G11" s="243">
        <f t="shared" si="0"/>
        <v>2018</v>
      </c>
      <c r="H11" s="243">
        <f t="shared" si="0"/>
        <v>2019</v>
      </c>
      <c r="I11" s="243">
        <f t="shared" si="0"/>
        <v>2020</v>
      </c>
      <c r="J11" s="243">
        <f t="shared" si="0"/>
        <v>2021</v>
      </c>
      <c r="K11" s="243">
        <f t="shared" si="0"/>
        <v>2022</v>
      </c>
      <c r="L11" s="243">
        <f t="shared" si="0"/>
        <v>2023</v>
      </c>
      <c r="M11" s="243">
        <f t="shared" si="0"/>
        <v>2024</v>
      </c>
      <c r="N11" s="243">
        <f t="shared" si="0"/>
        <v>2025</v>
      </c>
      <c r="O11" s="243">
        <f t="shared" si="0"/>
        <v>2026</v>
      </c>
      <c r="P11" s="243">
        <f t="shared" si="0"/>
        <v>2027</v>
      </c>
      <c r="Q11" s="243">
        <f t="shared" si="0"/>
        <v>2028</v>
      </c>
      <c r="R11" s="243">
        <f t="shared" si="0"/>
        <v>2029</v>
      </c>
      <c r="S11" s="243">
        <f t="shared" si="0"/>
        <v>2030</v>
      </c>
      <c r="T11" s="243">
        <f t="shared" si="0"/>
        <v>2031</v>
      </c>
      <c r="U11" s="243">
        <f t="shared" si="0"/>
        <v>2032</v>
      </c>
      <c r="V11" s="243">
        <f t="shared" si="0"/>
        <v>2033</v>
      </c>
      <c r="W11" s="243">
        <f t="shared" si="1"/>
        <v>2034</v>
      </c>
      <c r="X11" s="243">
        <f t="shared" si="1"/>
        <v>2035</v>
      </c>
      <c r="Y11" s="251" t="s">
        <v>698</v>
      </c>
      <c r="Z11" s="251" t="s">
        <v>699</v>
      </c>
      <c r="AA11" s="24"/>
      <c r="AB11" s="24"/>
      <c r="AC11" s="24"/>
    </row>
    <row r="12" spans="1:29">
      <c r="A12" s="243"/>
      <c r="B12" s="243"/>
      <c r="C12" s="342" t="s">
        <v>871</v>
      </c>
      <c r="D12" s="243"/>
      <c r="E12" s="243" t="str">
        <f>CONCATENATE("Floor_",E11)</f>
        <v>Floor_2016</v>
      </c>
      <c r="F12" s="243" t="str">
        <f t="shared" ref="F12:X12" si="2">CONCATENATE("Floor_",F11)</f>
        <v>Floor_2017</v>
      </c>
      <c r="G12" s="243" t="str">
        <f t="shared" si="2"/>
        <v>Floor_2018</v>
      </c>
      <c r="H12" s="243" t="str">
        <f t="shared" si="2"/>
        <v>Floor_2019</v>
      </c>
      <c r="I12" s="243" t="str">
        <f t="shared" si="2"/>
        <v>Floor_2020</v>
      </c>
      <c r="J12" s="243" t="str">
        <f t="shared" si="2"/>
        <v>Floor_2021</v>
      </c>
      <c r="K12" s="243" t="str">
        <f t="shared" si="2"/>
        <v>Floor_2022</v>
      </c>
      <c r="L12" s="243" t="str">
        <f t="shared" si="2"/>
        <v>Floor_2023</v>
      </c>
      <c r="M12" s="243" t="str">
        <f t="shared" si="2"/>
        <v>Floor_2024</v>
      </c>
      <c r="N12" s="243" t="str">
        <f t="shared" si="2"/>
        <v>Floor_2025</v>
      </c>
      <c r="O12" s="243" t="str">
        <f t="shared" si="2"/>
        <v>Floor_2026</v>
      </c>
      <c r="P12" s="243" t="str">
        <f t="shared" si="2"/>
        <v>Floor_2027</v>
      </c>
      <c r="Q12" s="243" t="str">
        <f t="shared" si="2"/>
        <v>Floor_2028</v>
      </c>
      <c r="R12" s="243" t="str">
        <f t="shared" si="2"/>
        <v>Floor_2029</v>
      </c>
      <c r="S12" s="243" t="str">
        <f t="shared" si="2"/>
        <v>Floor_2030</v>
      </c>
      <c r="T12" s="243" t="str">
        <f t="shared" si="2"/>
        <v>Floor_2031</v>
      </c>
      <c r="U12" s="243" t="str">
        <f t="shared" si="2"/>
        <v>Floor_2032</v>
      </c>
      <c r="V12" s="243" t="str">
        <f t="shared" si="2"/>
        <v>Floor_2033</v>
      </c>
      <c r="W12" s="243" t="str">
        <f t="shared" si="2"/>
        <v>Floor_2034</v>
      </c>
      <c r="X12" s="243" t="str">
        <f t="shared" si="2"/>
        <v>Floor_2035</v>
      </c>
      <c r="Y12" s="251"/>
      <c r="Z12" s="252">
        <v>0.85</v>
      </c>
      <c r="AA12" s="24"/>
      <c r="AB12" s="24"/>
      <c r="AC12" s="24"/>
    </row>
    <row r="13" spans="1:29">
      <c r="B13" s="24" t="s">
        <v>806</v>
      </c>
      <c r="C13" s="24" t="s">
        <v>807</v>
      </c>
      <c r="D13" s="24">
        <v>1</v>
      </c>
      <c r="E13" s="290">
        <f>INDEX([2]!ComRegionNewBase,$D13,E$10)</f>
        <v>7.8066550111953834</v>
      </c>
      <c r="F13" s="290">
        <f>INDEX([2]!ComRegionNewBase,$D13,F$10)</f>
        <v>5.9496992573140863</v>
      </c>
      <c r="G13" s="290">
        <f>INDEX([2]!ComRegionNewBase,$D13,G$10)</f>
        <v>5.890903545908837</v>
      </c>
      <c r="H13" s="290">
        <f>INDEX([2]!ComRegionNewBase,$D13,H$10)</f>
        <v>6.8915688291332424</v>
      </c>
      <c r="I13" s="290">
        <f>INDEX([2]!ComRegionNewBase,$D13,I$10)</f>
        <v>6.6410191533148355</v>
      </c>
      <c r="J13" s="290">
        <f>INDEX([2]!ComRegionNewBase,$D13,J$10)</f>
        <v>5.4382226791221893</v>
      </c>
      <c r="K13" s="290">
        <f>INDEX([2]!ComRegionNewBase,$D13,K$10)</f>
        <v>6.9236851515846078</v>
      </c>
      <c r="L13" s="290">
        <f>INDEX([2]!ComRegionNewBase,$D13,L$10)</f>
        <v>6.040566884985755</v>
      </c>
      <c r="M13" s="290">
        <f>INDEX([2]!ComRegionNewBase,$D13,M$10)</f>
        <v>5.8620040343764588</v>
      </c>
      <c r="N13" s="290">
        <f>INDEX([2]!ComRegionNewBase,$D13,N$10)</f>
        <v>6.6048352977963205</v>
      </c>
      <c r="O13" s="290">
        <f>INDEX([2]!ComRegionNewBase,$D13,O$10)</f>
        <v>6.6081856774849808</v>
      </c>
      <c r="P13" s="290">
        <f>INDEX([2]!ComRegionNewBase,$D13,P$10)</f>
        <v>7.2276230030590352</v>
      </c>
      <c r="Q13" s="290">
        <f>INDEX([2]!ComRegionNewBase,$D13,Q$10)</f>
        <v>7.9321378463678132</v>
      </c>
      <c r="R13" s="290">
        <f>INDEX([2]!ComRegionNewBase,$D13,R$10)</f>
        <v>7.2590370336019197</v>
      </c>
      <c r="S13" s="290">
        <f>INDEX([2]!ComRegionNewBase,$D13,S$10)</f>
        <v>7.9122271387396417</v>
      </c>
      <c r="T13" s="290">
        <f>INDEX([2]!ComRegionNewBase,$D13,T$10)</f>
        <v>7.7623340380974311</v>
      </c>
      <c r="U13" s="290">
        <f>INDEX([2]!ComRegionNewBase,$D13,U$10)</f>
        <v>7.6402299023279152</v>
      </c>
      <c r="V13" s="290">
        <f>INDEX([2]!ComRegionNewBase,$D13,V$10)</f>
        <v>7.1724831299946894</v>
      </c>
      <c r="W13" s="290">
        <f>INDEX([2]!ComRegionNewBase,$D13,W$10)</f>
        <v>7.0810470955732994</v>
      </c>
      <c r="X13" s="290">
        <f>INDEX([2]!ComRegionNewBase,$D13,X$10)</f>
        <v>7.4281005850341701</v>
      </c>
      <c r="Y13" s="253">
        <f t="shared" ref="Y13:Y30" si="3">SUM(E13:X13)</f>
        <v>138.07256529501262</v>
      </c>
      <c r="Z13" s="198"/>
      <c r="AA13" s="24"/>
      <c r="AB13" s="24"/>
      <c r="AC13" s="24"/>
    </row>
    <row r="14" spans="1:29">
      <c r="B14" s="24" t="s">
        <v>806</v>
      </c>
      <c r="C14" s="24" t="s">
        <v>808</v>
      </c>
      <c r="D14" s="24">
        <v>2</v>
      </c>
      <c r="E14" s="290">
        <f>INDEX([2]!ComRegionNewBase,$D14,E$10)</f>
        <v>6.3306892326899415</v>
      </c>
      <c r="F14" s="290">
        <f>INDEX([2]!ComRegionNewBase,$D14,F$10)</f>
        <v>4.6245517962703104</v>
      </c>
      <c r="G14" s="290">
        <f>INDEX([2]!ComRegionNewBase,$D14,G$10)</f>
        <v>4.6954401235311058</v>
      </c>
      <c r="H14" s="290">
        <f>INDEX([2]!ComRegionNewBase,$D14,H$10)</f>
        <v>5.5561738496820645</v>
      </c>
      <c r="I14" s="290">
        <f>INDEX([2]!ComRegionNewBase,$D14,I$10)</f>
        <v>5.2903315868283292</v>
      </c>
      <c r="J14" s="290">
        <f>INDEX([2]!ComRegionNewBase,$D14,J$10)</f>
        <v>4.0954748538564614</v>
      </c>
      <c r="K14" s="290">
        <f>INDEX([2]!ComRegionNewBase,$D14,K$10)</f>
        <v>5.6166455086822502</v>
      </c>
      <c r="L14" s="290">
        <f>INDEX([2]!ComRegionNewBase,$D14,L$10)</f>
        <v>4.8928421056079552</v>
      </c>
      <c r="M14" s="290">
        <f>INDEX([2]!ComRegionNewBase,$D14,M$10)</f>
        <v>4.6489885594062974</v>
      </c>
      <c r="N14" s="290">
        <f>INDEX([2]!ComRegionNewBase,$D14,N$10)</f>
        <v>5.3600762751998365</v>
      </c>
      <c r="O14" s="290">
        <f>INDEX([2]!ComRegionNewBase,$D14,O$10)</f>
        <v>5.3451061612370649</v>
      </c>
      <c r="P14" s="290">
        <f>INDEX([2]!ComRegionNewBase,$D14,P$10)</f>
        <v>5.7169042762389006</v>
      </c>
      <c r="Q14" s="290">
        <f>INDEX([2]!ComRegionNewBase,$D14,Q$10)</f>
        <v>6.1644080859749115</v>
      </c>
      <c r="R14" s="290">
        <f>INDEX([2]!ComRegionNewBase,$D14,R$10)</f>
        <v>5.8003829082546376</v>
      </c>
      <c r="S14" s="290">
        <f>INDEX([2]!ComRegionNewBase,$D14,S$10)</f>
        <v>6.4331999103991837</v>
      </c>
      <c r="T14" s="290">
        <f>INDEX([2]!ComRegionNewBase,$D14,T$10)</f>
        <v>6.1077443299386847</v>
      </c>
      <c r="U14" s="290">
        <f>INDEX([2]!ComRegionNewBase,$D14,U$10)</f>
        <v>6.3133258324543373</v>
      </c>
      <c r="V14" s="290">
        <f>INDEX([2]!ComRegionNewBase,$D14,V$10)</f>
        <v>5.5403053352108875</v>
      </c>
      <c r="W14" s="290">
        <f>INDEX([2]!ComRegionNewBase,$D14,W$10)</f>
        <v>5.5266028757425794</v>
      </c>
      <c r="X14" s="290">
        <f>INDEX([2]!ComRegionNewBase,$D14,X$10)</f>
        <v>5.9833355534459063</v>
      </c>
      <c r="Y14" s="253">
        <f t="shared" si="3"/>
        <v>110.04252916065165</v>
      </c>
      <c r="Z14" s="198"/>
      <c r="AA14" s="24"/>
      <c r="AB14" s="24"/>
      <c r="AC14" s="24"/>
    </row>
    <row r="15" spans="1:29">
      <c r="B15" s="24" t="s">
        <v>806</v>
      </c>
      <c r="C15" s="24" t="s">
        <v>809</v>
      </c>
      <c r="D15" s="24">
        <v>3</v>
      </c>
      <c r="E15" s="290">
        <f>INDEX([2]!ComRegionNewBase,$D15,E$10)</f>
        <v>1.6621196768024407</v>
      </c>
      <c r="F15" s="290">
        <f>INDEX([2]!ComRegionNewBase,$D15,F$10)</f>
        <v>1.2170657423442173</v>
      </c>
      <c r="G15" s="290">
        <f>INDEX([2]!ComRegionNewBase,$D15,G$10)</f>
        <v>1.2444333527444498</v>
      </c>
      <c r="H15" s="290">
        <f>INDEX([2]!ComRegionNewBase,$D15,H$10)</f>
        <v>1.4586094503549032</v>
      </c>
      <c r="I15" s="290">
        <f>INDEX([2]!ComRegionNewBase,$D15,I$10)</f>
        <v>1.4004070058555529</v>
      </c>
      <c r="J15" s="290">
        <f>INDEX([2]!ComRegionNewBase,$D15,J$10)</f>
        <v>1.0787722980410579</v>
      </c>
      <c r="K15" s="290">
        <f>INDEX([2]!ComRegionNewBase,$D15,K$10)</f>
        <v>1.4747976167420549</v>
      </c>
      <c r="L15" s="290">
        <f>INDEX([2]!ComRegionNewBase,$D15,L$10)</f>
        <v>1.2896357804774434</v>
      </c>
      <c r="M15" s="290">
        <f>INDEX([2]!ComRegionNewBase,$D15,M$10)</f>
        <v>1.2239291307589197</v>
      </c>
      <c r="N15" s="290">
        <f>INDEX([2]!ComRegionNewBase,$D15,N$10)</f>
        <v>1.4012443744673324</v>
      </c>
      <c r="O15" s="290">
        <f>INDEX([2]!ComRegionNewBase,$D15,O$10)</f>
        <v>1.3991315932028052</v>
      </c>
      <c r="P15" s="290">
        <f>INDEX([2]!ComRegionNewBase,$D15,P$10)</f>
        <v>1.4996248899933684</v>
      </c>
      <c r="Q15" s="290">
        <f>INDEX([2]!ComRegionNewBase,$D15,Q$10)</f>
        <v>1.6197763904689295</v>
      </c>
      <c r="R15" s="290">
        <f>INDEX([2]!ComRegionNewBase,$D15,R$10)</f>
        <v>1.5187400891362097</v>
      </c>
      <c r="S15" s="290">
        <f>INDEX([2]!ComRegionNewBase,$D15,S$10)</f>
        <v>1.6890757136254622</v>
      </c>
      <c r="T15" s="290">
        <f>INDEX([2]!ComRegionNewBase,$D15,T$10)</f>
        <v>1.5972356158259797</v>
      </c>
      <c r="U15" s="290">
        <f>INDEX([2]!ComRegionNewBase,$D15,U$10)</f>
        <v>1.640465747141107</v>
      </c>
      <c r="V15" s="290">
        <f>INDEX([2]!ComRegionNewBase,$D15,V$10)</f>
        <v>1.4565955217811706</v>
      </c>
      <c r="W15" s="290">
        <f>INDEX([2]!ComRegionNewBase,$D15,W$10)</f>
        <v>1.4531741906643101</v>
      </c>
      <c r="X15" s="290">
        <f>INDEX([2]!ComRegionNewBase,$D15,X$10)</f>
        <v>1.5648660344158036</v>
      </c>
      <c r="Y15" s="253">
        <f t="shared" si="3"/>
        <v>28.889700214843518</v>
      </c>
      <c r="Z15" s="198"/>
      <c r="AA15" s="24"/>
      <c r="AB15" s="24"/>
      <c r="AC15" s="24"/>
    </row>
    <row r="16" spans="1:29">
      <c r="B16" s="24" t="s">
        <v>810</v>
      </c>
      <c r="C16" s="24" t="s">
        <v>811</v>
      </c>
      <c r="D16" s="284">
        <v>4</v>
      </c>
      <c r="E16" s="290">
        <f>INDEX([2]!ComRegionNewBase,$D16,E$10)</f>
        <v>1.799418169017593</v>
      </c>
      <c r="F16" s="290">
        <f>INDEX([2]!ComRegionNewBase,$D16,F$10)</f>
        <v>1.485755176968429</v>
      </c>
      <c r="G16" s="290">
        <f>INDEX([2]!ComRegionNewBase,$D16,G$10)</f>
        <v>0.89794362681754358</v>
      </c>
      <c r="H16" s="290">
        <f>INDEX([2]!ComRegionNewBase,$D16,H$10)</f>
        <v>0.91201694404352718</v>
      </c>
      <c r="I16" s="290">
        <f>INDEX([2]!ComRegionNewBase,$D16,I$10)</f>
        <v>0.85125423267540556</v>
      </c>
      <c r="J16" s="290">
        <f>INDEX([2]!ComRegionNewBase,$D16,J$10)</f>
        <v>0.73204497427617965</v>
      </c>
      <c r="K16" s="290">
        <f>INDEX([2]!ComRegionNewBase,$D16,K$10)</f>
        <v>0.73428349109996394</v>
      </c>
      <c r="L16" s="290">
        <f>INDEX([2]!ComRegionNewBase,$D16,L$10)</f>
        <v>0.71341173425108251</v>
      </c>
      <c r="M16" s="290">
        <f>INDEX([2]!ComRegionNewBase,$D16,M$10)</f>
        <v>0.89455902577447755</v>
      </c>
      <c r="N16" s="290">
        <f>INDEX([2]!ComRegionNewBase,$D16,N$10)</f>
        <v>1.032083805968905</v>
      </c>
      <c r="O16" s="290">
        <f>INDEX([2]!ComRegionNewBase,$D16,O$10)</f>
        <v>1.0963398187475875</v>
      </c>
      <c r="P16" s="290">
        <f>INDEX([2]!ComRegionNewBase,$D16,P$10)</f>
        <v>1.617287860192538</v>
      </c>
      <c r="Q16" s="290">
        <f>INDEX([2]!ComRegionNewBase,$D16,Q$10)</f>
        <v>1.8239074921539626</v>
      </c>
      <c r="R16" s="290">
        <f>INDEX([2]!ComRegionNewBase,$D16,R$10)</f>
        <v>1.6267354909009817</v>
      </c>
      <c r="S16" s="290">
        <f>INDEX([2]!ComRegionNewBase,$D16,S$10)</f>
        <v>1.5970323938843554</v>
      </c>
      <c r="T16" s="290">
        <f>INDEX([2]!ComRegionNewBase,$D16,T$10)</f>
        <v>1.5393396581386409</v>
      </c>
      <c r="U16" s="290">
        <f>INDEX([2]!ComRegionNewBase,$D16,U$10)</f>
        <v>1.2960530677092543</v>
      </c>
      <c r="V16" s="290">
        <f>INDEX([2]!ComRegionNewBase,$D16,V$10)</f>
        <v>1.3176455108269955</v>
      </c>
      <c r="W16" s="290">
        <f>INDEX([2]!ComRegionNewBase,$D16,W$10)</f>
        <v>1.2469979474733393</v>
      </c>
      <c r="X16" s="290">
        <f>INDEX([2]!ComRegionNewBase,$D16,X$10)</f>
        <v>1.3540449607593745</v>
      </c>
      <c r="Y16" s="253">
        <f t="shared" si="3"/>
        <v>24.568155381680135</v>
      </c>
      <c r="Z16" s="198"/>
      <c r="AA16" s="24"/>
      <c r="AB16" s="24"/>
      <c r="AC16" s="24"/>
    </row>
    <row r="17" spans="1:29">
      <c r="B17" s="24" t="s">
        <v>810</v>
      </c>
      <c r="C17" s="24" t="s">
        <v>812</v>
      </c>
      <c r="D17" s="284">
        <v>5</v>
      </c>
      <c r="E17" s="290">
        <f>INDEX([2]!ComRegionNewBase,$D17,E$10)</f>
        <v>0.71960427219664069</v>
      </c>
      <c r="F17" s="290">
        <f>INDEX([2]!ComRegionNewBase,$D17,F$10)</f>
        <v>0.59647847099566831</v>
      </c>
      <c r="G17" s="290">
        <f>INDEX([2]!ComRegionNewBase,$D17,G$10)</f>
        <v>0.36611838042447359</v>
      </c>
      <c r="H17" s="290">
        <f>INDEX([2]!ComRegionNewBase,$D17,H$10)</f>
        <v>0.3731768350638246</v>
      </c>
      <c r="I17" s="290">
        <f>INDEX([2]!ComRegionNewBase,$D17,I$10)</f>
        <v>0.34504559304633386</v>
      </c>
      <c r="J17" s="290">
        <f>INDEX([2]!ComRegionNewBase,$D17,J$10)</f>
        <v>0.2928623587115301</v>
      </c>
      <c r="K17" s="290">
        <f>INDEX([2]!ComRegionNewBase,$D17,K$10)</f>
        <v>0.29376294298921468</v>
      </c>
      <c r="L17" s="290">
        <f>INDEX([2]!ComRegionNewBase,$D17,L$10)</f>
        <v>0.28416308329236456</v>
      </c>
      <c r="M17" s="290">
        <f>INDEX([2]!ComRegionNewBase,$D17,M$10)</f>
        <v>0.36455471421578001</v>
      </c>
      <c r="N17" s="290">
        <f>INDEX([2]!ComRegionNewBase,$D17,N$10)</f>
        <v>0.42646627810709853</v>
      </c>
      <c r="O17" s="290">
        <f>INDEX([2]!ComRegionNewBase,$D17,O$10)</f>
        <v>0.44956380488737768</v>
      </c>
      <c r="P17" s="290">
        <f>INDEX([2]!ComRegionNewBase,$D17,P$10)</f>
        <v>0.65213839834683018</v>
      </c>
      <c r="Q17" s="290">
        <f>INDEX([2]!ComRegionNewBase,$D17,Q$10)</f>
        <v>0.73353807331773047</v>
      </c>
      <c r="R17" s="290">
        <f>INDEX([2]!ComRegionNewBase,$D17,R$10)</f>
        <v>0.65560780242911365</v>
      </c>
      <c r="S17" s="290">
        <f>INDEX([2]!ComRegionNewBase,$D17,S$10)</f>
        <v>0.64604928436358278</v>
      </c>
      <c r="T17" s="290">
        <f>INDEX([2]!ComRegionNewBase,$D17,T$10)</f>
        <v>0.62178261445398098</v>
      </c>
      <c r="U17" s="290">
        <f>INDEX([2]!ComRegionNewBase,$D17,U$10)</f>
        <v>0.52554853465709617</v>
      </c>
      <c r="V17" s="290">
        <f>INDEX([2]!ComRegionNewBase,$D17,V$10)</f>
        <v>0.53266253778165396</v>
      </c>
      <c r="W17" s="290">
        <f>INDEX([2]!ComRegionNewBase,$D17,W$10)</f>
        <v>0.50454130308386236</v>
      </c>
      <c r="X17" s="290">
        <f>INDEX([2]!ComRegionNewBase,$D17,X$10)</f>
        <v>0.54553111610891503</v>
      </c>
      <c r="Y17" s="253">
        <f t="shared" si="3"/>
        <v>9.9291963984730724</v>
      </c>
      <c r="Z17" s="198"/>
      <c r="AA17" s="24"/>
      <c r="AB17" s="24"/>
      <c r="AC17" s="24"/>
    </row>
    <row r="18" spans="1:29">
      <c r="B18" s="24" t="s">
        <v>810</v>
      </c>
      <c r="C18" s="24" t="s">
        <v>813</v>
      </c>
      <c r="D18" s="24">
        <v>6</v>
      </c>
      <c r="E18" s="290">
        <f>INDEX([2]!ComRegionNewBase,$D18,E$10)</f>
        <v>2.7275899469990224</v>
      </c>
      <c r="F18" s="290">
        <f>INDEX([2]!ComRegionNewBase,$D18,F$10)</f>
        <v>2.2451802625726844</v>
      </c>
      <c r="G18" s="290">
        <f>INDEX([2]!ComRegionNewBase,$D18,G$10)</f>
        <v>1.3846551620328988</v>
      </c>
      <c r="H18" s="290">
        <f>INDEX([2]!ComRegionNewBase,$D18,H$10)</f>
        <v>1.414332931216091</v>
      </c>
      <c r="I18" s="290">
        <f>INDEX([2]!ComRegionNewBase,$D18,I$10)</f>
        <v>1.3048976182463843</v>
      </c>
      <c r="J18" s="290">
        <f>INDEX([2]!ComRegionNewBase,$D18,J$10)</f>
        <v>1.1035456427042536</v>
      </c>
      <c r="K18" s="290">
        <f>INDEX([2]!ComRegionNewBase,$D18,K$10)</f>
        <v>1.0932193385059683</v>
      </c>
      <c r="L18" s="290">
        <f>INDEX([2]!ComRegionNewBase,$D18,L$10)</f>
        <v>1.0602010304011045</v>
      </c>
      <c r="M18" s="290">
        <f>INDEX([2]!ComRegionNewBase,$D18,M$10)</f>
        <v>1.3687417218066935</v>
      </c>
      <c r="N18" s="290">
        <f>INDEX([2]!ComRegionNewBase,$D18,N$10)</f>
        <v>1.6102119957699914</v>
      </c>
      <c r="O18" s="290">
        <f>INDEX([2]!ComRegionNewBase,$D18,O$10)</f>
        <v>1.7014476793012303</v>
      </c>
      <c r="P18" s="290">
        <f>INDEX([2]!ComRegionNewBase,$D18,P$10)</f>
        <v>2.4475448442766612</v>
      </c>
      <c r="Q18" s="290">
        <f>INDEX([2]!ComRegionNewBase,$D18,Q$10)</f>
        <v>2.7642584104961641</v>
      </c>
      <c r="R18" s="290">
        <f>INDEX([2]!ComRegionNewBase,$D18,R$10)</f>
        <v>2.4645092385842489</v>
      </c>
      <c r="S18" s="290">
        <f>INDEX([2]!ComRegionNewBase,$D18,S$10)</f>
        <v>2.435211674558635</v>
      </c>
      <c r="T18" s="290">
        <f>INDEX([2]!ComRegionNewBase,$D18,T$10)</f>
        <v>2.3436666024455817</v>
      </c>
      <c r="U18" s="290">
        <f>INDEX([2]!ComRegionNewBase,$D18,U$10)</f>
        <v>1.9970991421399598</v>
      </c>
      <c r="V18" s="290">
        <f>INDEX([2]!ComRegionNewBase,$D18,V$10)</f>
        <v>2.0220850932468024</v>
      </c>
      <c r="W18" s="290">
        <f>INDEX([2]!ComRegionNewBase,$D18,W$10)</f>
        <v>1.9074632582746243</v>
      </c>
      <c r="X18" s="290">
        <f>INDEX([2]!ComRegionNewBase,$D18,X$10)</f>
        <v>2.0633846520749657</v>
      </c>
      <c r="Y18" s="253">
        <f t="shared" si="3"/>
        <v>37.459246245653958</v>
      </c>
      <c r="Z18" s="198"/>
      <c r="AA18" s="24"/>
      <c r="AB18" s="24"/>
      <c r="AC18" s="24"/>
    </row>
    <row r="19" spans="1:29">
      <c r="B19" s="24" t="s">
        <v>810</v>
      </c>
      <c r="C19" s="24" t="s">
        <v>814</v>
      </c>
      <c r="D19" s="24">
        <v>7</v>
      </c>
      <c r="E19" s="290">
        <f>INDEX([2]!ComRegionNewBase,$D19,E$10)</f>
        <v>0.86249938561661099</v>
      </c>
      <c r="F19" s="290">
        <f>INDEX([2]!ComRegionNewBase,$D19,F$10)</f>
        <v>0.71243811393533818</v>
      </c>
      <c r="G19" s="290">
        <f>INDEX([2]!ComRegionNewBase,$D19,G$10)</f>
        <v>0.43988135050703958</v>
      </c>
      <c r="H19" s="290">
        <f>INDEX([2]!ComRegionNewBase,$D19,H$10)</f>
        <v>0.44879648252082133</v>
      </c>
      <c r="I19" s="290">
        <f>INDEX([2]!ComRegionNewBase,$D19,I$10)</f>
        <v>0.41374173801952452</v>
      </c>
      <c r="J19" s="290">
        <f>INDEX([2]!ComRegionNewBase,$D19,J$10)</f>
        <v>0.34301620014224921</v>
      </c>
      <c r="K19" s="290">
        <f>INDEX([2]!ComRegionNewBase,$D19,K$10)</f>
        <v>0.33946657261656726</v>
      </c>
      <c r="L19" s="290">
        <f>INDEX([2]!ComRegionNewBase,$D19,L$10)</f>
        <v>0.32965754978673117</v>
      </c>
      <c r="M19" s="290">
        <f>INDEX([2]!ComRegionNewBase,$D19,M$10)</f>
        <v>0.43689232903555525</v>
      </c>
      <c r="N19" s="290">
        <f>INDEX([2]!ComRegionNewBase,$D19,N$10)</f>
        <v>0.51886957722704219</v>
      </c>
      <c r="O19" s="290">
        <f>INDEX([2]!ComRegionNewBase,$D19,O$10)</f>
        <v>0.54817313334918127</v>
      </c>
      <c r="P19" s="290">
        <f>INDEX([2]!ComRegionNewBase,$D19,P$10)</f>
        <v>0.77969532117377649</v>
      </c>
      <c r="Q19" s="290">
        <f>INDEX([2]!ComRegionNewBase,$D19,Q$10)</f>
        <v>0.87858644381951334</v>
      </c>
      <c r="R19" s="290">
        <f>INDEX([2]!ComRegionNewBase,$D19,R$10)</f>
        <v>0.78420074698109388</v>
      </c>
      <c r="S19" s="290">
        <f>INDEX([2]!ComRegionNewBase,$D19,S$10)</f>
        <v>0.77728841592354081</v>
      </c>
      <c r="T19" s="290">
        <f>INDEX([2]!ComRegionNewBase,$D19,T$10)</f>
        <v>0.74886674252534069</v>
      </c>
      <c r="U19" s="290">
        <f>INDEX([2]!ComRegionNewBase,$D19,U$10)</f>
        <v>0.63964179951326661</v>
      </c>
      <c r="V19" s="290">
        <f>INDEX([2]!ComRegionNewBase,$D19,V$10)</f>
        <v>0.64714740319049269</v>
      </c>
      <c r="W19" s="290">
        <f>INDEX([2]!ComRegionNewBase,$D19,W$10)</f>
        <v>0.61166389038687663</v>
      </c>
      <c r="X19" s="290">
        <f>INDEX([2]!ComRegionNewBase,$D19,X$10)</f>
        <v>0.66242443593788758</v>
      </c>
      <c r="Y19" s="253">
        <f t="shared" si="3"/>
        <v>11.92294763220845</v>
      </c>
      <c r="Z19" s="198"/>
      <c r="AA19" s="24"/>
      <c r="AB19" s="24"/>
      <c r="AC19" s="24"/>
    </row>
    <row r="20" spans="1:29">
      <c r="B20" s="24" t="s">
        <v>815</v>
      </c>
      <c r="C20" s="24" t="s">
        <v>103</v>
      </c>
      <c r="D20" s="24">
        <v>8</v>
      </c>
      <c r="E20" s="290">
        <f>INDEX([2]!ComRegionNewBase,$D20,E$10)</f>
        <v>0.49337113702797691</v>
      </c>
      <c r="F20" s="290">
        <f>INDEX([2]!ComRegionNewBase,$D20,F$10)</f>
        <v>1.1029723159217257</v>
      </c>
      <c r="G20" s="290">
        <f>INDEX([2]!ComRegionNewBase,$D20,G$10)</f>
        <v>0.94992456965043459</v>
      </c>
      <c r="H20" s="290">
        <f>INDEX([2]!ComRegionNewBase,$D20,H$10)</f>
        <v>0.71720701164062661</v>
      </c>
      <c r="I20" s="290">
        <f>INDEX([2]!ComRegionNewBase,$D20,I$10)</f>
        <v>0.7442281187428561</v>
      </c>
      <c r="J20" s="290">
        <f>INDEX([2]!ComRegionNewBase,$D20,J$10)</f>
        <v>0.85140099810585501</v>
      </c>
      <c r="K20" s="290">
        <f>INDEX([2]!ComRegionNewBase,$D20,K$10)</f>
        <v>0.99139466996200198</v>
      </c>
      <c r="L20" s="290">
        <f>INDEX([2]!ComRegionNewBase,$D20,L$10)</f>
        <v>1.5014629353162949</v>
      </c>
      <c r="M20" s="290">
        <f>INDEX([2]!ComRegionNewBase,$D20,M$10)</f>
        <v>1.8697826256608596</v>
      </c>
      <c r="N20" s="290">
        <f>INDEX([2]!ComRegionNewBase,$D20,N$10)</f>
        <v>1.6452707482432332</v>
      </c>
      <c r="O20" s="290">
        <f>INDEX([2]!ComRegionNewBase,$D20,O$10)</f>
        <v>1.6753181172445872</v>
      </c>
      <c r="P20" s="290">
        <f>INDEX([2]!ComRegionNewBase,$D20,P$10)</f>
        <v>1.7943041099264481</v>
      </c>
      <c r="Q20" s="290">
        <f>INDEX([2]!ComRegionNewBase,$D20,Q$10)</f>
        <v>1.8624299937819393</v>
      </c>
      <c r="R20" s="290">
        <f>INDEX([2]!ComRegionNewBase,$D20,R$10)</f>
        <v>1.7489264522150836</v>
      </c>
      <c r="S20" s="290">
        <f>INDEX([2]!ComRegionNewBase,$D20,S$10)</f>
        <v>1.7975598556031414</v>
      </c>
      <c r="T20" s="290">
        <f>INDEX([2]!ComRegionNewBase,$D20,T$10)</f>
        <v>1.6195220459723754</v>
      </c>
      <c r="U20" s="290">
        <f>INDEX([2]!ComRegionNewBase,$D20,U$10)</f>
        <v>1.8221433074925411</v>
      </c>
      <c r="V20" s="290">
        <f>INDEX([2]!ComRegionNewBase,$D20,V$10)</f>
        <v>1.6336676691608698</v>
      </c>
      <c r="W20" s="290">
        <f>INDEX([2]!ComRegionNewBase,$D20,W$10)</f>
        <v>1.7826242149357872</v>
      </c>
      <c r="X20" s="290">
        <f>INDEX([2]!ComRegionNewBase,$D20,X$10)</f>
        <v>1.6891002859244486</v>
      </c>
      <c r="Y20" s="253">
        <f t="shared" si="3"/>
        <v>28.292611182529082</v>
      </c>
      <c r="Z20" s="198"/>
      <c r="AA20" s="24"/>
      <c r="AB20" s="24"/>
      <c r="AC20" s="24"/>
    </row>
    <row r="21" spans="1:29">
      <c r="B21" s="24" t="s">
        <v>816</v>
      </c>
      <c r="C21" s="24" t="s">
        <v>817</v>
      </c>
      <c r="D21" s="284">
        <v>9</v>
      </c>
      <c r="E21" s="290">
        <f>INDEX([2]!ComRegionNewBase,$D21,E$10)</f>
        <v>0.2800209986196866</v>
      </c>
      <c r="F21" s="290">
        <f>INDEX([2]!ComRegionNewBase,$D21,F$10)</f>
        <v>0.29719871383536939</v>
      </c>
      <c r="G21" s="290">
        <f>INDEX([2]!ComRegionNewBase,$D21,G$10)</f>
        <v>0.58203115602335975</v>
      </c>
      <c r="H21" s="290">
        <f>INDEX([2]!ComRegionNewBase,$D21,H$10)</f>
        <v>0.83189457735737737</v>
      </c>
      <c r="I21" s="290">
        <f>INDEX([2]!ComRegionNewBase,$D21,I$10)</f>
        <v>0.66610454718876777</v>
      </c>
      <c r="J21" s="290">
        <f>INDEX([2]!ComRegionNewBase,$D21,J$10)</f>
        <v>0.73648247778559484</v>
      </c>
      <c r="K21" s="290">
        <f>INDEX([2]!ComRegionNewBase,$D21,K$10)</f>
        <v>0.64334185638367225</v>
      </c>
      <c r="L21" s="290">
        <f>INDEX([2]!ComRegionNewBase,$D21,L$10)</f>
        <v>0.97289424291238524</v>
      </c>
      <c r="M21" s="290">
        <f>INDEX([2]!ComRegionNewBase,$D21,M$10)</f>
        <v>1.1820978013224126</v>
      </c>
      <c r="N21" s="290">
        <f>INDEX([2]!ComRegionNewBase,$D21,N$10)</f>
        <v>1.1785313924254113</v>
      </c>
      <c r="O21" s="290">
        <f>INDEX([2]!ComRegionNewBase,$D21,O$10)</f>
        <v>1.2952038876416079</v>
      </c>
      <c r="P21" s="290">
        <f>INDEX([2]!ComRegionNewBase,$D21,P$10)</f>
        <v>1.3229243736280945</v>
      </c>
      <c r="Q21" s="290">
        <f>INDEX([2]!ComRegionNewBase,$D21,Q$10)</f>
        <v>1.422909455419719</v>
      </c>
      <c r="R21" s="290">
        <f>INDEX([2]!ComRegionNewBase,$D21,R$10)</f>
        <v>1.4430187909981058</v>
      </c>
      <c r="S21" s="290">
        <f>INDEX([2]!ComRegionNewBase,$D21,S$10)</f>
        <v>1.2923971403480323</v>
      </c>
      <c r="T21" s="290">
        <f>INDEX([2]!ComRegionNewBase,$D21,T$10)</f>
        <v>1.1785050733908478</v>
      </c>
      <c r="U21" s="290">
        <f>INDEX([2]!ComRegionNewBase,$D21,U$10)</f>
        <v>1.3433889489273994</v>
      </c>
      <c r="V21" s="290">
        <f>INDEX([2]!ComRegionNewBase,$D21,V$10)</f>
        <v>1.2265545990556588</v>
      </c>
      <c r="W21" s="290">
        <f>INDEX([2]!ComRegionNewBase,$D21,W$10)</f>
        <v>1.2571458643971927</v>
      </c>
      <c r="X21" s="290">
        <f>INDEX([2]!ComRegionNewBase,$D21,X$10)</f>
        <v>1.2979913333963795</v>
      </c>
      <c r="Y21" s="253">
        <f t="shared" si="3"/>
        <v>20.450637231057076</v>
      </c>
      <c r="Z21" s="198"/>
      <c r="AA21" s="24"/>
      <c r="AB21" s="24"/>
      <c r="AC21" s="24"/>
    </row>
    <row r="22" spans="1:29">
      <c r="B22" s="24" t="s">
        <v>818</v>
      </c>
      <c r="C22" s="24" t="s">
        <v>108</v>
      </c>
      <c r="D22" s="284">
        <v>10</v>
      </c>
      <c r="E22" s="290">
        <f>INDEX([2]!ComRegionNewBase,$D22,E$10)</f>
        <v>7.6586609772993617</v>
      </c>
      <c r="F22" s="290">
        <f>INDEX([2]!ComRegionNewBase,$D22,F$10)</f>
        <v>7.5774552212762423</v>
      </c>
      <c r="G22" s="290">
        <f>INDEX([2]!ComRegionNewBase,$D22,G$10)</f>
        <v>5.6453939930651131</v>
      </c>
      <c r="H22" s="290">
        <f>INDEX([2]!ComRegionNewBase,$D22,H$10)</f>
        <v>4.800793231843981</v>
      </c>
      <c r="I22" s="290">
        <f>INDEX([2]!ComRegionNewBase,$D22,I$10)</f>
        <v>3.5881391412601156</v>
      </c>
      <c r="J22" s="290">
        <f>INDEX([2]!ComRegionNewBase,$D22,J$10)</f>
        <v>3.1529819033971824</v>
      </c>
      <c r="K22" s="290">
        <f>INDEX([2]!ComRegionNewBase,$D22,K$10)</f>
        <v>4.0691744688008198</v>
      </c>
      <c r="L22" s="290">
        <f>INDEX([2]!ComRegionNewBase,$D22,L$10)</f>
        <v>4.5400289951106014</v>
      </c>
      <c r="M22" s="290">
        <f>INDEX([2]!ComRegionNewBase,$D22,M$10)</f>
        <v>4.8555474587969272</v>
      </c>
      <c r="N22" s="290">
        <f>INDEX([2]!ComRegionNewBase,$D22,N$10)</f>
        <v>4.6966359797376018</v>
      </c>
      <c r="O22" s="290">
        <f>INDEX([2]!ComRegionNewBase,$D22,O$10)</f>
        <v>4.8557170740974245</v>
      </c>
      <c r="P22" s="290">
        <f>INDEX([2]!ComRegionNewBase,$D22,P$10)</f>
        <v>4.451750056135543</v>
      </c>
      <c r="Q22" s="290">
        <f>INDEX([2]!ComRegionNewBase,$D22,Q$10)</f>
        <v>3.8657972013430704</v>
      </c>
      <c r="R22" s="290">
        <f>INDEX([2]!ComRegionNewBase,$D22,R$10)</f>
        <v>3.9817445148405937</v>
      </c>
      <c r="S22" s="290">
        <f>INDEX([2]!ComRegionNewBase,$D22,S$10)</f>
        <v>3.9951806948216846</v>
      </c>
      <c r="T22" s="290">
        <f>INDEX([2]!ComRegionNewBase,$D22,T$10)</f>
        <v>4.4738164673360306</v>
      </c>
      <c r="U22" s="290">
        <f>INDEX([2]!ComRegionNewBase,$D22,U$10)</f>
        <v>4.2737219736102183</v>
      </c>
      <c r="V22" s="290">
        <f>INDEX([2]!ComRegionNewBase,$D22,V$10)</f>
        <v>4.0870251812551333</v>
      </c>
      <c r="W22" s="290">
        <f>INDEX([2]!ComRegionNewBase,$D22,W$10)</f>
        <v>4.137725578117939</v>
      </c>
      <c r="X22" s="290">
        <f>INDEX([2]!ComRegionNewBase,$D22,X$10)</f>
        <v>3.6922064696454697</v>
      </c>
      <c r="Y22" s="253">
        <f t="shared" si="3"/>
        <v>92.399496581791055</v>
      </c>
      <c r="Z22" s="198"/>
      <c r="AA22" s="24"/>
      <c r="AB22" s="24"/>
      <c r="AC22" s="24"/>
    </row>
    <row r="23" spans="1:29">
      <c r="B23" s="24" t="s">
        <v>819</v>
      </c>
      <c r="C23" s="24" t="s">
        <v>820</v>
      </c>
      <c r="D23" s="24">
        <v>11</v>
      </c>
      <c r="E23" s="290">
        <f>INDEX([2]!ComRegionNewBase,$D23,E$10)</f>
        <v>0.38924897939746522</v>
      </c>
      <c r="F23" s="290">
        <f>INDEX([2]!ComRegionNewBase,$D23,F$10)</f>
        <v>0.34341311895347121</v>
      </c>
      <c r="G23" s="290">
        <f>INDEX([2]!ComRegionNewBase,$D23,G$10)</f>
        <v>0.29927348040561341</v>
      </c>
      <c r="H23" s="290">
        <f>INDEX([2]!ComRegionNewBase,$D23,H$10)</f>
        <v>0.29688874456634085</v>
      </c>
      <c r="I23" s="290">
        <f>INDEX([2]!ComRegionNewBase,$D23,I$10)</f>
        <v>0.29379933994281465</v>
      </c>
      <c r="J23" s="290">
        <f>INDEX([2]!ComRegionNewBase,$D23,J$10)</f>
        <v>0.29041766271303127</v>
      </c>
      <c r="K23" s="290">
        <f>INDEX([2]!ComRegionNewBase,$D23,K$10)</f>
        <v>0.28614144770449462</v>
      </c>
      <c r="L23" s="290">
        <f>INDEX([2]!ComRegionNewBase,$D23,L$10)</f>
        <v>0.28163861967746157</v>
      </c>
      <c r="M23" s="290">
        <f>INDEX([2]!ComRegionNewBase,$D23,M$10)</f>
        <v>0.27688800876616482</v>
      </c>
      <c r="N23" s="290">
        <f>INDEX([2]!ComRegionNewBase,$D23,N$10)</f>
        <v>0.27357754310134663</v>
      </c>
      <c r="O23" s="290">
        <f>INDEX([2]!ComRegionNewBase,$D23,O$10)</f>
        <v>0.27063184585003941</v>
      </c>
      <c r="P23" s="290">
        <f>INDEX([2]!ComRegionNewBase,$D23,P$10)</f>
        <v>0.26801411864303953</v>
      </c>
      <c r="Q23" s="290">
        <f>INDEX([2]!ComRegionNewBase,$D23,Q$10)</f>
        <v>0.26660240614409092</v>
      </c>
      <c r="R23" s="290">
        <f>INDEX([2]!ComRegionNewBase,$D23,R$10)</f>
        <v>0.25138198684402913</v>
      </c>
      <c r="S23" s="290">
        <f>INDEX([2]!ComRegionNewBase,$D23,S$10)</f>
        <v>0.26455339135243683</v>
      </c>
      <c r="T23" s="290">
        <f>INDEX([2]!ComRegionNewBase,$D23,T$10)</f>
        <v>0.26299167309250365</v>
      </c>
      <c r="U23" s="290">
        <f>INDEX([2]!ComRegionNewBase,$D23,U$10)</f>
        <v>0.26140909607327911</v>
      </c>
      <c r="V23" s="290">
        <f>INDEX([2]!ComRegionNewBase,$D23,V$10)</f>
        <v>0.25947687815142023</v>
      </c>
      <c r="W23" s="290">
        <f>INDEX([2]!ComRegionNewBase,$D23,W$10)</f>
        <v>0.25750619496776178</v>
      </c>
      <c r="X23" s="290">
        <f>INDEX([2]!ComRegionNewBase,$D23,X$10)</f>
        <v>0.25562560804995926</v>
      </c>
      <c r="Y23" s="253">
        <f t="shared" si="3"/>
        <v>5.6494801443967644</v>
      </c>
      <c r="Z23" s="198"/>
      <c r="AA23" s="24"/>
      <c r="AB23" s="24"/>
      <c r="AC23" s="24"/>
    </row>
    <row r="24" spans="1:29">
      <c r="B24" s="24" t="s">
        <v>821</v>
      </c>
      <c r="C24" s="24" t="s">
        <v>822</v>
      </c>
      <c r="D24" s="24">
        <v>12</v>
      </c>
      <c r="E24" s="290">
        <f>INDEX([2]!ComRegionNewBase,$D24,E$10)</f>
        <v>0.19765540078516197</v>
      </c>
      <c r="F24" s="290">
        <f>INDEX([2]!ComRegionNewBase,$D24,F$10)</f>
        <v>0.18600542935034625</v>
      </c>
      <c r="G24" s="290">
        <f>INDEX([2]!ComRegionNewBase,$D24,G$10)</f>
        <v>9.5760802585072302E-2</v>
      </c>
      <c r="H24" s="290">
        <f>INDEX([2]!ComRegionNewBase,$D24,H$10)</f>
        <v>0.10062051473914659</v>
      </c>
      <c r="I24" s="290">
        <f>INDEX([2]!ComRegionNewBase,$D24,I$10)</f>
        <v>8.5646792534183808E-2</v>
      </c>
      <c r="J24" s="290">
        <f>INDEX([2]!ComRegionNewBase,$D24,J$10)</f>
        <v>6.5415041923045286E-2</v>
      </c>
      <c r="K24" s="290">
        <f>INDEX([2]!ComRegionNewBase,$D24,K$10)</f>
        <v>5.7242996146950373E-2</v>
      </c>
      <c r="L24" s="290">
        <f>INDEX([2]!ComRegionNewBase,$D24,L$10)</f>
        <v>5.5087150941189433E-2</v>
      </c>
      <c r="M24" s="290">
        <f>INDEX([2]!ComRegionNewBase,$D24,M$10)</f>
        <v>7.3916214299540497E-2</v>
      </c>
      <c r="N24" s="290">
        <f>INDEX([2]!ComRegionNewBase,$D24,N$10)</f>
        <v>9.2056169088318471E-2</v>
      </c>
      <c r="O24" s="290">
        <f>INDEX([2]!ComRegionNewBase,$D24,O$10)</f>
        <v>0.10393709432109566</v>
      </c>
      <c r="P24" s="290">
        <f>INDEX([2]!ComRegionNewBase,$D24,P$10)</f>
        <v>0.15172170448022598</v>
      </c>
      <c r="Q24" s="290">
        <f>INDEX([2]!ComRegionNewBase,$D24,Q$10)</f>
        <v>0.15706997726929292</v>
      </c>
      <c r="R24" s="290">
        <f>INDEX([2]!ComRegionNewBase,$D24,R$10)</f>
        <v>0.14510580631504899</v>
      </c>
      <c r="S24" s="290">
        <f>INDEX([2]!ComRegionNewBase,$D24,S$10)</f>
        <v>0.15272706829792246</v>
      </c>
      <c r="T24" s="290">
        <f>INDEX([2]!ComRegionNewBase,$D24,T$10)</f>
        <v>0.14104647748606622</v>
      </c>
      <c r="U24" s="290">
        <f>INDEX([2]!ComRegionNewBase,$D24,U$10)</f>
        <v>0.11700741064540764</v>
      </c>
      <c r="V24" s="290">
        <f>INDEX([2]!ComRegionNewBase,$D24,V$10)</f>
        <v>0.1200067315077773</v>
      </c>
      <c r="W24" s="290">
        <f>INDEX([2]!ComRegionNewBase,$D24,W$10)</f>
        <v>0.11457442878633581</v>
      </c>
      <c r="X24" s="290">
        <f>INDEX([2]!ComRegionNewBase,$D24,X$10)</f>
        <v>0.1211768182439132</v>
      </c>
      <c r="Y24" s="253">
        <f t="shared" si="3"/>
        <v>2.3337800297460412</v>
      </c>
      <c r="Z24" s="198"/>
      <c r="AA24" s="24"/>
      <c r="AB24" s="24"/>
      <c r="AC24" s="24"/>
    </row>
    <row r="25" spans="1:29">
      <c r="B25" s="24" t="s">
        <v>823</v>
      </c>
      <c r="C25" s="24" t="s">
        <v>118</v>
      </c>
      <c r="D25" s="24">
        <v>13</v>
      </c>
      <c r="E25" s="290">
        <f>INDEX([2]!ComRegionNewBase,$D25,E$10)</f>
        <v>0.46894871790011039</v>
      </c>
      <c r="F25" s="290">
        <f>INDEX([2]!ComRegionNewBase,$D25,F$10)</f>
        <v>0.47387410836125871</v>
      </c>
      <c r="G25" s="290">
        <f>INDEX([2]!ComRegionNewBase,$D25,G$10)</f>
        <v>0.45144590813821411</v>
      </c>
      <c r="H25" s="290">
        <f>INDEX([2]!ComRegionNewBase,$D25,H$10)</f>
        <v>0.4505136151455652</v>
      </c>
      <c r="I25" s="290">
        <f>INDEX([2]!ComRegionNewBase,$D25,I$10)</f>
        <v>0.44778046039172248</v>
      </c>
      <c r="J25" s="290">
        <f>INDEX([2]!ComRegionNewBase,$D25,J$10)</f>
        <v>0.44523396067124349</v>
      </c>
      <c r="K25" s="290">
        <f>INDEX([2]!ComRegionNewBase,$D25,K$10)</f>
        <v>0.44273536313864043</v>
      </c>
      <c r="L25" s="290">
        <f>INDEX([2]!ComRegionNewBase,$D25,L$10)</f>
        <v>0.4399078135546039</v>
      </c>
      <c r="M25" s="290">
        <f>INDEX([2]!ComRegionNewBase,$D25,M$10)</f>
        <v>0.43708606600163591</v>
      </c>
      <c r="N25" s="290">
        <f>INDEX([2]!ComRegionNewBase,$D25,N$10)</f>
        <v>0.43513915585550955</v>
      </c>
      <c r="O25" s="290">
        <f>INDEX([2]!ComRegionNewBase,$D25,O$10)</f>
        <v>0.43580404899906589</v>
      </c>
      <c r="P25" s="290">
        <f>INDEX([2]!ComRegionNewBase,$D25,P$10)</f>
        <v>0.59161866303702282</v>
      </c>
      <c r="Q25" s="290">
        <f>INDEX([2]!ComRegionNewBase,$D25,Q$10)</f>
        <v>0.66467702134516005</v>
      </c>
      <c r="R25" s="290">
        <f>INDEX([2]!ComRegionNewBase,$D25,R$10)</f>
        <v>0.65353995366480533</v>
      </c>
      <c r="S25" s="290">
        <f>INDEX([2]!ComRegionNewBase,$D25,S$10)</f>
        <v>0.676060915960916</v>
      </c>
      <c r="T25" s="290">
        <f>INDEX([2]!ComRegionNewBase,$D25,T$10)</f>
        <v>0.70559825286541389</v>
      </c>
      <c r="U25" s="290">
        <f>INDEX([2]!ComRegionNewBase,$D25,U$10)</f>
        <v>0.63206878506691044</v>
      </c>
      <c r="V25" s="290">
        <f>INDEX([2]!ComRegionNewBase,$D25,V$10)</f>
        <v>0.63726309269471215</v>
      </c>
      <c r="W25" s="290">
        <f>INDEX([2]!ComRegionNewBase,$D25,W$10)</f>
        <v>0.5828366650853003</v>
      </c>
      <c r="X25" s="290">
        <f>INDEX([2]!ComRegionNewBase,$D25,X$10)</f>
        <v>0.63928201324113043</v>
      </c>
      <c r="Y25" s="253">
        <f t="shared" si="3"/>
        <v>10.711414581118939</v>
      </c>
      <c r="Z25" s="198"/>
      <c r="AA25" s="24"/>
      <c r="AB25" s="24"/>
      <c r="AC25" s="24"/>
    </row>
    <row r="26" spans="1:29">
      <c r="B26" s="24" t="s">
        <v>824</v>
      </c>
      <c r="C26" s="24" t="s">
        <v>122</v>
      </c>
      <c r="D26" s="284">
        <v>14</v>
      </c>
      <c r="E26" s="290">
        <f>INDEX([2]!ComRegionNewBase,$D26,E$10)</f>
        <v>1.0326774321313152</v>
      </c>
      <c r="F26" s="290">
        <f>INDEX([2]!ComRegionNewBase,$D26,F$10)</f>
        <v>1.0158776160943388</v>
      </c>
      <c r="G26" s="290">
        <f>INDEX([2]!ComRegionNewBase,$D26,G$10)</f>
        <v>0.74304915446037911</v>
      </c>
      <c r="H26" s="290">
        <f>INDEX([2]!ComRegionNewBase,$D26,H$10)</f>
        <v>0.76054102414226543</v>
      </c>
      <c r="I26" s="290">
        <f>INDEX([2]!ComRegionNewBase,$D26,I$10)</f>
        <v>0.65616402459427536</v>
      </c>
      <c r="J26" s="290">
        <f>INDEX([2]!ComRegionNewBase,$D26,J$10)</f>
        <v>0.62755023267601961</v>
      </c>
      <c r="K26" s="290">
        <f>INDEX([2]!ComRegionNewBase,$D26,K$10)</f>
        <v>0.61023293273354484</v>
      </c>
      <c r="L26" s="290">
        <f>INDEX([2]!ComRegionNewBase,$D26,L$10)</f>
        <v>0.60571699788717037</v>
      </c>
      <c r="M26" s="290">
        <f>INDEX([2]!ComRegionNewBase,$D26,M$10)</f>
        <v>0.65097903457434547</v>
      </c>
      <c r="N26" s="290">
        <f>INDEX([2]!ComRegionNewBase,$D26,N$10)</f>
        <v>0.69319811486407867</v>
      </c>
      <c r="O26" s="290">
        <f>INDEX([2]!ComRegionNewBase,$D26,O$10)</f>
        <v>0.78843795894088464</v>
      </c>
      <c r="P26" s="290">
        <f>INDEX([2]!ComRegionNewBase,$D26,P$10)</f>
        <v>1.3645659476947984</v>
      </c>
      <c r="Q26" s="290">
        <f>INDEX([2]!ComRegionNewBase,$D26,Q$10)</f>
        <v>1.6032227373726178</v>
      </c>
      <c r="R26" s="290">
        <f>INDEX([2]!ComRegionNewBase,$D26,R$10)</f>
        <v>1.6412696995684901</v>
      </c>
      <c r="S26" s="290">
        <f>INDEX([2]!ComRegionNewBase,$D26,S$10)</f>
        <v>1.670283030615213</v>
      </c>
      <c r="T26" s="290">
        <f>INDEX([2]!ComRegionNewBase,$D26,T$10)</f>
        <v>1.755661848186447</v>
      </c>
      <c r="U26" s="290">
        <f>INDEX([2]!ComRegionNewBase,$D26,U$10)</f>
        <v>1.4871375295645746</v>
      </c>
      <c r="V26" s="290">
        <f>INDEX([2]!ComRegionNewBase,$D26,V$10)</f>
        <v>1.4400033906080374</v>
      </c>
      <c r="W26" s="290">
        <f>INDEX([2]!ComRegionNewBase,$D26,W$10)</f>
        <v>1.3499648074414823</v>
      </c>
      <c r="X26" s="290">
        <f>INDEX([2]!ComRegionNewBase,$D26,X$10)</f>
        <v>1.4487057151095009</v>
      </c>
      <c r="Y26" s="253">
        <f t="shared" si="3"/>
        <v>21.945239229259773</v>
      </c>
      <c r="Z26" s="198"/>
      <c r="AA26" s="24"/>
      <c r="AB26" s="24"/>
      <c r="AC26" s="24"/>
    </row>
    <row r="27" spans="1:29">
      <c r="B27" s="24" t="s">
        <v>825</v>
      </c>
      <c r="C27" s="24" t="s">
        <v>826</v>
      </c>
      <c r="D27" s="284">
        <v>15</v>
      </c>
      <c r="E27" s="290">
        <f>INDEX([2]!ComRegionNewBase,$D27,E$10)</f>
        <v>4.1336070304911159</v>
      </c>
      <c r="F27" s="290">
        <f>INDEX([2]!ComRegionNewBase,$D27,F$10)</f>
        <v>3.5601449453189118</v>
      </c>
      <c r="G27" s="290">
        <f>INDEX([2]!ComRegionNewBase,$D27,G$10)</f>
        <v>3.2007770264658664</v>
      </c>
      <c r="H27" s="290">
        <f>INDEX([2]!ComRegionNewBase,$D27,H$10)</f>
        <v>2.6531465767673241</v>
      </c>
      <c r="I27" s="290">
        <f>INDEX([2]!ComRegionNewBase,$D27,I$10)</f>
        <v>1.8730082465149496</v>
      </c>
      <c r="J27" s="290">
        <f>INDEX([2]!ComRegionNewBase,$D27,J$10)</f>
        <v>1.6467285324389391</v>
      </c>
      <c r="K27" s="290">
        <f>INDEX([2]!ComRegionNewBase,$D27,K$10)</f>
        <v>1.5196240263467067</v>
      </c>
      <c r="L27" s="290">
        <f>INDEX([2]!ComRegionNewBase,$D27,L$10)</f>
        <v>1.3328145698119136</v>
      </c>
      <c r="M27" s="290">
        <f>INDEX([2]!ComRegionNewBase,$D27,M$10)</f>
        <v>1.3372342578617185</v>
      </c>
      <c r="N27" s="290">
        <f>INDEX([2]!ComRegionNewBase,$D27,N$10)</f>
        <v>1.4086686461757902</v>
      </c>
      <c r="O27" s="290">
        <f>INDEX([2]!ComRegionNewBase,$D27,O$10)</f>
        <v>1.6725933548501446</v>
      </c>
      <c r="P27" s="290">
        <f>INDEX([2]!ComRegionNewBase,$D27,P$10)</f>
        <v>2.0158466086985318</v>
      </c>
      <c r="Q27" s="290">
        <f>INDEX([2]!ComRegionNewBase,$D27,Q$10)</f>
        <v>2.3033709594417431</v>
      </c>
      <c r="R27" s="290">
        <f>INDEX([2]!ComRegionNewBase,$D27,R$10)</f>
        <v>2.063930246052466</v>
      </c>
      <c r="S27" s="290">
        <f>INDEX([2]!ComRegionNewBase,$D27,S$10)</f>
        <v>1.9880083370090949</v>
      </c>
      <c r="T27" s="290">
        <f>INDEX([2]!ComRegionNewBase,$D27,T$10)</f>
        <v>1.9342270452860566</v>
      </c>
      <c r="U27" s="290">
        <f>INDEX([2]!ComRegionNewBase,$D27,U$10)</f>
        <v>1.774507966199161</v>
      </c>
      <c r="V27" s="290">
        <f>INDEX([2]!ComRegionNewBase,$D27,V$10)</f>
        <v>1.6723841845019074</v>
      </c>
      <c r="W27" s="290">
        <f>INDEX([2]!ComRegionNewBase,$D27,W$10)</f>
        <v>1.5414284807799123</v>
      </c>
      <c r="X27" s="290">
        <f>INDEX([2]!ComRegionNewBase,$D27,X$10)</f>
        <v>1.5563040522680198</v>
      </c>
      <c r="Y27" s="253">
        <f t="shared" si="3"/>
        <v>41.188355093280272</v>
      </c>
      <c r="Z27" s="198"/>
      <c r="AA27" s="24"/>
      <c r="AB27" s="24"/>
      <c r="AC27" s="24"/>
    </row>
    <row r="28" spans="1:29">
      <c r="B28" s="24" t="s">
        <v>827</v>
      </c>
      <c r="C28" s="24" t="s">
        <v>125</v>
      </c>
      <c r="D28" s="24">
        <v>16</v>
      </c>
      <c r="E28" s="290">
        <f>INDEX([2]!ComRegionNewBase,$D28,E$10)</f>
        <v>4.5029406937179912</v>
      </c>
      <c r="F28" s="290">
        <f>INDEX([2]!ComRegionNewBase,$D28,F$10)</f>
        <v>4.0786070344439063</v>
      </c>
      <c r="G28" s="290">
        <f>INDEX([2]!ComRegionNewBase,$D28,G$10)</f>
        <v>3.5919834720533679</v>
      </c>
      <c r="H28" s="290">
        <f>INDEX([2]!ComRegionNewBase,$D28,H$10)</f>
        <v>3.0400934926407626</v>
      </c>
      <c r="I28" s="290">
        <f>INDEX([2]!ComRegionNewBase,$D28,I$10)</f>
        <v>2.3018670718031324</v>
      </c>
      <c r="J28" s="290">
        <f>INDEX([2]!ComRegionNewBase,$D28,J$10)</f>
        <v>2.1321468422073435</v>
      </c>
      <c r="K28" s="290">
        <f>INDEX([2]!ComRegionNewBase,$D28,K$10)</f>
        <v>1.9771504564110642</v>
      </c>
      <c r="L28" s="290">
        <f>INDEX([2]!ComRegionNewBase,$D28,L$10)</f>
        <v>1.8096072137015302</v>
      </c>
      <c r="M28" s="290">
        <f>INDEX([2]!ComRegionNewBase,$D28,M$10)</f>
        <v>1.9023478055732992</v>
      </c>
      <c r="N28" s="290">
        <f>INDEX([2]!ComRegionNewBase,$D28,N$10)</f>
        <v>2.0129777404511922</v>
      </c>
      <c r="O28" s="290">
        <f>INDEX([2]!ComRegionNewBase,$D28,O$10)</f>
        <v>2.304026079874093</v>
      </c>
      <c r="P28" s="290">
        <f>INDEX([2]!ComRegionNewBase,$D28,P$10)</f>
        <v>2.7992417645016405</v>
      </c>
      <c r="Q28" s="290">
        <f>INDEX([2]!ComRegionNewBase,$D28,Q$10)</f>
        <v>3.0682339807477179</v>
      </c>
      <c r="R28" s="290">
        <f>INDEX([2]!ComRegionNewBase,$D28,R$10)</f>
        <v>2.7441690138981158</v>
      </c>
      <c r="S28" s="290">
        <f>INDEX([2]!ComRegionNewBase,$D28,S$10)</f>
        <v>2.8046561391012603</v>
      </c>
      <c r="T28" s="290">
        <f>INDEX([2]!ComRegionNewBase,$D28,T$10)</f>
        <v>2.7282838662201567</v>
      </c>
      <c r="U28" s="290">
        <f>INDEX([2]!ComRegionNewBase,$D28,U$10)</f>
        <v>2.4959637785038216</v>
      </c>
      <c r="V28" s="290">
        <f>INDEX([2]!ComRegionNewBase,$D28,V$10)</f>
        <v>2.4392052334479857</v>
      </c>
      <c r="W28" s="290">
        <f>INDEX([2]!ComRegionNewBase,$D28,W$10)</f>
        <v>2.3386950979959957</v>
      </c>
      <c r="X28" s="290">
        <f>INDEX([2]!ComRegionNewBase,$D28,X$10)</f>
        <v>2.3103955399373803</v>
      </c>
      <c r="Y28" s="253">
        <f t="shared" si="3"/>
        <v>53.382592317231762</v>
      </c>
      <c r="Z28" s="198"/>
      <c r="AA28" s="24"/>
      <c r="AB28" s="24"/>
      <c r="AC28" s="24"/>
    </row>
    <row r="29" spans="1:29">
      <c r="B29" s="24" t="s">
        <v>828</v>
      </c>
      <c r="C29" s="24" t="s">
        <v>127</v>
      </c>
      <c r="D29" s="24">
        <v>17</v>
      </c>
      <c r="E29" s="290">
        <f>INDEX([2]!ComRegionNewBase,$D29,E$10)</f>
        <v>3.1854829351393543</v>
      </c>
      <c r="F29" s="290">
        <f>INDEX([2]!ComRegionNewBase,$D29,F$10)</f>
        <v>3.1699057451518957</v>
      </c>
      <c r="G29" s="290">
        <f>INDEX([2]!ComRegionNewBase,$D29,G$10)</f>
        <v>2.2628528186826316</v>
      </c>
      <c r="H29" s="290">
        <f>INDEX([2]!ComRegionNewBase,$D29,H$10)</f>
        <v>2.6023617076700645</v>
      </c>
      <c r="I29" s="290">
        <f>INDEX([2]!ComRegionNewBase,$D29,I$10)</f>
        <v>2.2919684786454506</v>
      </c>
      <c r="J29" s="290">
        <f>INDEX([2]!ComRegionNewBase,$D29,J$10)</f>
        <v>2.1556450092355899</v>
      </c>
      <c r="K29" s="290">
        <f>INDEX([2]!ComRegionNewBase,$D29,K$10)</f>
        <v>1.4820394508668711</v>
      </c>
      <c r="L29" s="290">
        <f>INDEX([2]!ComRegionNewBase,$D29,L$10)</f>
        <v>1.5603361472368396</v>
      </c>
      <c r="M29" s="290">
        <f>INDEX([2]!ComRegionNewBase,$D29,M$10)</f>
        <v>2.3546097038898557</v>
      </c>
      <c r="N29" s="290">
        <f>INDEX([2]!ComRegionNewBase,$D29,N$10)</f>
        <v>3.2740386396924066</v>
      </c>
      <c r="O29" s="290">
        <f>INDEX([2]!ComRegionNewBase,$D29,O$10)</f>
        <v>3.6241751874536021</v>
      </c>
      <c r="P29" s="290">
        <f>INDEX([2]!ComRegionNewBase,$D29,P$10)</f>
        <v>4.4420137300219826</v>
      </c>
      <c r="Q29" s="290">
        <f>INDEX([2]!ComRegionNewBase,$D29,Q$10)</f>
        <v>5.8224273473135861</v>
      </c>
      <c r="R29" s="290">
        <f>INDEX([2]!ComRegionNewBase,$D29,R$10)</f>
        <v>6.4604400946422142</v>
      </c>
      <c r="S29" s="290">
        <f>INDEX([2]!ComRegionNewBase,$D29,S$10)</f>
        <v>6.9014803298142597</v>
      </c>
      <c r="T29" s="290">
        <f>INDEX([2]!ComRegionNewBase,$D29,T$10)</f>
        <v>6.748515751490312</v>
      </c>
      <c r="U29" s="290">
        <f>INDEX([2]!ComRegionNewBase,$D29,U$10)</f>
        <v>6.4364694734288266</v>
      </c>
      <c r="V29" s="290">
        <f>INDEX([2]!ComRegionNewBase,$D29,V$10)</f>
        <v>6.3053235195290611</v>
      </c>
      <c r="W29" s="290">
        <f>INDEX([2]!ComRegionNewBase,$D29,W$10)</f>
        <v>6.2236620394663484</v>
      </c>
      <c r="X29" s="290">
        <f>INDEX([2]!ComRegionNewBase,$D29,X$10)</f>
        <v>6.0386522880717726</v>
      </c>
      <c r="Y29" s="253">
        <f t="shared" si="3"/>
        <v>83.34240039744293</v>
      </c>
      <c r="Z29" s="198"/>
      <c r="AA29" s="24"/>
      <c r="AB29" s="24"/>
      <c r="AC29" s="24"/>
    </row>
    <row r="30" spans="1:29">
      <c r="B30" s="24" t="s">
        <v>829</v>
      </c>
      <c r="C30" s="24" t="s">
        <v>100</v>
      </c>
      <c r="D30" s="24">
        <v>18</v>
      </c>
      <c r="E30" s="290">
        <f>INDEX([2]!ComRegionNewBase,$D30,E$10)</f>
        <v>12.863107129152304</v>
      </c>
      <c r="F30" s="290">
        <f>INDEX([2]!ComRegionNewBase,$D30,F$10)</f>
        <v>10.7220378193485</v>
      </c>
      <c r="G30" s="290">
        <f>INDEX([2]!ComRegionNewBase,$D30,G$10)</f>
        <v>10.142128438066296</v>
      </c>
      <c r="H30" s="290">
        <f>INDEX([2]!ComRegionNewBase,$D30,H$10)</f>
        <v>9.4611923499879236</v>
      </c>
      <c r="I30" s="290">
        <f>INDEX([2]!ComRegionNewBase,$D30,I$10)</f>
        <v>7.3638556881373223</v>
      </c>
      <c r="J30" s="290">
        <f>INDEX([2]!ComRegionNewBase,$D30,J$10)</f>
        <v>8.1591439254269407</v>
      </c>
      <c r="K30" s="290">
        <f>INDEX([2]!ComRegionNewBase,$D30,K$10)</f>
        <v>7.9603673258815011</v>
      </c>
      <c r="L30" s="290">
        <f>INDEX([2]!ComRegionNewBase,$D30,L$10)</f>
        <v>8.6026166911432824</v>
      </c>
      <c r="M30" s="290">
        <f>INDEX([2]!ComRegionNewBase,$D30,M$10)</f>
        <v>9.3207800366095146</v>
      </c>
      <c r="N30" s="290">
        <f>INDEX([2]!ComRegionNewBase,$D30,N$10)</f>
        <v>9.0572786632714859</v>
      </c>
      <c r="O30" s="290">
        <f>INDEX([2]!ComRegionNewBase,$D30,O$10)</f>
        <v>10.184423730877143</v>
      </c>
      <c r="P30" s="290">
        <f>INDEX([2]!ComRegionNewBase,$D30,P$10)</f>
        <v>10.787657533789663</v>
      </c>
      <c r="Q30" s="290">
        <f>INDEX([2]!ComRegionNewBase,$D30,Q$10)</f>
        <v>11.005378574708409</v>
      </c>
      <c r="R30" s="290">
        <f>INDEX([2]!ComRegionNewBase,$D30,R$10)</f>
        <v>10.267063981307951</v>
      </c>
      <c r="S30" s="290">
        <f>INDEX([2]!ComRegionNewBase,$D30,S$10)</f>
        <v>11.027475862918971</v>
      </c>
      <c r="T30" s="290">
        <f>INDEX([2]!ComRegionNewBase,$D30,T$10)</f>
        <v>9.9609233822623686</v>
      </c>
      <c r="U30" s="290">
        <f>INDEX([2]!ComRegionNewBase,$D30,U$10)</f>
        <v>10.340047869658916</v>
      </c>
      <c r="V30" s="290">
        <f>INDEX([2]!ComRegionNewBase,$D30,V$10)</f>
        <v>9.8383849729989699</v>
      </c>
      <c r="W30" s="290">
        <f>INDEX([2]!ComRegionNewBase,$D30,W$10)</f>
        <v>9.3282989614436094</v>
      </c>
      <c r="X30" s="290">
        <f>INDEX([2]!ComRegionNewBase,$D30,X$10)</f>
        <v>9.0355729282982153</v>
      </c>
      <c r="Y30" s="253">
        <f t="shared" si="3"/>
        <v>195.42773586528929</v>
      </c>
      <c r="Z30" s="198"/>
      <c r="AA30" s="24"/>
      <c r="AB30" s="24"/>
      <c r="AC30" s="24"/>
    </row>
    <row r="31" spans="1:29">
      <c r="A31" s="24"/>
      <c r="B31" s="24"/>
      <c r="C31" s="24"/>
      <c r="D31" s="198"/>
      <c r="E31" s="253"/>
      <c r="F31" s="253"/>
      <c r="G31" s="253"/>
      <c r="H31" s="253"/>
      <c r="I31" s="253"/>
      <c r="J31" s="253"/>
      <c r="K31" s="253"/>
      <c r="L31" s="253"/>
      <c r="M31" s="253"/>
      <c r="N31" s="253"/>
      <c r="O31" s="253"/>
      <c r="P31" s="253"/>
      <c r="Q31" s="253"/>
      <c r="R31" s="253"/>
      <c r="S31" s="253"/>
      <c r="T31" s="253"/>
      <c r="U31" s="253"/>
      <c r="V31" s="253"/>
      <c r="W31" s="253"/>
      <c r="X31" s="253"/>
      <c r="Y31" s="253"/>
      <c r="Z31" s="198"/>
      <c r="AA31" s="24"/>
      <c r="AB31" s="24"/>
      <c r="AC31" s="24"/>
    </row>
    <row r="32" spans="1:29">
      <c r="A32" s="24" t="s">
        <v>951</v>
      </c>
      <c r="B32" s="24"/>
      <c r="C32" s="24" t="s">
        <v>833</v>
      </c>
      <c r="D32" s="198"/>
      <c r="E32" s="253">
        <f>SUM(E13:E30)</f>
        <v>57.114297126179473</v>
      </c>
      <c r="F32" s="253">
        <f t="shared" ref="F32:X32" si="4">SUM(F13:F30)</f>
        <v>49.358660888456697</v>
      </c>
      <c r="G32" s="253">
        <f t="shared" si="4"/>
        <v>42.883996361562694</v>
      </c>
      <c r="H32" s="253">
        <f t="shared" si="4"/>
        <v>42.769928168515861</v>
      </c>
      <c r="I32" s="253">
        <f t="shared" si="4"/>
        <v>36.559258837741957</v>
      </c>
      <c r="J32" s="253">
        <f t="shared" si="4"/>
        <v>33.347085593434706</v>
      </c>
      <c r="K32" s="253">
        <f t="shared" si="4"/>
        <v>36.515305616596898</v>
      </c>
      <c r="L32" s="253">
        <f t="shared" si="4"/>
        <v>36.312589546095708</v>
      </c>
      <c r="M32" s="253">
        <f t="shared" si="4"/>
        <v>39.06093852873046</v>
      </c>
      <c r="N32" s="253">
        <f t="shared" si="4"/>
        <v>41.721160397442901</v>
      </c>
      <c r="O32" s="253">
        <f t="shared" si="4"/>
        <v>44.358216248359909</v>
      </c>
      <c r="P32" s="253">
        <f t="shared" si="4"/>
        <v>49.930477203838102</v>
      </c>
      <c r="Q32" s="253">
        <f t="shared" si="4"/>
        <v>53.958732397486379</v>
      </c>
      <c r="R32" s="253">
        <f t="shared" si="4"/>
        <v>51.509803850235102</v>
      </c>
      <c r="S32" s="253">
        <f t="shared" si="4"/>
        <v>54.060467297337325</v>
      </c>
      <c r="T32" s="253">
        <f t="shared" si="4"/>
        <v>52.230061485014218</v>
      </c>
      <c r="U32" s="253">
        <f t="shared" si="4"/>
        <v>51.036230165113999</v>
      </c>
      <c r="V32" s="253">
        <f t="shared" si="4"/>
        <v>48.348219984944222</v>
      </c>
      <c r="W32" s="253">
        <f t="shared" si="4"/>
        <v>47.245952894616551</v>
      </c>
      <c r="X32" s="253">
        <f t="shared" si="4"/>
        <v>47.686700389963214</v>
      </c>
      <c r="Y32" s="253">
        <f>SUM(E32:X32)</f>
        <v>916.00808298166646</v>
      </c>
      <c r="Z32" s="198">
        <f>$Z$12*Y32</f>
        <v>778.60687053441643</v>
      </c>
      <c r="AA32" s="24"/>
      <c r="AB32" s="24"/>
      <c r="AC32" s="24"/>
    </row>
    <row r="33" spans="1:29">
      <c r="A33" s="24"/>
      <c r="B33" s="24"/>
      <c r="C33" s="24" t="s">
        <v>792</v>
      </c>
      <c r="D33" s="198"/>
      <c r="E33" s="253">
        <f>E32</f>
        <v>57.114297126179473</v>
      </c>
      <c r="F33" s="253">
        <f>E33+F32</f>
        <v>106.47295801463616</v>
      </c>
      <c r="G33" s="253">
        <f t="shared" ref="G33:X33" si="5">F33+G32</f>
        <v>149.35695437619887</v>
      </c>
      <c r="H33" s="253">
        <f t="shared" si="5"/>
        <v>192.12688254471473</v>
      </c>
      <c r="I33" s="253">
        <f t="shared" si="5"/>
        <v>228.6861413824567</v>
      </c>
      <c r="J33" s="253">
        <f t="shared" si="5"/>
        <v>262.03322697589141</v>
      </c>
      <c r="K33" s="253">
        <f t="shared" si="5"/>
        <v>298.5485325924883</v>
      </c>
      <c r="L33" s="253">
        <f t="shared" si="5"/>
        <v>334.86112213858399</v>
      </c>
      <c r="M33" s="253">
        <f t="shared" si="5"/>
        <v>373.92206066731444</v>
      </c>
      <c r="N33" s="253">
        <f t="shared" si="5"/>
        <v>415.64322106475731</v>
      </c>
      <c r="O33" s="253">
        <f t="shared" si="5"/>
        <v>460.00143731311721</v>
      </c>
      <c r="P33" s="253">
        <f t="shared" si="5"/>
        <v>509.93191451695532</v>
      </c>
      <c r="Q33" s="253">
        <f t="shared" si="5"/>
        <v>563.89064691444173</v>
      </c>
      <c r="R33" s="253">
        <f t="shared" si="5"/>
        <v>615.40045076467686</v>
      </c>
      <c r="S33" s="253">
        <f t="shared" si="5"/>
        <v>669.46091806201423</v>
      </c>
      <c r="T33" s="253">
        <f t="shared" si="5"/>
        <v>721.69097954702841</v>
      </c>
      <c r="U33" s="253">
        <f t="shared" si="5"/>
        <v>772.72720971214244</v>
      </c>
      <c r="V33" s="253">
        <f t="shared" si="5"/>
        <v>821.07542969708663</v>
      </c>
      <c r="W33" s="253">
        <f t="shared" si="5"/>
        <v>868.32138259170324</v>
      </c>
      <c r="X33" s="253">
        <f t="shared" si="5"/>
        <v>916.00808298166646</v>
      </c>
      <c r="Y33" s="253"/>
      <c r="Z33" s="198"/>
      <c r="AA33" s="24"/>
      <c r="AB33" s="24"/>
      <c r="AC33" s="24"/>
    </row>
    <row r="34" spans="1:29">
      <c r="A34" s="24"/>
      <c r="B34" s="24"/>
      <c r="C34" s="24"/>
      <c r="D34" s="198"/>
      <c r="E34" s="253"/>
      <c r="F34" s="253"/>
      <c r="G34" s="253"/>
      <c r="H34" s="253"/>
      <c r="I34" s="253"/>
      <c r="J34" s="253"/>
      <c r="K34" s="253"/>
      <c r="L34" s="253"/>
      <c r="M34" s="253"/>
      <c r="N34" s="253"/>
      <c r="O34" s="253"/>
      <c r="P34" s="253"/>
      <c r="Q34" s="253"/>
      <c r="R34" s="253"/>
      <c r="S34" s="253"/>
      <c r="T34" s="253"/>
      <c r="U34" s="253"/>
      <c r="V34" s="253"/>
      <c r="W34" s="253"/>
      <c r="X34" s="253"/>
      <c r="Y34" s="253"/>
      <c r="Z34" s="198"/>
      <c r="AA34" s="24"/>
      <c r="AB34" s="24"/>
      <c r="AC34" s="24"/>
    </row>
    <row r="35" spans="1:29">
      <c r="A35" s="24"/>
      <c r="B35" s="24"/>
      <c r="C35" s="24"/>
      <c r="D35" s="198"/>
      <c r="E35" s="253"/>
      <c r="F35" s="253"/>
      <c r="G35" s="253"/>
      <c r="H35" s="253"/>
      <c r="I35" s="253"/>
      <c r="J35" s="253"/>
      <c r="K35" s="253"/>
      <c r="L35" s="253"/>
      <c r="M35" s="253"/>
      <c r="N35" s="253"/>
      <c r="O35" s="253"/>
      <c r="P35" s="253"/>
      <c r="Q35" s="253"/>
      <c r="R35" s="253"/>
      <c r="S35" s="253"/>
      <c r="T35" s="253"/>
      <c r="U35" s="253"/>
      <c r="V35" s="253"/>
      <c r="W35" s="253"/>
      <c r="X35" s="253"/>
      <c r="Y35" s="253"/>
      <c r="Z35" s="198"/>
      <c r="AA35" s="24"/>
      <c r="AB35" s="24"/>
      <c r="AC35" s="24"/>
    </row>
    <row r="36" spans="1:29" ht="15">
      <c r="A36" s="249" t="s">
        <v>916</v>
      </c>
      <c r="B36" s="249"/>
      <c r="C36" s="243"/>
      <c r="D36" s="243"/>
      <c r="E36" s="258">
        <f>E11</f>
        <v>2016</v>
      </c>
      <c r="F36" s="258">
        <f t="shared" ref="F36:X36" si="6">F11</f>
        <v>2017</v>
      </c>
      <c r="G36" s="258">
        <f t="shared" si="6"/>
        <v>2018</v>
      </c>
      <c r="H36" s="258">
        <f t="shared" si="6"/>
        <v>2019</v>
      </c>
      <c r="I36" s="258">
        <f t="shared" si="6"/>
        <v>2020</v>
      </c>
      <c r="J36" s="258">
        <f t="shared" si="6"/>
        <v>2021</v>
      </c>
      <c r="K36" s="258">
        <f t="shared" si="6"/>
        <v>2022</v>
      </c>
      <c r="L36" s="258">
        <f t="shared" si="6"/>
        <v>2023</v>
      </c>
      <c r="M36" s="258">
        <f t="shared" si="6"/>
        <v>2024</v>
      </c>
      <c r="N36" s="258">
        <f t="shared" si="6"/>
        <v>2025</v>
      </c>
      <c r="O36" s="258">
        <f t="shared" si="6"/>
        <v>2026</v>
      </c>
      <c r="P36" s="258">
        <f t="shared" si="6"/>
        <v>2027</v>
      </c>
      <c r="Q36" s="258">
        <f t="shared" si="6"/>
        <v>2028</v>
      </c>
      <c r="R36" s="258">
        <f t="shared" si="6"/>
        <v>2029</v>
      </c>
      <c r="S36" s="258">
        <f t="shared" si="6"/>
        <v>2030</v>
      </c>
      <c r="T36" s="258">
        <f t="shared" si="6"/>
        <v>2031</v>
      </c>
      <c r="U36" s="258">
        <f t="shared" si="6"/>
        <v>2032</v>
      </c>
      <c r="V36" s="258">
        <f t="shared" si="6"/>
        <v>2033</v>
      </c>
      <c r="W36" s="258">
        <f t="shared" si="6"/>
        <v>2034</v>
      </c>
      <c r="X36" s="258">
        <f t="shared" si="6"/>
        <v>2035</v>
      </c>
      <c r="Y36" s="251" t="s">
        <v>698</v>
      </c>
      <c r="Z36" s="251" t="s">
        <v>699</v>
      </c>
      <c r="AA36" s="24"/>
      <c r="AB36" s="24"/>
      <c r="AC36" s="24"/>
    </row>
    <row r="37" spans="1:29">
      <c r="A37" s="243" t="s">
        <v>700</v>
      </c>
      <c r="B37" s="232"/>
      <c r="C37" s="243" t="str">
        <f>C8</f>
        <v>Exterior Building Lighting-New</v>
      </c>
      <c r="D37" s="243"/>
      <c r="E37" s="259"/>
      <c r="F37" s="259"/>
      <c r="G37" s="259"/>
      <c r="H37" s="259"/>
      <c r="I37" s="259"/>
      <c r="J37" s="259"/>
      <c r="K37" s="259"/>
      <c r="L37" s="259"/>
      <c r="M37" s="259"/>
      <c r="N37" s="259"/>
      <c r="O37" s="259"/>
      <c r="P37" s="259"/>
      <c r="Q37" s="259"/>
      <c r="R37" s="259"/>
      <c r="S37" s="259"/>
      <c r="T37" s="259"/>
      <c r="U37" s="259"/>
      <c r="V37" s="259"/>
      <c r="W37" s="259"/>
      <c r="X37" s="259"/>
      <c r="Y37" s="252"/>
      <c r="AA37" s="24"/>
      <c r="AB37" s="24"/>
      <c r="AC37" s="24"/>
    </row>
    <row r="38" spans="1:29">
      <c r="A38" s="260">
        <f>1-VLOOKUP(D38,'DOE2014 Sales Pen'!$AA$5:$AE$25,5,FALSE)</f>
        <v>0.7</v>
      </c>
      <c r="B38" s="340">
        <v>1</v>
      </c>
      <c r="C38" t="s">
        <v>943</v>
      </c>
      <c r="D38" t="s">
        <v>912</v>
      </c>
      <c r="E38" s="257">
        <f>E$32*$A38*$B38</f>
        <v>39.980007988325632</v>
      </c>
      <c r="F38" s="257">
        <f t="shared" ref="F38:X45" si="7">F$32*$A38*$B38</f>
        <v>34.551062621919684</v>
      </c>
      <c r="G38" s="257">
        <f t="shared" si="7"/>
        <v>30.018797453093885</v>
      </c>
      <c r="H38" s="257">
        <f t="shared" si="7"/>
        <v>29.938949717961101</v>
      </c>
      <c r="I38" s="257">
        <f t="shared" si="7"/>
        <v>25.591481186419369</v>
      </c>
      <c r="J38" s="257">
        <f t="shared" si="7"/>
        <v>23.342959915404293</v>
      </c>
      <c r="K38" s="257">
        <f t="shared" si="7"/>
        <v>25.560713931617826</v>
      </c>
      <c r="L38" s="257">
        <f t="shared" si="7"/>
        <v>25.418812682266996</v>
      </c>
      <c r="M38" s="257">
        <f t="shared" si="7"/>
        <v>27.342656970111321</v>
      </c>
      <c r="N38" s="257">
        <f t="shared" si="7"/>
        <v>29.204812278210028</v>
      </c>
      <c r="O38" s="257">
        <f t="shared" si="7"/>
        <v>31.050751373851934</v>
      </c>
      <c r="P38" s="257">
        <f t="shared" si="7"/>
        <v>34.951334042686668</v>
      </c>
      <c r="Q38" s="257">
        <f t="shared" si="7"/>
        <v>37.771112678240463</v>
      </c>
      <c r="R38" s="257">
        <f t="shared" si="7"/>
        <v>36.056862695164568</v>
      </c>
      <c r="S38" s="257">
        <f t="shared" si="7"/>
        <v>37.842327108136125</v>
      </c>
      <c r="T38" s="257">
        <f t="shared" si="7"/>
        <v>36.561043039509947</v>
      </c>
      <c r="U38" s="257">
        <f t="shared" si="7"/>
        <v>35.725361115579794</v>
      </c>
      <c r="V38" s="257">
        <f t="shared" si="7"/>
        <v>33.84375398946095</v>
      </c>
      <c r="W38" s="257">
        <f t="shared" si="7"/>
        <v>33.072167026231583</v>
      </c>
      <c r="X38" s="257">
        <f t="shared" si="7"/>
        <v>33.380690272974249</v>
      </c>
      <c r="Y38" s="255">
        <f>SUM(E38:X38)</f>
        <v>641.2056580871664</v>
      </c>
      <c r="AA38" s="24"/>
      <c r="AB38" s="24"/>
      <c r="AC38" s="24"/>
    </row>
    <row r="39" spans="1:29">
      <c r="A39" s="260">
        <f>1-VLOOKUP(D39,'DOE2014 Sales Pen'!$AA$5:$AE$25,5,FALSE)</f>
        <v>0.75</v>
      </c>
      <c r="B39" s="340">
        <v>1</v>
      </c>
      <c r="C39" t="s">
        <v>944</v>
      </c>
      <c r="D39" t="s">
        <v>838</v>
      </c>
      <c r="E39" s="257">
        <f t="shared" ref="E39:T45" si="8">E$32*$A39*$B39</f>
        <v>42.835722844634603</v>
      </c>
      <c r="F39" s="257">
        <f t="shared" si="8"/>
        <v>37.018995666342519</v>
      </c>
      <c r="G39" s="257">
        <f t="shared" si="8"/>
        <v>32.162997271172017</v>
      </c>
      <c r="H39" s="257">
        <f t="shared" si="8"/>
        <v>32.077446126386896</v>
      </c>
      <c r="I39" s="257">
        <f t="shared" si="8"/>
        <v>27.419444128306466</v>
      </c>
      <c r="J39" s="257">
        <f t="shared" si="8"/>
        <v>25.010314195076027</v>
      </c>
      <c r="K39" s="257">
        <f t="shared" si="8"/>
        <v>27.386479212447675</v>
      </c>
      <c r="L39" s="257">
        <f t="shared" si="8"/>
        <v>27.234442159571781</v>
      </c>
      <c r="M39" s="257">
        <f t="shared" si="8"/>
        <v>29.295703896547845</v>
      </c>
      <c r="N39" s="257">
        <f t="shared" si="8"/>
        <v>31.290870298082176</v>
      </c>
      <c r="O39" s="257">
        <f t="shared" si="8"/>
        <v>33.268662186269935</v>
      </c>
      <c r="P39" s="257">
        <f t="shared" si="8"/>
        <v>37.447857902878575</v>
      </c>
      <c r="Q39" s="257">
        <f t="shared" si="8"/>
        <v>40.469049298114783</v>
      </c>
      <c r="R39" s="257">
        <f t="shared" si="8"/>
        <v>38.632352887676326</v>
      </c>
      <c r="S39" s="257">
        <f t="shared" si="8"/>
        <v>40.545350473002998</v>
      </c>
      <c r="T39" s="257">
        <f t="shared" si="8"/>
        <v>39.17254611376066</v>
      </c>
      <c r="U39" s="257">
        <f t="shared" si="7"/>
        <v>38.277172623835497</v>
      </c>
      <c r="V39" s="257">
        <f t="shared" si="7"/>
        <v>36.261164988708167</v>
      </c>
      <c r="W39" s="257">
        <f t="shared" si="7"/>
        <v>35.434464670962413</v>
      </c>
      <c r="X39" s="257">
        <f t="shared" si="7"/>
        <v>35.765025292472409</v>
      </c>
      <c r="Y39" s="255">
        <f>SUM(E39:X39)</f>
        <v>687.00606223624982</v>
      </c>
      <c r="AA39" s="24"/>
      <c r="AB39" s="24"/>
      <c r="AC39" s="24"/>
    </row>
    <row r="40" spans="1:29">
      <c r="A40" s="260">
        <f>1-VLOOKUP(D40,'DOE2014 Sales Pen'!$AA$5:$AE$25,5,FALSE)</f>
        <v>0.75</v>
      </c>
      <c r="B40" s="340">
        <v>1</v>
      </c>
      <c r="C40" t="s">
        <v>945</v>
      </c>
      <c r="D40" t="s">
        <v>838</v>
      </c>
      <c r="E40" s="257">
        <f t="shared" si="8"/>
        <v>42.835722844634603</v>
      </c>
      <c r="F40" s="257">
        <f t="shared" si="7"/>
        <v>37.018995666342519</v>
      </c>
      <c r="G40" s="257">
        <f t="shared" si="7"/>
        <v>32.162997271172017</v>
      </c>
      <c r="H40" s="257">
        <f t="shared" si="7"/>
        <v>32.077446126386896</v>
      </c>
      <c r="I40" s="257">
        <f t="shared" si="7"/>
        <v>27.419444128306466</v>
      </c>
      <c r="J40" s="257">
        <f t="shared" si="7"/>
        <v>25.010314195076027</v>
      </c>
      <c r="K40" s="257">
        <f t="shared" si="7"/>
        <v>27.386479212447675</v>
      </c>
      <c r="L40" s="257">
        <f t="shared" si="7"/>
        <v>27.234442159571781</v>
      </c>
      <c r="M40" s="257">
        <f t="shared" si="7"/>
        <v>29.295703896547845</v>
      </c>
      <c r="N40" s="257">
        <f t="shared" si="7"/>
        <v>31.290870298082176</v>
      </c>
      <c r="O40" s="257">
        <f t="shared" si="7"/>
        <v>33.268662186269935</v>
      </c>
      <c r="P40" s="257">
        <f t="shared" si="7"/>
        <v>37.447857902878575</v>
      </c>
      <c r="Q40" s="257">
        <f t="shared" si="7"/>
        <v>40.469049298114783</v>
      </c>
      <c r="R40" s="257">
        <f t="shared" si="7"/>
        <v>38.632352887676326</v>
      </c>
      <c r="S40" s="257">
        <f t="shared" si="7"/>
        <v>40.545350473002998</v>
      </c>
      <c r="T40" s="257">
        <f t="shared" si="7"/>
        <v>39.17254611376066</v>
      </c>
      <c r="U40" s="257">
        <f t="shared" si="7"/>
        <v>38.277172623835497</v>
      </c>
      <c r="V40" s="257">
        <f t="shared" si="7"/>
        <v>36.261164988708167</v>
      </c>
      <c r="W40" s="257">
        <f t="shared" si="7"/>
        <v>35.434464670962413</v>
      </c>
      <c r="X40" s="257">
        <f t="shared" si="7"/>
        <v>35.765025292472409</v>
      </c>
      <c r="Y40" s="255">
        <f>SUM(E40:X40)</f>
        <v>687.00606223624982</v>
      </c>
      <c r="AA40" s="24"/>
      <c r="AB40" s="24"/>
      <c r="AC40" s="24"/>
    </row>
    <row r="41" spans="1:29">
      <c r="A41" s="260">
        <f>1-VLOOKUP(D41,'DOE2014 Sales Pen'!$AA$5:$AE$25,5,FALSE)</f>
        <v>0.75</v>
      </c>
      <c r="B41" s="340">
        <v>1</v>
      </c>
      <c r="C41" t="s">
        <v>946</v>
      </c>
      <c r="D41" t="s">
        <v>838</v>
      </c>
      <c r="E41" s="257">
        <f t="shared" si="8"/>
        <v>42.835722844634603</v>
      </c>
      <c r="F41" s="257">
        <f t="shared" si="7"/>
        <v>37.018995666342519</v>
      </c>
      <c r="G41" s="257">
        <f t="shared" si="7"/>
        <v>32.162997271172017</v>
      </c>
      <c r="H41" s="257">
        <f t="shared" si="7"/>
        <v>32.077446126386896</v>
      </c>
      <c r="I41" s="257">
        <f t="shared" si="7"/>
        <v>27.419444128306466</v>
      </c>
      <c r="J41" s="257">
        <f t="shared" si="7"/>
        <v>25.010314195076027</v>
      </c>
      <c r="K41" s="257">
        <f t="shared" si="7"/>
        <v>27.386479212447675</v>
      </c>
      <c r="L41" s="257">
        <f t="shared" si="7"/>
        <v>27.234442159571781</v>
      </c>
      <c r="M41" s="257">
        <f t="shared" si="7"/>
        <v>29.295703896547845</v>
      </c>
      <c r="N41" s="257">
        <f t="shared" si="7"/>
        <v>31.290870298082176</v>
      </c>
      <c r="O41" s="257">
        <f t="shared" si="7"/>
        <v>33.268662186269935</v>
      </c>
      <c r="P41" s="257">
        <f t="shared" si="7"/>
        <v>37.447857902878575</v>
      </c>
      <c r="Q41" s="257">
        <f t="shared" si="7"/>
        <v>40.469049298114783</v>
      </c>
      <c r="R41" s="257">
        <f t="shared" si="7"/>
        <v>38.632352887676326</v>
      </c>
      <c r="S41" s="257">
        <f t="shared" si="7"/>
        <v>40.545350473002998</v>
      </c>
      <c r="T41" s="257">
        <f t="shared" si="7"/>
        <v>39.17254611376066</v>
      </c>
      <c r="U41" s="257">
        <f t="shared" si="7"/>
        <v>38.277172623835497</v>
      </c>
      <c r="V41" s="257">
        <f t="shared" si="7"/>
        <v>36.261164988708167</v>
      </c>
      <c r="W41" s="257">
        <f t="shared" si="7"/>
        <v>35.434464670962413</v>
      </c>
      <c r="X41" s="257">
        <f t="shared" si="7"/>
        <v>35.765025292472409</v>
      </c>
      <c r="Y41" s="255">
        <f>SUM(E41:X41)</f>
        <v>687.00606223624982</v>
      </c>
      <c r="AA41" s="24"/>
      <c r="AB41" s="24"/>
      <c r="AC41" s="24"/>
    </row>
    <row r="42" spans="1:29">
      <c r="A42" s="260">
        <f>1-VLOOKUP(D42,'DOE2014 Sales Pen'!$AA$5:$AE$25,5,FALSE)</f>
        <v>0.75</v>
      </c>
      <c r="B42" s="340">
        <v>1</v>
      </c>
      <c r="C42" t="s">
        <v>947</v>
      </c>
      <c r="D42" t="s">
        <v>838</v>
      </c>
      <c r="E42" s="257">
        <f t="shared" si="8"/>
        <v>42.835722844634603</v>
      </c>
      <c r="F42" s="257">
        <f t="shared" si="7"/>
        <v>37.018995666342519</v>
      </c>
      <c r="G42" s="257">
        <f t="shared" si="7"/>
        <v>32.162997271172017</v>
      </c>
      <c r="H42" s="257">
        <f t="shared" si="7"/>
        <v>32.077446126386896</v>
      </c>
      <c r="I42" s="257">
        <f t="shared" si="7"/>
        <v>27.419444128306466</v>
      </c>
      <c r="J42" s="257">
        <f t="shared" si="7"/>
        <v>25.010314195076027</v>
      </c>
      <c r="K42" s="257">
        <f t="shared" si="7"/>
        <v>27.386479212447675</v>
      </c>
      <c r="L42" s="257">
        <f t="shared" si="7"/>
        <v>27.234442159571781</v>
      </c>
      <c r="M42" s="257">
        <f t="shared" si="7"/>
        <v>29.295703896547845</v>
      </c>
      <c r="N42" s="257">
        <f t="shared" si="7"/>
        <v>31.290870298082176</v>
      </c>
      <c r="O42" s="257">
        <f t="shared" si="7"/>
        <v>33.268662186269935</v>
      </c>
      <c r="P42" s="257">
        <f t="shared" si="7"/>
        <v>37.447857902878575</v>
      </c>
      <c r="Q42" s="257">
        <f t="shared" si="7"/>
        <v>40.469049298114783</v>
      </c>
      <c r="R42" s="257">
        <f t="shared" si="7"/>
        <v>38.632352887676326</v>
      </c>
      <c r="S42" s="257">
        <f t="shared" si="7"/>
        <v>40.545350473002998</v>
      </c>
      <c r="T42" s="257">
        <f t="shared" si="7"/>
        <v>39.17254611376066</v>
      </c>
      <c r="U42" s="257">
        <f t="shared" si="7"/>
        <v>38.277172623835497</v>
      </c>
      <c r="V42" s="257">
        <f t="shared" si="7"/>
        <v>36.261164988708167</v>
      </c>
      <c r="W42" s="257">
        <f t="shared" si="7"/>
        <v>35.434464670962413</v>
      </c>
      <c r="X42" s="257">
        <f t="shared" si="7"/>
        <v>35.765025292472409</v>
      </c>
      <c r="Y42" s="255">
        <f>SUM(E42:X42)</f>
        <v>687.00606223624982</v>
      </c>
      <c r="AA42" s="24"/>
      <c r="AB42" s="24"/>
      <c r="AC42" s="24"/>
    </row>
    <row r="43" spans="1:29">
      <c r="A43" s="260">
        <f>1-VLOOKUP(D43,'DOE2014 Sales Pen'!$AA$5:$AE$25,5,FALSE)</f>
        <v>0.75</v>
      </c>
      <c r="B43" s="340">
        <v>1</v>
      </c>
      <c r="C43" t="s">
        <v>946</v>
      </c>
      <c r="D43" t="s">
        <v>838</v>
      </c>
      <c r="E43" s="257">
        <f t="shared" si="8"/>
        <v>42.835722844634603</v>
      </c>
      <c r="F43" s="257">
        <f t="shared" si="7"/>
        <v>37.018995666342519</v>
      </c>
      <c r="G43" s="257">
        <f t="shared" si="7"/>
        <v>32.162997271172017</v>
      </c>
      <c r="H43" s="257">
        <f t="shared" si="7"/>
        <v>32.077446126386896</v>
      </c>
      <c r="I43" s="257">
        <f t="shared" si="7"/>
        <v>27.419444128306466</v>
      </c>
      <c r="J43" s="257">
        <f t="shared" si="7"/>
        <v>25.010314195076027</v>
      </c>
      <c r="K43" s="257">
        <f t="shared" si="7"/>
        <v>27.386479212447675</v>
      </c>
      <c r="L43" s="257">
        <f t="shared" si="7"/>
        <v>27.234442159571781</v>
      </c>
      <c r="M43" s="257">
        <f t="shared" si="7"/>
        <v>29.295703896547845</v>
      </c>
      <c r="N43" s="257">
        <f t="shared" si="7"/>
        <v>31.290870298082176</v>
      </c>
      <c r="O43" s="257">
        <f t="shared" si="7"/>
        <v>33.268662186269935</v>
      </c>
      <c r="P43" s="257">
        <f t="shared" si="7"/>
        <v>37.447857902878575</v>
      </c>
      <c r="Q43" s="257">
        <f t="shared" si="7"/>
        <v>40.469049298114783</v>
      </c>
      <c r="R43" s="257">
        <f t="shared" si="7"/>
        <v>38.632352887676326</v>
      </c>
      <c r="S43" s="257">
        <f t="shared" si="7"/>
        <v>40.545350473002998</v>
      </c>
      <c r="T43" s="257">
        <f t="shared" si="7"/>
        <v>39.17254611376066</v>
      </c>
      <c r="U43" s="257">
        <f t="shared" si="7"/>
        <v>38.277172623835497</v>
      </c>
      <c r="V43" s="257">
        <f t="shared" si="7"/>
        <v>36.261164988708167</v>
      </c>
      <c r="W43" s="257">
        <f t="shared" si="7"/>
        <v>35.434464670962413</v>
      </c>
      <c r="X43" s="257">
        <f t="shared" si="7"/>
        <v>35.765025292472409</v>
      </c>
      <c r="Y43" s="255">
        <f t="shared" ref="Y43:Y45" si="9">SUM(E43:X43)</f>
        <v>687.00606223624982</v>
      </c>
      <c r="AA43" s="24"/>
      <c r="AB43" s="24"/>
      <c r="AC43" s="24"/>
    </row>
    <row r="44" spans="1:29">
      <c r="A44" s="260">
        <f>1-VLOOKUP(D44,'DOE2014 Sales Pen'!$AA$5:$AE$25,5,FALSE)</f>
        <v>0.7</v>
      </c>
      <c r="B44" s="340">
        <v>1</v>
      </c>
      <c r="C44" t="s">
        <v>948</v>
      </c>
      <c r="D44" t="s">
        <v>912</v>
      </c>
      <c r="E44" s="257">
        <f t="shared" si="8"/>
        <v>39.980007988325632</v>
      </c>
      <c r="F44" s="257">
        <f t="shared" si="7"/>
        <v>34.551062621919684</v>
      </c>
      <c r="G44" s="257">
        <f t="shared" si="7"/>
        <v>30.018797453093885</v>
      </c>
      <c r="H44" s="257">
        <f t="shared" si="7"/>
        <v>29.938949717961101</v>
      </c>
      <c r="I44" s="257">
        <f t="shared" si="7"/>
        <v>25.591481186419369</v>
      </c>
      <c r="J44" s="257">
        <f t="shared" si="7"/>
        <v>23.342959915404293</v>
      </c>
      <c r="K44" s="257">
        <f t="shared" si="7"/>
        <v>25.560713931617826</v>
      </c>
      <c r="L44" s="257">
        <f t="shared" si="7"/>
        <v>25.418812682266996</v>
      </c>
      <c r="M44" s="257">
        <f t="shared" si="7"/>
        <v>27.342656970111321</v>
      </c>
      <c r="N44" s="257">
        <f t="shared" si="7"/>
        <v>29.204812278210028</v>
      </c>
      <c r="O44" s="257">
        <f t="shared" si="7"/>
        <v>31.050751373851934</v>
      </c>
      <c r="P44" s="257">
        <f t="shared" si="7"/>
        <v>34.951334042686668</v>
      </c>
      <c r="Q44" s="257">
        <f t="shared" si="7"/>
        <v>37.771112678240463</v>
      </c>
      <c r="R44" s="257">
        <f t="shared" si="7"/>
        <v>36.056862695164568</v>
      </c>
      <c r="S44" s="257">
        <f t="shared" si="7"/>
        <v>37.842327108136125</v>
      </c>
      <c r="T44" s="257">
        <f t="shared" si="7"/>
        <v>36.561043039509947</v>
      </c>
      <c r="U44" s="257">
        <f t="shared" si="7"/>
        <v>35.725361115579794</v>
      </c>
      <c r="V44" s="257">
        <f t="shared" si="7"/>
        <v>33.84375398946095</v>
      </c>
      <c r="W44" s="257">
        <f t="shared" si="7"/>
        <v>33.072167026231583</v>
      </c>
      <c r="X44" s="257">
        <f t="shared" si="7"/>
        <v>33.380690272974249</v>
      </c>
      <c r="Y44" s="255">
        <f t="shared" si="9"/>
        <v>641.2056580871664</v>
      </c>
      <c r="AA44" s="24"/>
      <c r="AB44" s="24" t="s">
        <v>701</v>
      </c>
      <c r="AC44" s="24"/>
    </row>
    <row r="45" spans="1:29">
      <c r="A45" s="260">
        <f>1-VLOOKUP(D45,'DOE2014 Sales Pen'!$AA$5:$AE$25,5,FALSE)</f>
        <v>0.7</v>
      </c>
      <c r="B45" s="340">
        <v>1</v>
      </c>
      <c r="C45" t="s">
        <v>949</v>
      </c>
      <c r="D45" t="s">
        <v>912</v>
      </c>
      <c r="E45" s="257">
        <f t="shared" si="8"/>
        <v>39.980007988325632</v>
      </c>
      <c r="F45" s="257">
        <f t="shared" si="7"/>
        <v>34.551062621919684</v>
      </c>
      <c r="G45" s="257">
        <f t="shared" si="7"/>
        <v>30.018797453093885</v>
      </c>
      <c r="H45" s="257">
        <f t="shared" si="7"/>
        <v>29.938949717961101</v>
      </c>
      <c r="I45" s="257">
        <f t="shared" si="7"/>
        <v>25.591481186419369</v>
      </c>
      <c r="J45" s="257">
        <f t="shared" si="7"/>
        <v>23.342959915404293</v>
      </c>
      <c r="K45" s="257">
        <f t="shared" si="7"/>
        <v>25.560713931617826</v>
      </c>
      <c r="L45" s="257">
        <f t="shared" si="7"/>
        <v>25.418812682266996</v>
      </c>
      <c r="M45" s="257">
        <f t="shared" si="7"/>
        <v>27.342656970111321</v>
      </c>
      <c r="N45" s="257">
        <f t="shared" si="7"/>
        <v>29.204812278210028</v>
      </c>
      <c r="O45" s="257">
        <f t="shared" si="7"/>
        <v>31.050751373851934</v>
      </c>
      <c r="P45" s="257">
        <f t="shared" si="7"/>
        <v>34.951334042686668</v>
      </c>
      <c r="Q45" s="257">
        <f t="shared" si="7"/>
        <v>37.771112678240463</v>
      </c>
      <c r="R45" s="257">
        <f t="shared" si="7"/>
        <v>36.056862695164568</v>
      </c>
      <c r="S45" s="257">
        <f t="shared" si="7"/>
        <v>37.842327108136125</v>
      </c>
      <c r="T45" s="257">
        <f t="shared" si="7"/>
        <v>36.561043039509947</v>
      </c>
      <c r="U45" s="257">
        <f t="shared" si="7"/>
        <v>35.725361115579794</v>
      </c>
      <c r="V45" s="257">
        <f t="shared" si="7"/>
        <v>33.84375398946095</v>
      </c>
      <c r="W45" s="257">
        <f t="shared" si="7"/>
        <v>33.072167026231583</v>
      </c>
      <c r="X45" s="257">
        <f t="shared" si="7"/>
        <v>33.380690272974249</v>
      </c>
      <c r="Y45" s="255">
        <f t="shared" si="9"/>
        <v>641.2056580871664</v>
      </c>
      <c r="AA45" s="24"/>
      <c r="AB45" s="24"/>
      <c r="AC45" s="24"/>
    </row>
    <row r="46" spans="1:29">
      <c r="A46" s="24"/>
      <c r="B46" s="262"/>
      <c r="C46" s="24"/>
      <c r="D46" s="24"/>
      <c r="E46" s="257"/>
      <c r="F46" s="257"/>
      <c r="G46" s="257"/>
      <c r="H46" s="257"/>
      <c r="I46" s="257"/>
      <c r="J46" s="257"/>
      <c r="K46" s="257"/>
      <c r="L46" s="257"/>
      <c r="M46" s="257"/>
      <c r="N46" s="257"/>
      <c r="O46" s="257"/>
      <c r="P46" s="257"/>
      <c r="Q46" s="257"/>
      <c r="R46" s="257"/>
      <c r="S46" s="257"/>
      <c r="T46" s="257"/>
      <c r="U46" s="257"/>
      <c r="V46" s="257"/>
      <c r="W46" s="257"/>
      <c r="X46" s="257"/>
      <c r="Y46" s="253"/>
      <c r="AA46" s="24"/>
      <c r="AB46" s="24"/>
      <c r="AC46" s="24"/>
    </row>
    <row r="47" spans="1:29">
      <c r="A47" s="24"/>
      <c r="B47" s="262"/>
      <c r="C47" s="24"/>
      <c r="D47" s="24"/>
      <c r="E47" s="257"/>
      <c r="F47" s="257"/>
      <c r="G47" s="257"/>
      <c r="H47" s="257"/>
      <c r="I47" s="257"/>
      <c r="J47" s="257"/>
      <c r="K47" s="257"/>
      <c r="L47" s="257"/>
      <c r="M47" s="257"/>
      <c r="N47" s="257"/>
      <c r="O47" s="257"/>
      <c r="P47" s="257"/>
      <c r="Q47" s="257"/>
      <c r="R47" s="257"/>
      <c r="S47" s="257"/>
      <c r="T47" s="257"/>
      <c r="U47" s="257"/>
      <c r="V47" s="257"/>
      <c r="W47" s="257"/>
      <c r="X47" s="257"/>
      <c r="Y47" s="253"/>
      <c r="AA47" s="24"/>
      <c r="AB47" s="24"/>
      <c r="AC47" s="24"/>
    </row>
    <row r="48" spans="1:29" ht="15">
      <c r="A48" s="249" t="s">
        <v>915</v>
      </c>
      <c r="B48" s="250"/>
      <c r="C48" s="263" t="s">
        <v>702</v>
      </c>
      <c r="D48" s="263" t="str">
        <f>VLOOKUP($C$49,[1]!ACHIEV,MATCH(E$11,$E$11:$Z$11,0)+1,FALSE)</f>
        <v>LO20Fast</v>
      </c>
      <c r="E48" s="24">
        <v>3</v>
      </c>
      <c r="F48" s="24">
        <v>4</v>
      </c>
      <c r="G48" s="24">
        <v>5</v>
      </c>
      <c r="H48" s="24">
        <v>6</v>
      </c>
      <c r="I48" s="24">
        <v>7</v>
      </c>
      <c r="J48" s="24">
        <v>8</v>
      </c>
      <c r="K48" s="24">
        <v>9</v>
      </c>
      <c r="L48" s="24">
        <v>10</v>
      </c>
      <c r="M48" s="24">
        <v>11</v>
      </c>
      <c r="N48" s="24">
        <v>12</v>
      </c>
      <c r="O48" s="24">
        <v>13</v>
      </c>
      <c r="P48" s="24">
        <v>14</v>
      </c>
      <c r="Q48" s="24">
        <v>15</v>
      </c>
      <c r="R48" s="24">
        <v>16</v>
      </c>
      <c r="S48" s="24">
        <v>17</v>
      </c>
      <c r="T48" s="24">
        <v>18</v>
      </c>
      <c r="U48" s="24">
        <v>19</v>
      </c>
      <c r="V48" s="24">
        <v>20</v>
      </c>
      <c r="W48" s="24">
        <v>21</v>
      </c>
      <c r="X48" s="24">
        <v>22</v>
      </c>
      <c r="Y48" s="24"/>
      <c r="Z48" s="198"/>
      <c r="AA48" s="24"/>
      <c r="AB48" s="24"/>
      <c r="AC48" s="24"/>
    </row>
    <row r="49" spans="1:29" ht="15">
      <c r="A49" s="243" t="s">
        <v>703</v>
      </c>
      <c r="B49" s="243"/>
      <c r="C49" s="263" t="str">
        <f>$C$8</f>
        <v>Exterior Building Lighting-New</v>
      </c>
      <c r="D49" s="263" t="s">
        <v>704</v>
      </c>
      <c r="E49" s="264">
        <f>VLOOKUP($C$49,[1]!ACHIEV,MATCH(E$11,$E$11:$Z$11,0)+2,FALSE)</f>
        <v>0.22119921692859512</v>
      </c>
      <c r="F49" s="264">
        <f>VLOOKUP($C$49,[1]!ACHIEV,MATCH(F$11,$E$11:$Z$11,0)+2,FALSE)</f>
        <v>0.39346934028736658</v>
      </c>
      <c r="G49" s="264">
        <f>VLOOKUP($C$49,[1]!ACHIEV,MATCH(G$11,$E$11:$Z$11,0)+2,FALSE)</f>
        <v>0.52763344725898531</v>
      </c>
      <c r="H49" s="264">
        <f>VLOOKUP($C$49,[1]!ACHIEV,MATCH(H$11,$E$11:$Z$11,0)+2,FALSE)</f>
        <v>0.63212055882855767</v>
      </c>
      <c r="I49" s="264">
        <f>VLOOKUP($C$49,[1]!ACHIEV,MATCH(I$11,$E$11:$Z$11,0)+2,FALSE)</f>
        <v>0.71349520313980985</v>
      </c>
      <c r="J49" s="264">
        <f>VLOOKUP($C$49,[1]!ACHIEV,MATCH(J$11,$E$11:$Z$11,0)+2,FALSE)</f>
        <v>0.77686983985157021</v>
      </c>
      <c r="K49" s="264">
        <f>VLOOKUP($C$49,[1]!ACHIEV,MATCH(K$11,$E$11:$Z$11,0)+2,FALSE)</f>
        <v>0.82622605654955483</v>
      </c>
      <c r="L49" s="264">
        <f>VLOOKUP($C$49,[1]!ACHIEV,MATCH(L$11,$E$11:$Z$11,0)+2,FALSE)</f>
        <v>0.8646647167633873</v>
      </c>
      <c r="M49" s="264">
        <f>VLOOKUP($C$49,[1]!ACHIEV,MATCH(M$11,$E$11:$Z$11,0)+2,FALSE)</f>
        <v>0.89460077543813565</v>
      </c>
      <c r="N49" s="264">
        <f>VLOOKUP($C$49,[1]!ACHIEV,MATCH(N$11,$E$11:$Z$11,0)+2,FALSE)</f>
        <v>0.91791500137610116</v>
      </c>
      <c r="O49" s="264">
        <f>VLOOKUP($C$49,[1]!ACHIEV,MATCH(O$11,$E$11:$Z$11,0)+2,FALSE)</f>
        <v>0.93607213879329243</v>
      </c>
      <c r="P49" s="264">
        <f>VLOOKUP($C$49,[1]!ACHIEV,MATCH(P$11,$E$11:$Z$11,0)+2,FALSE)</f>
        <v>0.95021293163213605</v>
      </c>
      <c r="Q49" s="264">
        <f>VLOOKUP($C$49,[1]!ACHIEV,MATCH(Q$11,$E$11:$Z$11,0)+2,FALSE)</f>
        <v>0.96122579216827797</v>
      </c>
      <c r="R49" s="264">
        <f>VLOOKUP($C$49,[1]!ACHIEV,MATCH(R$11,$E$11:$Z$11,0)+2,FALSE)</f>
        <v>0.96980261657768152</v>
      </c>
      <c r="S49" s="264">
        <f>VLOOKUP($C$49,[1]!ACHIEV,MATCH(S$11,$E$11:$Z$11,0)+2,FALSE)</f>
        <v>0.97648225414399092</v>
      </c>
      <c r="T49" s="264">
        <f>VLOOKUP($C$49,[1]!ACHIEV,MATCH(T$11,$E$11:$Z$11,0)+2,FALSE)</f>
        <v>0.98168436111126578</v>
      </c>
      <c r="U49" s="264">
        <f>VLOOKUP($C$49,[1]!ACHIEV,MATCH(U$11,$E$11:$Z$11,0)+2,FALSE)</f>
        <v>0.98573576609100078</v>
      </c>
      <c r="V49" s="264">
        <f>VLOOKUP($C$49,[1]!ACHIEV,MATCH(V$11,$E$11:$Z$11,0)+2,FALSE)</f>
        <v>0.98889100346175773</v>
      </c>
      <c r="W49" s="264">
        <f>VLOOKUP($C$49,[1]!ACHIEV,MATCH(W$11,$E$11:$Z$11,0)+2,FALSE)</f>
        <v>0.99134830479687941</v>
      </c>
      <c r="X49" s="264">
        <f>VLOOKUP($C$49,[1]!ACHIEV,MATCH(X$11,$E$11:$Z$11,0)+2,FALSE)</f>
        <v>0.99326205300091452</v>
      </c>
      <c r="Y49" s="251" t="s">
        <v>698</v>
      </c>
      <c r="Z49" s="251" t="s">
        <v>699</v>
      </c>
      <c r="AA49" s="24"/>
      <c r="AB49" s="24"/>
      <c r="AC49" s="24"/>
    </row>
    <row r="50" spans="1:29">
      <c r="A50" s="265"/>
      <c r="B50" s="261"/>
      <c r="C50" s="24" t="s">
        <v>414</v>
      </c>
      <c r="D50" s="24"/>
      <c r="E50" s="198">
        <f t="shared" ref="E50:X50" si="10">E38*E$49*$Z$12</f>
        <v>7.5170144908441161</v>
      </c>
      <c r="F50" s="198">
        <f t="shared" si="10"/>
        <v>11.555566243663094</v>
      </c>
      <c r="G50" s="198">
        <f t="shared" si="10"/>
        <v>13.463083345333398</v>
      </c>
      <c r="H50" s="198">
        <f t="shared" si="10"/>
        <v>16.08627178248901</v>
      </c>
      <c r="I50" s="198">
        <f t="shared" si="10"/>
        <v>15.520489207589973</v>
      </c>
      <c r="J50" s="198">
        <f t="shared" si="10"/>
        <v>15.414275301470493</v>
      </c>
      <c r="K50" s="198">
        <f t="shared" si="10"/>
        <v>17.951088693165083</v>
      </c>
      <c r="L50" s="198">
        <f t="shared" si="10"/>
        <v>18.681937898117891</v>
      </c>
      <c r="M50" s="198">
        <f t="shared" si="10"/>
        <v>20.791647808800452</v>
      </c>
      <c r="N50" s="198">
        <f t="shared" si="10"/>
        <v>22.786405007160642</v>
      </c>
      <c r="O50" s="198">
        <f t="shared" si="10"/>
        <v>24.705881762211291</v>
      </c>
      <c r="P50" s="198">
        <f t="shared" si="10"/>
        <v>28.229528147382066</v>
      </c>
      <c r="Q50" s="198">
        <f t="shared" si="10"/>
        <v>30.860582549436128</v>
      </c>
      <c r="R50" s="198">
        <f t="shared" si="10"/>
        <v>29.722833819249875</v>
      </c>
      <c r="S50" s="198">
        <f t="shared" si="10"/>
        <v>31.409506745115962</v>
      </c>
      <c r="T50" s="198">
        <f t="shared" si="10"/>
        <v>30.507693551132391</v>
      </c>
      <c r="U50" s="198">
        <f t="shared" si="10"/>
        <v>29.933401276922144</v>
      </c>
      <c r="V50" s="198">
        <f t="shared" si="10"/>
        <v>28.447616267018269</v>
      </c>
      <c r="W50" s="198">
        <f t="shared" si="10"/>
        <v>27.868131209801838</v>
      </c>
      <c r="X50" s="198">
        <f t="shared" si="10"/>
        <v>28.182407008453751</v>
      </c>
      <c r="Y50" s="255">
        <f t="shared" ref="Y50:Y57" si="11">SUM(E50:X50)</f>
        <v>449.63536211535785</v>
      </c>
      <c r="AA50" s="24"/>
      <c r="AB50" s="24"/>
      <c r="AC50" s="24"/>
    </row>
    <row r="51" spans="1:29">
      <c r="A51" s="265"/>
      <c r="B51" s="261"/>
      <c r="C51" s="24" t="s">
        <v>415</v>
      </c>
      <c r="D51" s="24"/>
      <c r="E51" s="198">
        <f t="shared" ref="E51:X51" si="12">E39*E$49*$Z$12</f>
        <v>8.0539440973329803</v>
      </c>
      <c r="F51" s="198">
        <f t="shared" si="12"/>
        <v>12.380963832496173</v>
      </c>
      <c r="G51" s="198">
        <f t="shared" si="12"/>
        <v>14.424732155714354</v>
      </c>
      <c r="H51" s="198">
        <f t="shared" si="12"/>
        <v>17.235291195523942</v>
      </c>
      <c r="I51" s="198">
        <f t="shared" si="12"/>
        <v>16.629095579560683</v>
      </c>
      <c r="J51" s="198">
        <f t="shared" si="12"/>
        <v>16.515294965861241</v>
      </c>
      <c r="K51" s="198">
        <f t="shared" si="12"/>
        <v>19.233309314105451</v>
      </c>
      <c r="L51" s="198">
        <f t="shared" si="12"/>
        <v>20.016362033697739</v>
      </c>
      <c r="M51" s="198">
        <f t="shared" si="12"/>
        <v>22.276765509429058</v>
      </c>
      <c r="N51" s="198">
        <f t="shared" si="12"/>
        <v>24.414005364814976</v>
      </c>
      <c r="O51" s="198">
        <f t="shared" si="12"/>
        <v>26.470587602369246</v>
      </c>
      <c r="P51" s="198">
        <f t="shared" si="12"/>
        <v>30.24592301505222</v>
      </c>
      <c r="Q51" s="198">
        <f t="shared" si="12"/>
        <v>33.064909874395852</v>
      </c>
      <c r="R51" s="198">
        <f t="shared" si="12"/>
        <v>31.845893377767727</v>
      </c>
      <c r="S51" s="198">
        <f t="shared" si="12"/>
        <v>33.653042941195686</v>
      </c>
      <c r="T51" s="198">
        <f t="shared" si="12"/>
        <v>32.686814519070417</v>
      </c>
      <c r="U51" s="198">
        <f t="shared" si="12"/>
        <v>32.071501368130868</v>
      </c>
      <c r="V51" s="198">
        <f t="shared" si="12"/>
        <v>30.479588857519577</v>
      </c>
      <c r="W51" s="198">
        <f t="shared" si="12"/>
        <v>29.858712010501971</v>
      </c>
      <c r="X51" s="198">
        <f t="shared" si="12"/>
        <v>30.195436080486161</v>
      </c>
      <c r="Y51" s="255">
        <f t="shared" si="11"/>
        <v>481.75217369502627</v>
      </c>
      <c r="AA51" s="24"/>
      <c r="AB51" s="24"/>
      <c r="AC51" s="24"/>
    </row>
    <row r="52" spans="1:29">
      <c r="A52" s="265"/>
      <c r="B52" s="261"/>
      <c r="C52" s="24" t="s">
        <v>416</v>
      </c>
      <c r="D52" s="24"/>
      <c r="E52" s="198">
        <f t="shared" ref="E52:X52" si="13">E40*E$49*$Z$12</f>
        <v>8.0539440973329803</v>
      </c>
      <c r="F52" s="198">
        <f t="shared" si="13"/>
        <v>12.380963832496173</v>
      </c>
      <c r="G52" s="198">
        <f t="shared" si="13"/>
        <v>14.424732155714354</v>
      </c>
      <c r="H52" s="198">
        <f t="shared" si="13"/>
        <v>17.235291195523942</v>
      </c>
      <c r="I52" s="198">
        <f t="shared" si="13"/>
        <v>16.629095579560683</v>
      </c>
      <c r="J52" s="198">
        <f t="shared" si="13"/>
        <v>16.515294965861241</v>
      </c>
      <c r="K52" s="198">
        <f t="shared" si="13"/>
        <v>19.233309314105451</v>
      </c>
      <c r="L52" s="198">
        <f t="shared" si="13"/>
        <v>20.016362033697739</v>
      </c>
      <c r="M52" s="198">
        <f t="shared" si="13"/>
        <v>22.276765509429058</v>
      </c>
      <c r="N52" s="198">
        <f t="shared" si="13"/>
        <v>24.414005364814976</v>
      </c>
      <c r="O52" s="198">
        <f t="shared" si="13"/>
        <v>26.470587602369246</v>
      </c>
      <c r="P52" s="198">
        <f t="shared" si="13"/>
        <v>30.24592301505222</v>
      </c>
      <c r="Q52" s="198">
        <f t="shared" si="13"/>
        <v>33.064909874395852</v>
      </c>
      <c r="R52" s="198">
        <f t="shared" si="13"/>
        <v>31.845893377767727</v>
      </c>
      <c r="S52" s="198">
        <f t="shared" si="13"/>
        <v>33.653042941195686</v>
      </c>
      <c r="T52" s="198">
        <f t="shared" si="13"/>
        <v>32.686814519070417</v>
      </c>
      <c r="U52" s="198">
        <f t="shared" si="13"/>
        <v>32.071501368130868</v>
      </c>
      <c r="V52" s="198">
        <f t="shared" si="13"/>
        <v>30.479588857519577</v>
      </c>
      <c r="W52" s="198">
        <f t="shared" si="13"/>
        <v>29.858712010501971</v>
      </c>
      <c r="X52" s="198">
        <f t="shared" si="13"/>
        <v>30.195436080486161</v>
      </c>
      <c r="Y52" s="255">
        <f t="shared" si="11"/>
        <v>481.75217369502627</v>
      </c>
      <c r="AA52" s="24"/>
      <c r="AB52" s="24"/>
      <c r="AC52" s="24"/>
    </row>
    <row r="53" spans="1:29">
      <c r="A53" s="265"/>
      <c r="B53" s="261"/>
      <c r="C53" s="24" t="s">
        <v>417</v>
      </c>
      <c r="D53" s="24"/>
      <c r="E53" s="198">
        <f t="shared" ref="E53:X53" si="14">E41*E$49*$Z$12</f>
        <v>8.0539440973329803</v>
      </c>
      <c r="F53" s="198">
        <f t="shared" si="14"/>
        <v>12.380963832496173</v>
      </c>
      <c r="G53" s="198">
        <f t="shared" si="14"/>
        <v>14.424732155714354</v>
      </c>
      <c r="H53" s="198">
        <f t="shared" si="14"/>
        <v>17.235291195523942</v>
      </c>
      <c r="I53" s="198">
        <f t="shared" si="14"/>
        <v>16.629095579560683</v>
      </c>
      <c r="J53" s="198">
        <f t="shared" si="14"/>
        <v>16.515294965861241</v>
      </c>
      <c r="K53" s="198">
        <f t="shared" si="14"/>
        <v>19.233309314105451</v>
      </c>
      <c r="L53" s="198">
        <f t="shared" si="14"/>
        <v>20.016362033697739</v>
      </c>
      <c r="M53" s="198">
        <f t="shared" si="14"/>
        <v>22.276765509429058</v>
      </c>
      <c r="N53" s="198">
        <f t="shared" si="14"/>
        <v>24.414005364814976</v>
      </c>
      <c r="O53" s="198">
        <f t="shared" si="14"/>
        <v>26.470587602369246</v>
      </c>
      <c r="P53" s="198">
        <f t="shared" si="14"/>
        <v>30.24592301505222</v>
      </c>
      <c r="Q53" s="198">
        <f t="shared" si="14"/>
        <v>33.064909874395852</v>
      </c>
      <c r="R53" s="198">
        <f t="shared" si="14"/>
        <v>31.845893377767727</v>
      </c>
      <c r="S53" s="198">
        <f t="shared" si="14"/>
        <v>33.653042941195686</v>
      </c>
      <c r="T53" s="198">
        <f t="shared" si="14"/>
        <v>32.686814519070417</v>
      </c>
      <c r="U53" s="198">
        <f t="shared" si="14"/>
        <v>32.071501368130868</v>
      </c>
      <c r="V53" s="198">
        <f t="shared" si="14"/>
        <v>30.479588857519577</v>
      </c>
      <c r="W53" s="198">
        <f t="shared" si="14"/>
        <v>29.858712010501971</v>
      </c>
      <c r="X53" s="198">
        <f t="shared" si="14"/>
        <v>30.195436080486161</v>
      </c>
      <c r="Y53" s="255">
        <f t="shared" si="11"/>
        <v>481.75217369502627</v>
      </c>
      <c r="AA53" s="24"/>
      <c r="AB53" s="24"/>
      <c r="AC53" s="24"/>
    </row>
    <row r="54" spans="1:29">
      <c r="A54" s="265"/>
      <c r="B54" s="261"/>
      <c r="C54" s="24" t="s">
        <v>419</v>
      </c>
      <c r="D54" s="24"/>
      <c r="E54" s="198">
        <f t="shared" ref="E54:X54" si="15">E42*E$49*$Z$12</f>
        <v>8.0539440973329803</v>
      </c>
      <c r="F54" s="198">
        <f t="shared" si="15"/>
        <v>12.380963832496173</v>
      </c>
      <c r="G54" s="198">
        <f t="shared" si="15"/>
        <v>14.424732155714354</v>
      </c>
      <c r="H54" s="198">
        <f t="shared" si="15"/>
        <v>17.235291195523942</v>
      </c>
      <c r="I54" s="198">
        <f t="shared" si="15"/>
        <v>16.629095579560683</v>
      </c>
      <c r="J54" s="198">
        <f t="shared" si="15"/>
        <v>16.515294965861241</v>
      </c>
      <c r="K54" s="198">
        <f t="shared" si="15"/>
        <v>19.233309314105451</v>
      </c>
      <c r="L54" s="198">
        <f t="shared" si="15"/>
        <v>20.016362033697739</v>
      </c>
      <c r="M54" s="198">
        <f t="shared" si="15"/>
        <v>22.276765509429058</v>
      </c>
      <c r="N54" s="198">
        <f t="shared" si="15"/>
        <v>24.414005364814976</v>
      </c>
      <c r="O54" s="198">
        <f t="shared" si="15"/>
        <v>26.470587602369246</v>
      </c>
      <c r="P54" s="198">
        <f t="shared" si="15"/>
        <v>30.24592301505222</v>
      </c>
      <c r="Q54" s="198">
        <f t="shared" si="15"/>
        <v>33.064909874395852</v>
      </c>
      <c r="R54" s="198">
        <f t="shared" si="15"/>
        <v>31.845893377767727</v>
      </c>
      <c r="S54" s="198">
        <f t="shared" si="15"/>
        <v>33.653042941195686</v>
      </c>
      <c r="T54" s="198">
        <f t="shared" si="15"/>
        <v>32.686814519070417</v>
      </c>
      <c r="U54" s="198">
        <f t="shared" si="15"/>
        <v>32.071501368130868</v>
      </c>
      <c r="V54" s="198">
        <f t="shared" si="15"/>
        <v>30.479588857519577</v>
      </c>
      <c r="W54" s="198">
        <f t="shared" si="15"/>
        <v>29.858712010501971</v>
      </c>
      <c r="X54" s="198">
        <f t="shared" si="15"/>
        <v>30.195436080486161</v>
      </c>
      <c r="Y54" s="255">
        <f t="shared" si="11"/>
        <v>481.75217369502627</v>
      </c>
      <c r="AA54" s="24"/>
      <c r="AB54" s="24"/>
      <c r="AC54" s="24"/>
    </row>
    <row r="55" spans="1:29">
      <c r="A55" s="265"/>
      <c r="B55" s="261"/>
      <c r="C55" s="24" t="s">
        <v>421</v>
      </c>
      <c r="D55" s="24"/>
      <c r="E55" s="198">
        <f t="shared" ref="E55:X55" si="16">E43*E$49*$Z$12</f>
        <v>8.0539440973329803</v>
      </c>
      <c r="F55" s="198">
        <f t="shared" si="16"/>
        <v>12.380963832496173</v>
      </c>
      <c r="G55" s="198">
        <f t="shared" si="16"/>
        <v>14.424732155714354</v>
      </c>
      <c r="H55" s="198">
        <f t="shared" si="16"/>
        <v>17.235291195523942</v>
      </c>
      <c r="I55" s="198">
        <f t="shared" si="16"/>
        <v>16.629095579560683</v>
      </c>
      <c r="J55" s="198">
        <f t="shared" si="16"/>
        <v>16.515294965861241</v>
      </c>
      <c r="K55" s="198">
        <f t="shared" si="16"/>
        <v>19.233309314105451</v>
      </c>
      <c r="L55" s="198">
        <f t="shared" si="16"/>
        <v>20.016362033697739</v>
      </c>
      <c r="M55" s="198">
        <f t="shared" si="16"/>
        <v>22.276765509429058</v>
      </c>
      <c r="N55" s="198">
        <f t="shared" si="16"/>
        <v>24.414005364814976</v>
      </c>
      <c r="O55" s="198">
        <f t="shared" si="16"/>
        <v>26.470587602369246</v>
      </c>
      <c r="P55" s="198">
        <f t="shared" si="16"/>
        <v>30.24592301505222</v>
      </c>
      <c r="Q55" s="198">
        <f t="shared" si="16"/>
        <v>33.064909874395852</v>
      </c>
      <c r="R55" s="198">
        <f t="shared" si="16"/>
        <v>31.845893377767727</v>
      </c>
      <c r="S55" s="198">
        <f t="shared" si="16"/>
        <v>33.653042941195686</v>
      </c>
      <c r="T55" s="198">
        <f t="shared" si="16"/>
        <v>32.686814519070417</v>
      </c>
      <c r="U55" s="198">
        <f t="shared" si="16"/>
        <v>32.071501368130868</v>
      </c>
      <c r="V55" s="198">
        <f t="shared" si="16"/>
        <v>30.479588857519577</v>
      </c>
      <c r="W55" s="198">
        <f t="shared" si="16"/>
        <v>29.858712010501971</v>
      </c>
      <c r="X55" s="198">
        <f t="shared" si="16"/>
        <v>30.195436080486161</v>
      </c>
      <c r="Y55" s="255">
        <f t="shared" si="11"/>
        <v>481.75217369502627</v>
      </c>
      <c r="AA55" s="24"/>
      <c r="AB55" s="24"/>
      <c r="AC55" s="24"/>
    </row>
    <row r="56" spans="1:29">
      <c r="A56" s="265"/>
      <c r="B56" s="261"/>
      <c r="C56" s="24" t="s">
        <v>424</v>
      </c>
      <c r="D56" s="24"/>
      <c r="E56" s="198">
        <f t="shared" ref="E56:X56" si="17">E44*E$49*$Z$12</f>
        <v>7.5170144908441161</v>
      </c>
      <c r="F56" s="198">
        <f t="shared" si="17"/>
        <v>11.555566243663094</v>
      </c>
      <c r="G56" s="198">
        <f t="shared" si="17"/>
        <v>13.463083345333398</v>
      </c>
      <c r="H56" s="198">
        <f t="shared" si="17"/>
        <v>16.08627178248901</v>
      </c>
      <c r="I56" s="198">
        <f t="shared" si="17"/>
        <v>15.520489207589973</v>
      </c>
      <c r="J56" s="198">
        <f t="shared" si="17"/>
        <v>15.414275301470493</v>
      </c>
      <c r="K56" s="198">
        <f t="shared" si="17"/>
        <v>17.951088693165083</v>
      </c>
      <c r="L56" s="198">
        <f t="shared" si="17"/>
        <v>18.681937898117891</v>
      </c>
      <c r="M56" s="198">
        <f t="shared" si="17"/>
        <v>20.791647808800452</v>
      </c>
      <c r="N56" s="198">
        <f t="shared" si="17"/>
        <v>22.786405007160642</v>
      </c>
      <c r="O56" s="198">
        <f t="shared" si="17"/>
        <v>24.705881762211291</v>
      </c>
      <c r="P56" s="198">
        <f t="shared" si="17"/>
        <v>28.229528147382066</v>
      </c>
      <c r="Q56" s="198">
        <f t="shared" si="17"/>
        <v>30.860582549436128</v>
      </c>
      <c r="R56" s="198">
        <f t="shared" si="17"/>
        <v>29.722833819249875</v>
      </c>
      <c r="S56" s="198">
        <f t="shared" si="17"/>
        <v>31.409506745115962</v>
      </c>
      <c r="T56" s="198">
        <f t="shared" si="17"/>
        <v>30.507693551132391</v>
      </c>
      <c r="U56" s="198">
        <f t="shared" si="17"/>
        <v>29.933401276922144</v>
      </c>
      <c r="V56" s="198">
        <f t="shared" si="17"/>
        <v>28.447616267018269</v>
      </c>
      <c r="W56" s="198">
        <f t="shared" si="17"/>
        <v>27.868131209801838</v>
      </c>
      <c r="X56" s="198">
        <f t="shared" si="17"/>
        <v>28.182407008453751</v>
      </c>
      <c r="Y56" s="255">
        <f t="shared" si="11"/>
        <v>449.63536211535785</v>
      </c>
      <c r="AA56" s="24"/>
      <c r="AB56" s="24"/>
      <c r="AC56" s="24"/>
    </row>
    <row r="57" spans="1:29">
      <c r="A57" s="265"/>
      <c r="B57" s="261"/>
      <c r="C57" s="24" t="s">
        <v>425</v>
      </c>
      <c r="D57" s="24"/>
      <c r="E57" s="198">
        <f t="shared" ref="E57:X57" si="18">E45*E$49*$Z$12</f>
        <v>7.5170144908441161</v>
      </c>
      <c r="F57" s="198">
        <f t="shared" si="18"/>
        <v>11.555566243663094</v>
      </c>
      <c r="G57" s="198">
        <f t="shared" si="18"/>
        <v>13.463083345333398</v>
      </c>
      <c r="H57" s="198">
        <f t="shared" si="18"/>
        <v>16.08627178248901</v>
      </c>
      <c r="I57" s="198">
        <f t="shared" si="18"/>
        <v>15.520489207589973</v>
      </c>
      <c r="J57" s="198">
        <f t="shared" si="18"/>
        <v>15.414275301470493</v>
      </c>
      <c r="K57" s="198">
        <f t="shared" si="18"/>
        <v>17.951088693165083</v>
      </c>
      <c r="L57" s="198">
        <f t="shared" si="18"/>
        <v>18.681937898117891</v>
      </c>
      <c r="M57" s="198">
        <f t="shared" si="18"/>
        <v>20.791647808800452</v>
      </c>
      <c r="N57" s="198">
        <f t="shared" si="18"/>
        <v>22.786405007160642</v>
      </c>
      <c r="O57" s="198">
        <f t="shared" si="18"/>
        <v>24.705881762211291</v>
      </c>
      <c r="P57" s="198">
        <f t="shared" si="18"/>
        <v>28.229528147382066</v>
      </c>
      <c r="Q57" s="198">
        <f t="shared" si="18"/>
        <v>30.860582549436128</v>
      </c>
      <c r="R57" s="198">
        <f t="shared" si="18"/>
        <v>29.722833819249875</v>
      </c>
      <c r="S57" s="198">
        <f t="shared" si="18"/>
        <v>31.409506745115962</v>
      </c>
      <c r="T57" s="198">
        <f t="shared" si="18"/>
        <v>30.507693551132391</v>
      </c>
      <c r="U57" s="198">
        <f t="shared" si="18"/>
        <v>29.933401276922144</v>
      </c>
      <c r="V57" s="198">
        <f t="shared" si="18"/>
        <v>28.447616267018269</v>
      </c>
      <c r="W57" s="198">
        <f t="shared" si="18"/>
        <v>27.868131209801838</v>
      </c>
      <c r="X57" s="198">
        <f t="shared" si="18"/>
        <v>28.182407008453751</v>
      </c>
      <c r="Y57" s="255">
        <f t="shared" si="11"/>
        <v>449.63536211535785</v>
      </c>
      <c r="AA57" s="24"/>
      <c r="AB57" s="24"/>
      <c r="AC57" s="24"/>
    </row>
    <row r="58" spans="1:29">
      <c r="A58" s="265"/>
      <c r="B58" s="261"/>
      <c r="C58" s="47"/>
      <c r="D58" s="24"/>
      <c r="E58" s="198"/>
      <c r="F58" s="198"/>
      <c r="G58" s="198"/>
      <c r="H58" s="198"/>
      <c r="I58" s="198"/>
      <c r="J58" s="198"/>
      <c r="K58" s="198"/>
      <c r="L58" s="198"/>
      <c r="M58" s="198"/>
      <c r="N58" s="198"/>
      <c r="O58" s="198"/>
      <c r="P58" s="198"/>
      <c r="Q58" s="198"/>
      <c r="R58" s="198"/>
      <c r="S58" s="198"/>
      <c r="T58" s="198"/>
      <c r="U58" s="198"/>
      <c r="V58" s="198"/>
      <c r="W58" s="198"/>
      <c r="X58" s="198"/>
      <c r="Y58" s="255"/>
      <c r="AA58" s="24"/>
      <c r="AB58" s="24"/>
      <c r="AC58" s="24"/>
    </row>
    <row r="59" spans="1:29">
      <c r="A59" s="24"/>
      <c r="B59" s="24"/>
      <c r="C59" s="123" t="s">
        <v>705</v>
      </c>
      <c r="D59" s="24"/>
      <c r="E59" s="198">
        <f>SUM(E50:E57)</f>
        <v>62.820763959197258</v>
      </c>
      <c r="F59" s="198">
        <f t="shared" ref="F59:X59" si="19">SUM(F50:F57)</f>
        <v>96.571517893470144</v>
      </c>
      <c r="G59" s="198">
        <f t="shared" si="19"/>
        <v>112.51291081457197</v>
      </c>
      <c r="H59" s="198">
        <f t="shared" si="19"/>
        <v>134.43527132508675</v>
      </c>
      <c r="I59" s="198">
        <f t="shared" si="19"/>
        <v>129.70694552057333</v>
      </c>
      <c r="J59" s="198">
        <f t="shared" si="19"/>
        <v>128.81930073371768</v>
      </c>
      <c r="K59" s="198">
        <f t="shared" si="19"/>
        <v>150.01981265002252</v>
      </c>
      <c r="L59" s="198">
        <f t="shared" si="19"/>
        <v>156.12762386284237</v>
      </c>
      <c r="M59" s="198">
        <f t="shared" si="19"/>
        <v>173.75877097354666</v>
      </c>
      <c r="N59" s="198">
        <f t="shared" si="19"/>
        <v>190.42924184555685</v>
      </c>
      <c r="O59" s="198">
        <f t="shared" si="19"/>
        <v>206.47058329848011</v>
      </c>
      <c r="P59" s="198">
        <f t="shared" si="19"/>
        <v>235.91819951740732</v>
      </c>
      <c r="Q59" s="198">
        <f t="shared" si="19"/>
        <v>257.90629702028764</v>
      </c>
      <c r="R59" s="198">
        <f t="shared" si="19"/>
        <v>248.39796834658827</v>
      </c>
      <c r="S59" s="198">
        <f t="shared" si="19"/>
        <v>262.4937349413263</v>
      </c>
      <c r="T59" s="198">
        <f t="shared" si="19"/>
        <v>254.95715324874925</v>
      </c>
      <c r="U59" s="198">
        <f t="shared" si="19"/>
        <v>250.1577106714208</v>
      </c>
      <c r="V59" s="198">
        <f t="shared" si="19"/>
        <v>237.74079308865271</v>
      </c>
      <c r="W59" s="198">
        <f t="shared" si="19"/>
        <v>232.89795368191537</v>
      </c>
      <c r="X59" s="198">
        <f t="shared" si="19"/>
        <v>235.5244014277921</v>
      </c>
      <c r="Y59" s="255">
        <f>SUM(E59:X59)</f>
        <v>3757.6669548212058</v>
      </c>
      <c r="AA59" s="24"/>
      <c r="AB59" s="24" t="s">
        <v>706</v>
      </c>
      <c r="AC59" s="24"/>
    </row>
    <row r="60" spans="1:29">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
      <c r="A61" s="249" t="s">
        <v>707</v>
      </c>
      <c r="B61" s="24"/>
      <c r="C61" s="24"/>
      <c r="D61" s="266" t="s">
        <v>41</v>
      </c>
      <c r="E61" s="24" t="s">
        <v>708</v>
      </c>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
      <c r="A62" s="263"/>
      <c r="B62" s="263" t="s">
        <v>398</v>
      </c>
      <c r="C62" s="263" t="s">
        <v>917</v>
      </c>
      <c r="D62" s="263">
        <v>1000</v>
      </c>
      <c r="E62" s="267">
        <f>E11</f>
        <v>2016</v>
      </c>
      <c r="F62" s="267">
        <f t="shared" ref="F62:X62" si="20">F11</f>
        <v>2017</v>
      </c>
      <c r="G62" s="267">
        <f t="shared" si="20"/>
        <v>2018</v>
      </c>
      <c r="H62" s="267">
        <f t="shared" si="20"/>
        <v>2019</v>
      </c>
      <c r="I62" s="267">
        <f t="shared" si="20"/>
        <v>2020</v>
      </c>
      <c r="J62" s="267">
        <f t="shared" si="20"/>
        <v>2021</v>
      </c>
      <c r="K62" s="267">
        <f t="shared" si="20"/>
        <v>2022</v>
      </c>
      <c r="L62" s="267">
        <f t="shared" si="20"/>
        <v>2023</v>
      </c>
      <c r="M62" s="267">
        <f t="shared" si="20"/>
        <v>2024</v>
      </c>
      <c r="N62" s="267">
        <f t="shared" si="20"/>
        <v>2025</v>
      </c>
      <c r="O62" s="267">
        <f t="shared" si="20"/>
        <v>2026</v>
      </c>
      <c r="P62" s="267">
        <f t="shared" si="20"/>
        <v>2027</v>
      </c>
      <c r="Q62" s="267">
        <f t="shared" si="20"/>
        <v>2028</v>
      </c>
      <c r="R62" s="267">
        <f t="shared" si="20"/>
        <v>2029</v>
      </c>
      <c r="S62" s="267">
        <f t="shared" si="20"/>
        <v>2030</v>
      </c>
      <c r="T62" s="267">
        <f t="shared" si="20"/>
        <v>2031</v>
      </c>
      <c r="U62" s="267">
        <f t="shared" si="20"/>
        <v>2032</v>
      </c>
      <c r="V62" s="267">
        <f t="shared" si="20"/>
        <v>2033</v>
      </c>
      <c r="W62" s="267">
        <f t="shared" si="20"/>
        <v>2034</v>
      </c>
      <c r="X62" s="267">
        <f t="shared" si="20"/>
        <v>2035</v>
      </c>
      <c r="Y62" s="251" t="s">
        <v>699</v>
      </c>
      <c r="AA62" s="24"/>
      <c r="AB62" s="24"/>
      <c r="AC62" s="24"/>
    </row>
    <row r="63" spans="1:29" ht="15">
      <c r="A63" s="263" t="s">
        <v>390</v>
      </c>
      <c r="B63" s="263" t="s">
        <v>709</v>
      </c>
      <c r="C63" s="263" t="s">
        <v>710</v>
      </c>
      <c r="D63" s="263" t="s">
        <v>711</v>
      </c>
      <c r="E63" s="269" t="str">
        <f>CONCATENATE("aMW_",E$11)</f>
        <v>aMW_2016</v>
      </c>
      <c r="F63" s="269" t="str">
        <f t="shared" ref="F63:X63" si="21">CONCATENATE("aMW_",F$11)</f>
        <v>aMW_2017</v>
      </c>
      <c r="G63" s="269" t="str">
        <f t="shared" si="21"/>
        <v>aMW_2018</v>
      </c>
      <c r="H63" s="269" t="str">
        <f t="shared" si="21"/>
        <v>aMW_2019</v>
      </c>
      <c r="I63" s="269" t="str">
        <f t="shared" si="21"/>
        <v>aMW_2020</v>
      </c>
      <c r="J63" s="269" t="str">
        <f t="shared" si="21"/>
        <v>aMW_2021</v>
      </c>
      <c r="K63" s="269" t="str">
        <f t="shared" si="21"/>
        <v>aMW_2022</v>
      </c>
      <c r="L63" s="269" t="str">
        <f t="shared" si="21"/>
        <v>aMW_2023</v>
      </c>
      <c r="M63" s="269" t="str">
        <f t="shared" si="21"/>
        <v>aMW_2024</v>
      </c>
      <c r="N63" s="269" t="str">
        <f t="shared" si="21"/>
        <v>aMW_2025</v>
      </c>
      <c r="O63" s="269" t="str">
        <f t="shared" si="21"/>
        <v>aMW_2026</v>
      </c>
      <c r="P63" s="269" t="str">
        <f t="shared" si="21"/>
        <v>aMW_2027</v>
      </c>
      <c r="Q63" s="269" t="str">
        <f t="shared" si="21"/>
        <v>aMW_2028</v>
      </c>
      <c r="R63" s="269" t="str">
        <f t="shared" si="21"/>
        <v>aMW_2029</v>
      </c>
      <c r="S63" s="269" t="str">
        <f t="shared" si="21"/>
        <v>aMW_2030</v>
      </c>
      <c r="T63" s="269" t="str">
        <f t="shared" si="21"/>
        <v>aMW_2031</v>
      </c>
      <c r="U63" s="269" t="str">
        <f t="shared" si="21"/>
        <v>aMW_2032</v>
      </c>
      <c r="V63" s="269" t="str">
        <f t="shared" si="21"/>
        <v>aMW_2033</v>
      </c>
      <c r="W63" s="269" t="str">
        <f t="shared" si="21"/>
        <v>aMW_2034</v>
      </c>
      <c r="X63" s="269" t="str">
        <f t="shared" si="21"/>
        <v>aMW_2035</v>
      </c>
      <c r="Y63" s="251" t="s">
        <v>699</v>
      </c>
      <c r="AA63" s="24"/>
      <c r="AB63" s="24"/>
      <c r="AC63" s="24"/>
    </row>
    <row r="64" spans="1:29">
      <c r="A64" s="271">
        <f>VLOOKUP(C64,M_Input_Out!$A$1:$AM$3999,3,FALSE)</f>
        <v>147.30939530738755</v>
      </c>
      <c r="B64" s="272">
        <f>VLOOKUP(C64,M_Input_Out!$A$1:$AM$3999,11,FALSE)</f>
        <v>-20.650247166381963</v>
      </c>
      <c r="C64" s="24" t="str">
        <f>C50</f>
        <v>Exterior Lighting: Parking Lot - HPS 250W - New</v>
      </c>
      <c r="D64" s="24"/>
      <c r="E64" s="273">
        <f>E50*$D$62*$A64/8760/1000</f>
        <v>0.12640717570355209</v>
      </c>
      <c r="F64" s="273">
        <f t="shared" ref="F64:X71" si="22">F50*$D$62*$A64/8760/1000</f>
        <v>0.19432003148270208</v>
      </c>
      <c r="G64" s="273">
        <f t="shared" si="22"/>
        <v>0.22639710805639535</v>
      </c>
      <c r="H64" s="273">
        <f t="shared" si="22"/>
        <v>0.27050901472930905</v>
      </c>
      <c r="I64" s="273">
        <f t="shared" si="22"/>
        <v>0.26099473516494448</v>
      </c>
      <c r="J64" s="273">
        <f t="shared" si="22"/>
        <v>0.25920862714169146</v>
      </c>
      <c r="K64" s="273">
        <f t="shared" si="22"/>
        <v>0.30186803886979796</v>
      </c>
      <c r="L64" s="273">
        <f t="shared" si="22"/>
        <v>0.31415810216231888</v>
      </c>
      <c r="M64" s="273">
        <f t="shared" si="22"/>
        <v>0.34963528152495021</v>
      </c>
      <c r="N64" s="273">
        <f t="shared" si="22"/>
        <v>0.38317939986690208</v>
      </c>
      <c r="O64" s="273">
        <f t="shared" si="22"/>
        <v>0.41545759165835155</v>
      </c>
      <c r="P64" s="273">
        <f t="shared" si="22"/>
        <v>0.47471172616480911</v>
      </c>
      <c r="Q64" s="273">
        <f t="shared" si="22"/>
        <v>0.51895590801268865</v>
      </c>
      <c r="R64" s="273">
        <f t="shared" si="22"/>
        <v>0.49982336492416296</v>
      </c>
      <c r="S64" s="273">
        <f t="shared" si="22"/>
        <v>0.52818669469478796</v>
      </c>
      <c r="T64" s="273">
        <f t="shared" si="22"/>
        <v>0.51302167685392686</v>
      </c>
      <c r="U64" s="273">
        <f t="shared" si="22"/>
        <v>0.50336429698593421</v>
      </c>
      <c r="V64" s="273">
        <f t="shared" si="22"/>
        <v>0.47837912673870575</v>
      </c>
      <c r="W64" s="273">
        <f t="shared" si="22"/>
        <v>0.46863442429941132</v>
      </c>
      <c r="X64" s="273">
        <f t="shared" si="22"/>
        <v>0.47391933044771722</v>
      </c>
      <c r="Y64" s="274">
        <f>SUM(E64:X64)</f>
        <v>7.5611316554830594</v>
      </c>
      <c r="AA64" s="24"/>
      <c r="AB64" s="254"/>
      <c r="AC64" s="24"/>
    </row>
    <row r="65" spans="1:29">
      <c r="A65" s="271">
        <f>VLOOKUP(C65,M_Input_Out!$A$1:$AM$3999,3,FALSE)</f>
        <v>75.559721767198283</v>
      </c>
      <c r="B65" s="272">
        <f>VLOOKUP(C65,M_Input_Out!$A$1:$AM$3999,11,FALSE)</f>
        <v>-22.291408773955858</v>
      </c>
      <c r="C65" s="24" t="str">
        <f>C51</f>
        <v>Exterior Lighting: Walkway - HID 150W - New</v>
      </c>
      <c r="D65" s="24"/>
      <c r="E65" s="273">
        <f t="shared" ref="E65:T71" si="23">E51*$D$62*$A65/8760/1000</f>
        <v>6.946960903231153E-2</v>
      </c>
      <c r="F65" s="273">
        <f t="shared" si="23"/>
        <v>0.10679248657456115</v>
      </c>
      <c r="G65" s="273">
        <f t="shared" si="23"/>
        <v>0.12442108998312042</v>
      </c>
      <c r="H65" s="273">
        <f t="shared" si="23"/>
        <v>0.14866367663361088</v>
      </c>
      <c r="I65" s="273">
        <f t="shared" si="23"/>
        <v>0.1434349126976886</v>
      </c>
      <c r="J65" s="273">
        <f t="shared" si="23"/>
        <v>0.14245332106434772</v>
      </c>
      <c r="K65" s="273">
        <f t="shared" si="23"/>
        <v>0.16589765986715427</v>
      </c>
      <c r="L65" s="273">
        <f t="shared" si="23"/>
        <v>0.17265191165042379</v>
      </c>
      <c r="M65" s="273">
        <f t="shared" si="23"/>
        <v>0.19214911001890167</v>
      </c>
      <c r="N65" s="273">
        <f t="shared" si="23"/>
        <v>0.21058395577492076</v>
      </c>
      <c r="O65" s="273">
        <f t="shared" si="23"/>
        <v>0.22832308610151469</v>
      </c>
      <c r="P65" s="273">
        <f t="shared" si="23"/>
        <v>0.26088738899651198</v>
      </c>
      <c r="Q65" s="273">
        <f t="shared" si="23"/>
        <v>0.28520267013320066</v>
      </c>
      <c r="R65" s="273">
        <f t="shared" si="23"/>
        <v>0.27468799578219083</v>
      </c>
      <c r="S65" s="273">
        <f t="shared" si="23"/>
        <v>0.29027563484661212</v>
      </c>
      <c r="T65" s="273">
        <f t="shared" si="23"/>
        <v>0.28194139389463219</v>
      </c>
      <c r="U65" s="273">
        <f t="shared" si="22"/>
        <v>0.27663398630505559</v>
      </c>
      <c r="V65" s="273">
        <f t="shared" si="22"/>
        <v>0.26290288283707491</v>
      </c>
      <c r="W65" s="273">
        <f t="shared" si="22"/>
        <v>0.25754748536991218</v>
      </c>
      <c r="X65" s="273">
        <f t="shared" si="22"/>
        <v>0.26045191197268891</v>
      </c>
      <c r="Y65" s="274">
        <f>SUM(E65:X65)</f>
        <v>4.1553721695364354</v>
      </c>
      <c r="AA65" s="24"/>
      <c r="AB65" s="254"/>
      <c r="AC65" s="24"/>
    </row>
    <row r="66" spans="1:29">
      <c r="A66" s="271">
        <f>VLOOKUP(C66,M_Input_Out!$A$1:$AM$3999,3,FALSE)</f>
        <v>75.7337104936271</v>
      </c>
      <c r="B66" s="272">
        <f>VLOOKUP(C66,M_Input_Out!$A$1:$AM$3999,11,FALSE)</f>
        <v>-22.537866130177878</v>
      </c>
      <c r="C66" s="24" t="str">
        <f>C52</f>
        <v>Exterior Lighting: Façade - HID 150W - New</v>
      </c>
      <c r="D66" s="24"/>
      <c r="E66" s="273">
        <f t="shared" si="23"/>
        <v>6.9629574269323369E-2</v>
      </c>
      <c r="F66" s="273">
        <f t="shared" si="22"/>
        <v>0.10703839389524349</v>
      </c>
      <c r="G66" s="273">
        <f t="shared" si="22"/>
        <v>0.12470759007180188</v>
      </c>
      <c r="H66" s="273">
        <f t="shared" si="22"/>
        <v>0.14900599927798752</v>
      </c>
      <c r="I66" s="273">
        <f t="shared" si="22"/>
        <v>0.14376519525037704</v>
      </c>
      <c r="J66" s="273">
        <f t="shared" si="22"/>
        <v>0.14278134334034157</v>
      </c>
      <c r="K66" s="273">
        <f t="shared" si="22"/>
        <v>0.1662796666014662</v>
      </c>
      <c r="L66" s="273">
        <f t="shared" si="22"/>
        <v>0.17304947116389197</v>
      </c>
      <c r="M66" s="273">
        <f t="shared" si="22"/>
        <v>0.19259156504857505</v>
      </c>
      <c r="N66" s="273">
        <f t="shared" si="22"/>
        <v>0.21106886007862513</v>
      </c>
      <c r="O66" s="273">
        <f t="shared" si="22"/>
        <v>0.22884883767968348</v>
      </c>
      <c r="P66" s="273">
        <f t="shared" si="22"/>
        <v>0.26148812525507964</v>
      </c>
      <c r="Q66" s="273">
        <f t="shared" si="22"/>
        <v>0.28585939633851226</v>
      </c>
      <c r="R66" s="273">
        <f t="shared" si="22"/>
        <v>0.27532051021492893</v>
      </c>
      <c r="S66" s="273">
        <f t="shared" si="22"/>
        <v>0.29094404239019578</v>
      </c>
      <c r="T66" s="273">
        <f t="shared" si="22"/>
        <v>0.28259061047330658</v>
      </c>
      <c r="U66" s="273">
        <f t="shared" si="22"/>
        <v>0.27727098170205344</v>
      </c>
      <c r="V66" s="273">
        <f t="shared" si="22"/>
        <v>0.26350826010275913</v>
      </c>
      <c r="W66" s="273">
        <f t="shared" si="22"/>
        <v>0.2581405309493085</v>
      </c>
      <c r="X66" s="273">
        <f t="shared" si="22"/>
        <v>0.26105164547355719</v>
      </c>
      <c r="Y66" s="274">
        <f>SUM(E66:X66)</f>
        <v>4.1649405995770179</v>
      </c>
      <c r="AA66" s="24"/>
      <c r="AB66" s="254"/>
      <c r="AC66" s="24"/>
    </row>
    <row r="67" spans="1:29">
      <c r="A67" s="271">
        <f>VLOOKUP(C67,M_Input_Out!$A$1:$AM$3999,3,FALSE)</f>
        <v>1.9411307694657556</v>
      </c>
      <c r="B67" s="272">
        <f>VLOOKUP(C67,M_Input_Out!$A$1:$AM$3999,11,FALSE)</f>
        <v>-126.37002300184083</v>
      </c>
      <c r="C67" s="24" t="str">
        <f>C53</f>
        <v>Exterior Lighting: Walkway - INC 75W - New</v>
      </c>
      <c r="D67" s="24"/>
      <c r="E67" s="273">
        <f t="shared" si="23"/>
        <v>1.7846756510148571E-3</v>
      </c>
      <c r="F67" s="273">
        <f t="shared" si="22"/>
        <v>2.7435011245320758E-3</v>
      </c>
      <c r="G67" s="273">
        <f t="shared" si="22"/>
        <v>3.1963803000866699E-3</v>
      </c>
      <c r="H67" s="273">
        <f t="shared" si="22"/>
        <v>3.8191728379376429E-3</v>
      </c>
      <c r="I67" s="273">
        <f t="shared" si="22"/>
        <v>3.684845787428336E-3</v>
      </c>
      <c r="J67" s="273">
        <f t="shared" si="22"/>
        <v>3.6596286786570952E-3</v>
      </c>
      <c r="K67" s="273">
        <f t="shared" si="22"/>
        <v>4.2619142132719638E-3</v>
      </c>
      <c r="L67" s="273">
        <f t="shared" si="22"/>
        <v>4.435431077211967E-3</v>
      </c>
      <c r="M67" s="273">
        <f t="shared" si="22"/>
        <v>4.9363144948089297E-3</v>
      </c>
      <c r="N67" s="273">
        <f t="shared" si="22"/>
        <v>5.4099060524594039E-3</v>
      </c>
      <c r="O67" s="273">
        <f t="shared" si="22"/>
        <v>5.8656246667577296E-3</v>
      </c>
      <c r="P67" s="273">
        <f t="shared" si="22"/>
        <v>6.7022022620331417E-3</v>
      </c>
      <c r="Q67" s="273">
        <f t="shared" si="22"/>
        <v>7.3268623226942792E-3</v>
      </c>
      <c r="R67" s="273">
        <f t="shared" si="22"/>
        <v>7.0567401274783878E-3</v>
      </c>
      <c r="S67" s="273">
        <f t="shared" si="22"/>
        <v>7.4571868880487788E-3</v>
      </c>
      <c r="T67" s="273">
        <f t="shared" si="22"/>
        <v>7.243080070637853E-3</v>
      </c>
      <c r="U67" s="273">
        <f t="shared" si="22"/>
        <v>7.1067326630869744E-3</v>
      </c>
      <c r="V67" s="273">
        <f t="shared" si="22"/>
        <v>6.7539803392690457E-3</v>
      </c>
      <c r="W67" s="273">
        <f t="shared" si="22"/>
        <v>6.6164000707993253E-3</v>
      </c>
      <c r="X67" s="273">
        <f t="shared" si="22"/>
        <v>6.691014848546591E-3</v>
      </c>
      <c r="Y67" s="274">
        <f>SUM(E67:X67)</f>
        <v>0.10675159447676105</v>
      </c>
      <c r="AA67" s="24"/>
      <c r="AB67" s="254"/>
      <c r="AC67" s="24"/>
    </row>
    <row r="68" spans="1:29">
      <c r="A68" s="271">
        <f>VLOOKUP(C68,M_Input_Out!$A$1:$AM$3999,3,FALSE)</f>
        <v>32.677068971184418</v>
      </c>
      <c r="B68" s="272">
        <f>VLOOKUP(C68,M_Input_Out!$A$1:$AM$3999,11,FALSE)</f>
        <v>-19.102367372714323</v>
      </c>
      <c r="C68" s="24" t="str">
        <f>C54</f>
        <v>Exterior Lighting: Façade - HID 400W - New</v>
      </c>
      <c r="D68" s="24"/>
      <c r="E68" s="273">
        <f t="shared" si="23"/>
        <v>3.0043297575184182E-2</v>
      </c>
      <c r="F68" s="273">
        <f t="shared" si="22"/>
        <v>4.6184201950253106E-2</v>
      </c>
      <c r="G68" s="273">
        <f t="shared" si="22"/>
        <v>5.3807987162458867E-2</v>
      </c>
      <c r="H68" s="273">
        <f t="shared" si="22"/>
        <v>6.429210035782916E-2</v>
      </c>
      <c r="I68" s="273">
        <f t="shared" si="22"/>
        <v>6.2030833696543643E-2</v>
      </c>
      <c r="J68" s="273">
        <f t="shared" si="22"/>
        <v>6.1606327931381578E-2</v>
      </c>
      <c r="K68" s="273">
        <f t="shared" si="22"/>
        <v>7.1745225456752007E-2</v>
      </c>
      <c r="L68" s="273">
        <f t="shared" si="22"/>
        <v>7.466621492321214E-2</v>
      </c>
      <c r="M68" s="273">
        <f t="shared" si="22"/>
        <v>8.3098105366040578E-2</v>
      </c>
      <c r="N68" s="273">
        <f t="shared" si="22"/>
        <v>9.1070563603758606E-2</v>
      </c>
      <c r="O68" s="273">
        <f t="shared" si="22"/>
        <v>9.8742148035433686E-2</v>
      </c>
      <c r="P68" s="273">
        <f t="shared" si="22"/>
        <v>0.11282512699315018</v>
      </c>
      <c r="Q68" s="273">
        <f t="shared" si="22"/>
        <v>0.12334067813831393</v>
      </c>
      <c r="R68" s="273">
        <f t="shared" si="22"/>
        <v>0.11879343086236314</v>
      </c>
      <c r="S68" s="273">
        <f t="shared" si="22"/>
        <v>0.12553456681274913</v>
      </c>
      <c r="T68" s="273">
        <f t="shared" si="22"/>
        <v>0.12193028453059088</v>
      </c>
      <c r="U68" s="273">
        <f t="shared" si="22"/>
        <v>0.11963500710226573</v>
      </c>
      <c r="V68" s="273">
        <f t="shared" si="22"/>
        <v>0.11369676110850585</v>
      </c>
      <c r="W68" s="273">
        <f t="shared" si="22"/>
        <v>0.11138072965272895</v>
      </c>
      <c r="X68" s="273">
        <f t="shared" si="22"/>
        <v>0.11263679765034666</v>
      </c>
      <c r="Y68" s="274">
        <f>SUM(E68:X68)</f>
        <v>1.7970603889098622</v>
      </c>
      <c r="AA68" s="24"/>
      <c r="AB68" s="254"/>
      <c r="AC68" s="24"/>
    </row>
    <row r="69" spans="1:29">
      <c r="A69" s="271">
        <f>VLOOKUP(C69,M_Input_Out!$A$1:$AM$3999,3,FALSE)</f>
        <v>2.6150142699850236</v>
      </c>
      <c r="B69" s="272">
        <f>VLOOKUP(C69,M_Input_Out!$A$1:$AM$3999,11,FALSE)</f>
        <v>-43.838014609514389</v>
      </c>
      <c r="C69" s="24" t="str">
        <f t="shared" ref="C69:C71" si="24">C55</f>
        <v>Exterior Lighting: Walkway - CFL 26W - New</v>
      </c>
      <c r="D69" s="24"/>
      <c r="E69" s="273">
        <f t="shared" si="23"/>
        <v>2.4042441488798393E-3</v>
      </c>
      <c r="F69" s="273">
        <f t="shared" si="22"/>
        <v>3.6959357417974837E-3</v>
      </c>
      <c r="G69" s="273">
        <f t="shared" si="22"/>
        <v>4.3060365785279522E-3</v>
      </c>
      <c r="H69" s="273">
        <f t="shared" si="22"/>
        <v>5.1450379479043773E-3</v>
      </c>
      <c r="I69" s="273">
        <f t="shared" si="22"/>
        <v>4.9640778809927006E-3</v>
      </c>
      <c r="J69" s="273">
        <f t="shared" si="22"/>
        <v>4.9301063936916627E-3</v>
      </c>
      <c r="K69" s="273">
        <f t="shared" si="22"/>
        <v>5.7414815428563498E-3</v>
      </c>
      <c r="L69" s="273">
        <f t="shared" si="22"/>
        <v>5.975236569783794E-3</v>
      </c>
      <c r="M69" s="273">
        <f t="shared" si="22"/>
        <v>6.6500068146423718E-3</v>
      </c>
      <c r="N69" s="273">
        <f t="shared" si="22"/>
        <v>7.2880105498267225E-3</v>
      </c>
      <c r="O69" s="273">
        <f t="shared" si="22"/>
        <v>7.9019365656488854E-3</v>
      </c>
      <c r="P69" s="273">
        <f t="shared" si="22"/>
        <v>9.0289406727431503E-3</v>
      </c>
      <c r="Q69" s="273">
        <f t="shared" si="22"/>
        <v>9.870457894670533E-3</v>
      </c>
      <c r="R69" s="273">
        <f t="shared" si="22"/>
        <v>9.5065600026580099E-3</v>
      </c>
      <c r="S69" s="273">
        <f t="shared" si="22"/>
        <v>1.004602597256227E-2</v>
      </c>
      <c r="T69" s="273">
        <f t="shared" si="22"/>
        <v>9.7575897725710962E-3</v>
      </c>
      <c r="U69" s="273">
        <f t="shared" si="22"/>
        <v>9.5739079609025602E-3</v>
      </c>
      <c r="V69" s="273">
        <f t="shared" si="22"/>
        <v>9.0986940417454587E-3</v>
      </c>
      <c r="W69" s="273">
        <f t="shared" si="22"/>
        <v>8.9133513688168797E-3</v>
      </c>
      <c r="X69" s="273">
        <f t="shared" si="22"/>
        <v>9.0138694336634653E-3</v>
      </c>
      <c r="Y69" s="274">
        <f>SUM(E69:X69)</f>
        <v>0.14381150785488558</v>
      </c>
      <c r="AA69" s="24"/>
      <c r="AB69" s="254"/>
      <c r="AC69" s="24"/>
    </row>
    <row r="70" spans="1:29">
      <c r="A70" s="271">
        <f>VLOOKUP(C70,M_Input_Out!$A$1:$AM$3999,3,FALSE)</f>
        <v>58.159445328717929</v>
      </c>
      <c r="B70" s="272">
        <f>VLOOKUP(C70,M_Input_Out!$A$1:$AM$3999,11,FALSE)</f>
        <v>-11.973200574277088</v>
      </c>
      <c r="C70" s="24" t="str">
        <f t="shared" si="24"/>
        <v>Exterior Lighting: Parking Lot - MH 400W - New</v>
      </c>
      <c r="D70" s="24"/>
      <c r="E70" s="273">
        <f t="shared" si="23"/>
        <v>4.9907008369341192E-2</v>
      </c>
      <c r="F70" s="273">
        <f t="shared" si="22"/>
        <v>7.6719785752363254E-2</v>
      </c>
      <c r="G70" s="273">
        <f t="shared" si="22"/>
        <v>8.938418490626604E-2</v>
      </c>
      <c r="H70" s="273">
        <f t="shared" si="22"/>
        <v>0.10680007354755337</v>
      </c>
      <c r="I70" s="273">
        <f t="shared" si="22"/>
        <v>0.103043726431939</v>
      </c>
      <c r="J70" s="273">
        <f t="shared" si="22"/>
        <v>0.10233855041982651</v>
      </c>
      <c r="K70" s="273">
        <f t="shared" si="22"/>
        <v>0.11918097733345905</v>
      </c>
      <c r="L70" s="273">
        <f t="shared" si="22"/>
        <v>0.1240332358242113</v>
      </c>
      <c r="M70" s="273">
        <f t="shared" si="22"/>
        <v>0.13804003470660819</v>
      </c>
      <c r="N70" s="273">
        <f t="shared" si="22"/>
        <v>0.15128363884155066</v>
      </c>
      <c r="O70" s="273">
        <f t="shared" si="22"/>
        <v>0.16402744059898364</v>
      </c>
      <c r="P70" s="273">
        <f t="shared" si="22"/>
        <v>0.18742165513049899</v>
      </c>
      <c r="Q70" s="273">
        <f t="shared" si="22"/>
        <v>0.20488976753382612</v>
      </c>
      <c r="R70" s="273">
        <f t="shared" si="22"/>
        <v>0.19733601923804012</v>
      </c>
      <c r="S70" s="273">
        <f t="shared" si="22"/>
        <v>0.20853418839549873</v>
      </c>
      <c r="T70" s="273">
        <f t="shared" si="22"/>
        <v>0.20254686474798686</v>
      </c>
      <c r="U70" s="273">
        <f t="shared" si="22"/>
        <v>0.19873401998490056</v>
      </c>
      <c r="V70" s="273">
        <f t="shared" si="22"/>
        <v>0.18886958710205431</v>
      </c>
      <c r="W70" s="273">
        <f t="shared" si="22"/>
        <v>0.185022266382421</v>
      </c>
      <c r="X70" s="273">
        <f t="shared" si="22"/>
        <v>0.18710880817806427</v>
      </c>
      <c r="Y70" s="274">
        <f>SUM(E70:X70)</f>
        <v>2.9852218334253933</v>
      </c>
      <c r="AA70" s="24"/>
      <c r="AB70" s="254"/>
      <c r="AC70" s="24"/>
    </row>
    <row r="71" spans="1:29">
      <c r="A71" s="271">
        <f>VLOOKUP(C71,M_Input_Out!$A$1:$AM$3999,3,FALSE)</f>
        <v>7.0735978583603307</v>
      </c>
      <c r="B71" s="272">
        <f>VLOOKUP(C71,M_Input_Out!$A$1:$AM$3999,11,FALSE)</f>
        <v>-3.6453467777018531</v>
      </c>
      <c r="C71" s="24" t="str">
        <f t="shared" si="24"/>
        <v>Exterior Lighting: Parking Lot - MH 1000W - New</v>
      </c>
      <c r="D71" s="24"/>
      <c r="E71" s="273">
        <f t="shared" si="23"/>
        <v>6.0699015529336207E-3</v>
      </c>
      <c r="F71" s="273">
        <f t="shared" si="22"/>
        <v>9.3309850038032181E-3</v>
      </c>
      <c r="G71" s="273">
        <f t="shared" si="22"/>
        <v>1.0871282821743945E-2</v>
      </c>
      <c r="H71" s="273">
        <f t="shared" si="22"/>
        <v>1.2989476898358046E-2</v>
      </c>
      <c r="I71" s="273">
        <f t="shared" si="22"/>
        <v>1.2532614066154458E-2</v>
      </c>
      <c r="J71" s="273">
        <f t="shared" si="22"/>
        <v>1.2446847575417605E-2</v>
      </c>
      <c r="K71" s="273">
        <f t="shared" si="22"/>
        <v>1.449529480995535E-2</v>
      </c>
      <c r="L71" s="273">
        <f t="shared" si="22"/>
        <v>1.5085447021249707E-2</v>
      </c>
      <c r="M71" s="273">
        <f t="shared" si="22"/>
        <v>1.6789013174898761E-2</v>
      </c>
      <c r="N71" s="273">
        <f t="shared" si="22"/>
        <v>1.8399756353696648E-2</v>
      </c>
      <c r="O71" s="273">
        <f t="shared" si="22"/>
        <v>1.9949711452292389E-2</v>
      </c>
      <c r="P71" s="273">
        <f t="shared" si="22"/>
        <v>2.2795014822584982E-2</v>
      </c>
      <c r="Q71" s="273">
        <f t="shared" si="22"/>
        <v>2.4919560574137398E-2</v>
      </c>
      <c r="R71" s="273">
        <f t="shared" si="22"/>
        <v>2.4000841740667342E-2</v>
      </c>
      <c r="S71" s="273">
        <f t="shared" si="22"/>
        <v>2.5362810461690255E-2</v>
      </c>
      <c r="T71" s="273">
        <f t="shared" si="22"/>
        <v>2.4634606822694444E-2</v>
      </c>
      <c r="U71" s="273">
        <f t="shared" si="22"/>
        <v>2.4170872507520192E-2</v>
      </c>
      <c r="V71" s="273">
        <f t="shared" si="22"/>
        <v>2.2971118436282755E-2</v>
      </c>
      <c r="W71" s="273">
        <f t="shared" si="22"/>
        <v>2.2503191009378882E-2</v>
      </c>
      <c r="X71" s="273">
        <f t="shared" si="22"/>
        <v>2.2756965052333062E-2</v>
      </c>
      <c r="Y71" s="274">
        <f>SUM(E71:X71)</f>
        <v>0.36307531215779298</v>
      </c>
      <c r="AA71" s="24"/>
      <c r="AB71" s="254"/>
      <c r="AC71" s="24"/>
    </row>
    <row r="72" spans="1:29">
      <c r="A72" s="24"/>
      <c r="B72" s="24"/>
      <c r="C72" s="24"/>
      <c r="D72" s="24"/>
      <c r="E72" s="273"/>
      <c r="F72" s="273"/>
      <c r="G72" s="273"/>
      <c r="H72" s="273"/>
      <c r="I72" s="273"/>
      <c r="J72" s="273"/>
      <c r="K72" s="273"/>
      <c r="L72" s="273"/>
      <c r="M72" s="273"/>
      <c r="N72" s="273"/>
      <c r="O72" s="273"/>
      <c r="P72" s="273"/>
      <c r="Q72" s="273"/>
      <c r="R72" s="273"/>
      <c r="S72" s="273"/>
      <c r="T72" s="273"/>
      <c r="U72" s="273"/>
      <c r="V72" s="273"/>
      <c r="W72" s="273"/>
      <c r="X72" s="273"/>
      <c r="Y72" s="251"/>
      <c r="AA72" s="24"/>
      <c r="AB72" s="254"/>
      <c r="AC72" s="24"/>
    </row>
    <row r="73" spans="1:29">
      <c r="A73" s="24"/>
      <c r="B73" s="272">
        <f>SUMPRODUCT(A64:A68,B64:B68)/SUM(A64:A68)</f>
        <v>-21.915466954619884</v>
      </c>
      <c r="C73" s="24" t="s">
        <v>712</v>
      </c>
      <c r="D73" s="24"/>
      <c r="E73" s="273">
        <f>SUM(E64:E71)</f>
        <v>0.35571548630254074</v>
      </c>
      <c r="F73" s="273">
        <f t="shared" ref="F73:W73" si="25">SUM(F64:F71)</f>
        <v>0.54682532152525598</v>
      </c>
      <c r="G73" s="273">
        <f t="shared" si="25"/>
        <v>0.63709165988040117</v>
      </c>
      <c r="H73" s="273">
        <f t="shared" si="25"/>
        <v>0.76122455223049001</v>
      </c>
      <c r="I73" s="273">
        <f t="shared" si="25"/>
        <v>0.73445094097606833</v>
      </c>
      <c r="J73" s="273">
        <f t="shared" si="25"/>
        <v>0.7294247525453551</v>
      </c>
      <c r="K73" s="273">
        <f t="shared" si="25"/>
        <v>0.84947025869471304</v>
      </c>
      <c r="L73" s="273">
        <f t="shared" si="25"/>
        <v>0.88405505039230359</v>
      </c>
      <c r="M73" s="273">
        <f t="shared" si="25"/>
        <v>0.98388943114942562</v>
      </c>
      <c r="N73" s="273">
        <f t="shared" si="25"/>
        <v>1.07828409112174</v>
      </c>
      <c r="O73" s="273">
        <f t="shared" si="25"/>
        <v>1.1691163767586661</v>
      </c>
      <c r="P73" s="273">
        <f t="shared" si="25"/>
        <v>1.335860180297411</v>
      </c>
      <c r="Q73" s="273">
        <f t="shared" si="25"/>
        <v>1.460365300948044</v>
      </c>
      <c r="R73" s="273">
        <f t="shared" si="25"/>
        <v>1.4065254628924899</v>
      </c>
      <c r="S73" s="273">
        <f t="shared" si="25"/>
        <v>1.4863411504621453</v>
      </c>
      <c r="T73" s="273">
        <f t="shared" si="25"/>
        <v>1.4436661071663466</v>
      </c>
      <c r="U73" s="273">
        <f t="shared" si="25"/>
        <v>1.4164898052117194</v>
      </c>
      <c r="V73" s="273">
        <f t="shared" si="25"/>
        <v>1.3461804107063973</v>
      </c>
      <c r="W73" s="273">
        <f t="shared" si="25"/>
        <v>1.318758379102777</v>
      </c>
      <c r="X73" s="273">
        <f>SUM(X64:X71)</f>
        <v>1.3336303430569174</v>
      </c>
      <c r="Y73" s="274">
        <f>SUM(Y64:Y71)</f>
        <v>21.277365061421204</v>
      </c>
      <c r="AA73" s="24"/>
      <c r="AB73" s="254"/>
      <c r="AC73" s="24"/>
    </row>
    <row r="74" spans="1:29">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
      <c r="A76" s="249" t="s">
        <v>713</v>
      </c>
      <c r="B76" s="250"/>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
      <c r="A77" s="24"/>
      <c r="B77" s="24"/>
      <c r="C77" s="24"/>
      <c r="D77" s="24"/>
      <c r="E77" s="267">
        <f>E11</f>
        <v>2016</v>
      </c>
      <c r="F77" s="267">
        <f t="shared" ref="F77:X77" si="26">F11</f>
        <v>2017</v>
      </c>
      <c r="G77" s="267">
        <f t="shared" si="26"/>
        <v>2018</v>
      </c>
      <c r="H77" s="267">
        <f t="shared" si="26"/>
        <v>2019</v>
      </c>
      <c r="I77" s="267">
        <f t="shared" si="26"/>
        <v>2020</v>
      </c>
      <c r="J77" s="267">
        <f t="shared" si="26"/>
        <v>2021</v>
      </c>
      <c r="K77" s="267">
        <f t="shared" si="26"/>
        <v>2022</v>
      </c>
      <c r="L77" s="267">
        <f t="shared" si="26"/>
        <v>2023</v>
      </c>
      <c r="M77" s="267">
        <f t="shared" si="26"/>
        <v>2024</v>
      </c>
      <c r="N77" s="267">
        <f t="shared" si="26"/>
        <v>2025</v>
      </c>
      <c r="O77" s="267">
        <f t="shared" si="26"/>
        <v>2026</v>
      </c>
      <c r="P77" s="267">
        <f t="shared" si="26"/>
        <v>2027</v>
      </c>
      <c r="Q77" s="267">
        <f t="shared" si="26"/>
        <v>2028</v>
      </c>
      <c r="R77" s="267">
        <f t="shared" si="26"/>
        <v>2029</v>
      </c>
      <c r="S77" s="267">
        <f t="shared" si="26"/>
        <v>2030</v>
      </c>
      <c r="T77" s="267">
        <f t="shared" si="26"/>
        <v>2031</v>
      </c>
      <c r="U77" s="267">
        <f t="shared" si="26"/>
        <v>2032</v>
      </c>
      <c r="V77" s="267">
        <f t="shared" si="26"/>
        <v>2033</v>
      </c>
      <c r="W77" s="267">
        <f t="shared" si="26"/>
        <v>2034</v>
      </c>
      <c r="X77" s="267">
        <f t="shared" si="26"/>
        <v>2035</v>
      </c>
      <c r="Y77" s="251" t="s">
        <v>699</v>
      </c>
      <c r="AA77" s="24"/>
      <c r="AB77" s="24"/>
      <c r="AC77" s="24"/>
    </row>
    <row r="78" spans="1:29" ht="15">
      <c r="A78" s="24"/>
      <c r="B78" s="275" t="s">
        <v>709</v>
      </c>
      <c r="C78" s="275" t="s">
        <v>709</v>
      </c>
      <c r="D78" s="275"/>
      <c r="E78" s="269" t="str">
        <f>TEXT(E63,"0000")</f>
        <v>aMW_2016</v>
      </c>
      <c r="F78" s="269" t="str">
        <f t="shared" ref="F78:X78" si="27">TEXT(F63,"0000")</f>
        <v>aMW_2017</v>
      </c>
      <c r="G78" s="269" t="str">
        <f t="shared" si="27"/>
        <v>aMW_2018</v>
      </c>
      <c r="H78" s="269" t="str">
        <f t="shared" si="27"/>
        <v>aMW_2019</v>
      </c>
      <c r="I78" s="269" t="str">
        <f t="shared" si="27"/>
        <v>aMW_2020</v>
      </c>
      <c r="J78" s="269" t="str">
        <f t="shared" si="27"/>
        <v>aMW_2021</v>
      </c>
      <c r="K78" s="269" t="str">
        <f t="shared" si="27"/>
        <v>aMW_2022</v>
      </c>
      <c r="L78" s="269" t="str">
        <f t="shared" si="27"/>
        <v>aMW_2023</v>
      </c>
      <c r="M78" s="269" t="str">
        <f t="shared" si="27"/>
        <v>aMW_2024</v>
      </c>
      <c r="N78" s="269" t="str">
        <f t="shared" si="27"/>
        <v>aMW_2025</v>
      </c>
      <c r="O78" s="269" t="str">
        <f t="shared" si="27"/>
        <v>aMW_2026</v>
      </c>
      <c r="P78" s="269" t="str">
        <f t="shared" si="27"/>
        <v>aMW_2027</v>
      </c>
      <c r="Q78" s="269" t="str">
        <f t="shared" si="27"/>
        <v>aMW_2028</v>
      </c>
      <c r="R78" s="269" t="str">
        <f t="shared" si="27"/>
        <v>aMW_2029</v>
      </c>
      <c r="S78" s="269" t="str">
        <f t="shared" si="27"/>
        <v>aMW_2030</v>
      </c>
      <c r="T78" s="269" t="str">
        <f t="shared" si="27"/>
        <v>aMW_2031</v>
      </c>
      <c r="U78" s="269" t="str">
        <f t="shared" si="27"/>
        <v>aMW_2032</v>
      </c>
      <c r="V78" s="269" t="str">
        <f t="shared" si="27"/>
        <v>aMW_2033</v>
      </c>
      <c r="W78" s="269" t="str">
        <f t="shared" si="27"/>
        <v>aMW_2034</v>
      </c>
      <c r="X78" s="269" t="str">
        <f t="shared" si="27"/>
        <v>aMW_2035</v>
      </c>
      <c r="Y78" s="251" t="s">
        <v>699</v>
      </c>
      <c r="AA78" s="24"/>
      <c r="AB78" s="24"/>
      <c r="AC78" s="24"/>
    </row>
    <row r="79" spans="1:29">
      <c r="A79" s="24" t="s">
        <v>643</v>
      </c>
      <c r="B79" s="276" t="s">
        <v>714</v>
      </c>
      <c r="C79" s="276" t="s">
        <v>715</v>
      </c>
      <c r="D79" s="276"/>
      <c r="E79" s="277">
        <f>DSUM($B$63:$Y$71,E$63,$B$78:$C79)</f>
        <v>0.35571548630254074</v>
      </c>
      <c r="F79" s="277">
        <f>DSUM($B$63:$Y$71,F$63,$B$78:$C79)</f>
        <v>0.54682532152525598</v>
      </c>
      <c r="G79" s="277">
        <f>DSUM($B$63:$Y$71,G$63,$B$78:$C79)</f>
        <v>0.63709165988040117</v>
      </c>
      <c r="H79" s="277">
        <f>DSUM($B$63:$Y$71,H$63,$B$78:$C79)</f>
        <v>0.76122455223049001</v>
      </c>
      <c r="I79" s="277">
        <f>DSUM($B$63:$Y$71,I$63,$B$78:$C79)</f>
        <v>0.73445094097606833</v>
      </c>
      <c r="J79" s="277">
        <f>DSUM($B$63:$Y$71,J$63,$B$78:$C79)</f>
        <v>0.7294247525453551</v>
      </c>
      <c r="K79" s="277">
        <f>DSUM($B$63:$Y$71,K$63,$B$78:$C79)</f>
        <v>0.84947025869471304</v>
      </c>
      <c r="L79" s="277">
        <f>DSUM($B$63:$Y$71,L$63,$B$78:$C79)</f>
        <v>0.88405505039230359</v>
      </c>
      <c r="M79" s="277">
        <f>DSUM($B$63:$Y$71,M$63,$B$78:$C79)</f>
        <v>0.98388943114942562</v>
      </c>
      <c r="N79" s="277">
        <f>DSUM($B$63:$Y$71,N$63,$B$78:$C79)</f>
        <v>1.07828409112174</v>
      </c>
      <c r="O79" s="277">
        <f>DSUM($B$63:$Y$71,O$63,$B$78:$C79)</f>
        <v>1.1691163767586661</v>
      </c>
      <c r="P79" s="277">
        <f>DSUM($B$63:$Y$71,P$63,$B$78:$C79)</f>
        <v>1.335860180297411</v>
      </c>
      <c r="Q79" s="277">
        <f>DSUM($B$63:$Y$71,Q$63,$B$78:$C79)</f>
        <v>1.460365300948044</v>
      </c>
      <c r="R79" s="277">
        <f>DSUM($B$63:$Y$71,R$63,$B$78:$C79)</f>
        <v>1.4065254628924899</v>
      </c>
      <c r="S79" s="277">
        <f>DSUM($B$63:$Y$71,S$63,$B$78:$C79)</f>
        <v>1.4863411504621453</v>
      </c>
      <c r="T79" s="277">
        <f>DSUM($B$63:$Y$71,T$63,$B$78:$C79)</f>
        <v>1.4436661071663466</v>
      </c>
      <c r="U79" s="277">
        <f>DSUM($B$63:$Y$71,U$63,$B$78:$C79)</f>
        <v>1.4164898052117194</v>
      </c>
      <c r="V79" s="277">
        <f>DSUM($B$63:$Y$71,V$63,$B$78:$C79)</f>
        <v>1.3461804107063973</v>
      </c>
      <c r="W79" s="277">
        <f>DSUM($B$63:$Y$71,W$63,$B$78:$C79)</f>
        <v>1.318758379102777</v>
      </c>
      <c r="X79" s="277">
        <f>DSUM($B$63:$Y$71,X$63,$B$78:$C79)</f>
        <v>1.3336303430569174</v>
      </c>
      <c r="Y79" s="45">
        <f>DSUM($B$63:$Y$71,Y$63,$B$78:$C79)</f>
        <v>21.277365061421204</v>
      </c>
      <c r="AA79" s="24"/>
      <c r="AB79" s="24"/>
      <c r="AC79" s="24"/>
    </row>
    <row r="80" spans="1:29">
      <c r="A80" s="24" t="s">
        <v>644</v>
      </c>
      <c r="B80" s="276" t="s">
        <v>716</v>
      </c>
      <c r="C80" s="276" t="s">
        <v>717</v>
      </c>
      <c r="D80" s="276"/>
      <c r="E80" s="277">
        <f>DSUM($B$63:$Y$71,E$63,$B$78:$C80)</f>
        <v>0.35571548630254074</v>
      </c>
      <c r="F80" s="277">
        <f>DSUM($B$63:$Y$71,F$63,$B$78:$C80)</f>
        <v>0.54682532152525598</v>
      </c>
      <c r="G80" s="277">
        <f>DSUM($B$63:$Y$71,G$63,$B$78:$C80)</f>
        <v>0.63709165988040117</v>
      </c>
      <c r="H80" s="277">
        <f>DSUM($B$63:$Y$71,H$63,$B$78:$C80)</f>
        <v>0.76122455223049001</v>
      </c>
      <c r="I80" s="277">
        <f>DSUM($B$63:$Y$71,I$63,$B$78:$C80)</f>
        <v>0.73445094097606833</v>
      </c>
      <c r="J80" s="277">
        <f>DSUM($B$63:$Y$71,J$63,$B$78:$C80)</f>
        <v>0.7294247525453551</v>
      </c>
      <c r="K80" s="277">
        <f>DSUM($B$63:$Y$71,K$63,$B$78:$C80)</f>
        <v>0.84947025869471304</v>
      </c>
      <c r="L80" s="277">
        <f>DSUM($B$63:$Y$71,L$63,$B$78:$C80)</f>
        <v>0.88405505039230359</v>
      </c>
      <c r="M80" s="277">
        <f>DSUM($B$63:$Y$71,M$63,$B$78:$C80)</f>
        <v>0.98388943114942562</v>
      </c>
      <c r="N80" s="277">
        <f>DSUM($B$63:$Y$71,N$63,$B$78:$C80)</f>
        <v>1.07828409112174</v>
      </c>
      <c r="O80" s="277">
        <f>DSUM($B$63:$Y$71,O$63,$B$78:$C80)</f>
        <v>1.1691163767586661</v>
      </c>
      <c r="P80" s="277">
        <f>DSUM($B$63:$Y$71,P$63,$B$78:$C80)</f>
        <v>1.335860180297411</v>
      </c>
      <c r="Q80" s="277">
        <f>DSUM($B$63:$Y$71,Q$63,$B$78:$C80)</f>
        <v>1.460365300948044</v>
      </c>
      <c r="R80" s="277">
        <f>DSUM($B$63:$Y$71,R$63,$B$78:$C80)</f>
        <v>1.4065254628924899</v>
      </c>
      <c r="S80" s="277">
        <f>DSUM($B$63:$Y$71,S$63,$B$78:$C80)</f>
        <v>1.4863411504621453</v>
      </c>
      <c r="T80" s="277">
        <f>DSUM($B$63:$Y$71,T$63,$B$78:$C80)</f>
        <v>1.4436661071663466</v>
      </c>
      <c r="U80" s="277">
        <f>DSUM($B$63:$Y$71,U$63,$B$78:$C80)</f>
        <v>1.4164898052117194</v>
      </c>
      <c r="V80" s="277">
        <f>DSUM($B$63:$Y$71,V$63,$B$78:$C80)</f>
        <v>1.3461804107063973</v>
      </c>
      <c r="W80" s="277">
        <f>DSUM($B$63:$Y$71,W$63,$B$78:$C80)</f>
        <v>1.318758379102777</v>
      </c>
      <c r="X80" s="277">
        <f>DSUM($B$63:$Y$71,X$63,$B$78:$C80)</f>
        <v>1.3336303430569174</v>
      </c>
      <c r="Y80" s="45">
        <f>DSUM($B$63:$Y$71,Y$63,$B$78:$C80)</f>
        <v>21.277365061421204</v>
      </c>
      <c r="AA80" s="24"/>
      <c r="AB80" s="24"/>
      <c r="AC80" s="24"/>
    </row>
    <row r="81" spans="1:29">
      <c r="A81" s="24" t="s">
        <v>645</v>
      </c>
      <c r="B81" s="276" t="s">
        <v>718</v>
      </c>
      <c r="C81" s="276" t="s">
        <v>719</v>
      </c>
      <c r="D81" s="276"/>
      <c r="E81" s="277">
        <f>DSUM($B$63:$Y$71,E$63,$B$78:$C81)</f>
        <v>0.35571548630254074</v>
      </c>
      <c r="F81" s="277">
        <f>DSUM($B$63:$Y$71,F$63,$B$78:$C81)</f>
        <v>0.54682532152525598</v>
      </c>
      <c r="G81" s="277">
        <f>DSUM($B$63:$Y$71,G$63,$B$78:$C81)</f>
        <v>0.63709165988040117</v>
      </c>
      <c r="H81" s="277">
        <f>DSUM($B$63:$Y$71,H$63,$B$78:$C81)</f>
        <v>0.76122455223049001</v>
      </c>
      <c r="I81" s="277">
        <f>DSUM($B$63:$Y$71,I$63,$B$78:$C81)</f>
        <v>0.73445094097606833</v>
      </c>
      <c r="J81" s="277">
        <f>DSUM($B$63:$Y$71,J$63,$B$78:$C81)</f>
        <v>0.7294247525453551</v>
      </c>
      <c r="K81" s="277">
        <f>DSUM($B$63:$Y$71,K$63,$B$78:$C81)</f>
        <v>0.84947025869471304</v>
      </c>
      <c r="L81" s="277">
        <f>DSUM($B$63:$Y$71,L$63,$B$78:$C81)</f>
        <v>0.88405505039230359</v>
      </c>
      <c r="M81" s="277">
        <f>DSUM($B$63:$Y$71,M$63,$B$78:$C81)</f>
        <v>0.98388943114942562</v>
      </c>
      <c r="N81" s="277">
        <f>DSUM($B$63:$Y$71,N$63,$B$78:$C81)</f>
        <v>1.07828409112174</v>
      </c>
      <c r="O81" s="277">
        <f>DSUM($B$63:$Y$71,O$63,$B$78:$C81)</f>
        <v>1.1691163767586661</v>
      </c>
      <c r="P81" s="277">
        <f>DSUM($B$63:$Y$71,P$63,$B$78:$C81)</f>
        <v>1.335860180297411</v>
      </c>
      <c r="Q81" s="277">
        <f>DSUM($B$63:$Y$71,Q$63,$B$78:$C81)</f>
        <v>1.460365300948044</v>
      </c>
      <c r="R81" s="277">
        <f>DSUM($B$63:$Y$71,R$63,$B$78:$C81)</f>
        <v>1.4065254628924899</v>
      </c>
      <c r="S81" s="277">
        <f>DSUM($B$63:$Y$71,S$63,$B$78:$C81)</f>
        <v>1.4863411504621453</v>
      </c>
      <c r="T81" s="277">
        <f>DSUM($B$63:$Y$71,T$63,$B$78:$C81)</f>
        <v>1.4436661071663466</v>
      </c>
      <c r="U81" s="277">
        <f>DSUM($B$63:$Y$71,U$63,$B$78:$C81)</f>
        <v>1.4164898052117194</v>
      </c>
      <c r="V81" s="277">
        <f>DSUM($B$63:$Y$71,V$63,$B$78:$C81)</f>
        <v>1.3461804107063973</v>
      </c>
      <c r="W81" s="277">
        <f>DSUM($B$63:$Y$71,W$63,$B$78:$C81)</f>
        <v>1.318758379102777</v>
      </c>
      <c r="X81" s="277">
        <f>DSUM($B$63:$Y$71,X$63,$B$78:$C81)</f>
        <v>1.3336303430569174</v>
      </c>
      <c r="Y81" s="45">
        <f>DSUM($B$63:$Y$71,Y$63,$B$78:$C81)</f>
        <v>21.277365061421204</v>
      </c>
      <c r="AA81" s="24"/>
      <c r="AB81" s="24"/>
      <c r="AC81" s="24"/>
    </row>
    <row r="82" spans="1:29">
      <c r="A82" s="24" t="s">
        <v>646</v>
      </c>
      <c r="B82" s="276" t="s">
        <v>720</v>
      </c>
      <c r="C82" s="276" t="s">
        <v>721</v>
      </c>
      <c r="D82" s="276"/>
      <c r="E82" s="277">
        <f>DSUM($B$63:$Y$71,E$63,$B$78:$C82)</f>
        <v>0.35571548630254074</v>
      </c>
      <c r="F82" s="277">
        <f>DSUM($B$63:$Y$71,F$63,$B$78:$C82)</f>
        <v>0.54682532152525598</v>
      </c>
      <c r="G82" s="277">
        <f>DSUM($B$63:$Y$71,G$63,$B$78:$C82)</f>
        <v>0.63709165988040117</v>
      </c>
      <c r="H82" s="277">
        <f>DSUM($B$63:$Y$71,H$63,$B$78:$C82)</f>
        <v>0.76122455223049001</v>
      </c>
      <c r="I82" s="277">
        <f>DSUM($B$63:$Y$71,I$63,$B$78:$C82)</f>
        <v>0.73445094097606833</v>
      </c>
      <c r="J82" s="277">
        <f>DSUM($B$63:$Y$71,J$63,$B$78:$C82)</f>
        <v>0.7294247525453551</v>
      </c>
      <c r="K82" s="277">
        <f>DSUM($B$63:$Y$71,K$63,$B$78:$C82)</f>
        <v>0.84947025869471304</v>
      </c>
      <c r="L82" s="277">
        <f>DSUM($B$63:$Y$71,L$63,$B$78:$C82)</f>
        <v>0.88405505039230359</v>
      </c>
      <c r="M82" s="277">
        <f>DSUM($B$63:$Y$71,M$63,$B$78:$C82)</f>
        <v>0.98388943114942562</v>
      </c>
      <c r="N82" s="277">
        <f>DSUM($B$63:$Y$71,N$63,$B$78:$C82)</f>
        <v>1.07828409112174</v>
      </c>
      <c r="O82" s="277">
        <f>DSUM($B$63:$Y$71,O$63,$B$78:$C82)</f>
        <v>1.1691163767586661</v>
      </c>
      <c r="P82" s="277">
        <f>DSUM($B$63:$Y$71,P$63,$B$78:$C82)</f>
        <v>1.335860180297411</v>
      </c>
      <c r="Q82" s="277">
        <f>DSUM($B$63:$Y$71,Q$63,$B$78:$C82)</f>
        <v>1.460365300948044</v>
      </c>
      <c r="R82" s="277">
        <f>DSUM($B$63:$Y$71,R$63,$B$78:$C82)</f>
        <v>1.4065254628924899</v>
      </c>
      <c r="S82" s="277">
        <f>DSUM($B$63:$Y$71,S$63,$B$78:$C82)</f>
        <v>1.4863411504621453</v>
      </c>
      <c r="T82" s="277">
        <f>DSUM($B$63:$Y$71,T$63,$B$78:$C82)</f>
        <v>1.4436661071663466</v>
      </c>
      <c r="U82" s="277">
        <f>DSUM($B$63:$Y$71,U$63,$B$78:$C82)</f>
        <v>1.4164898052117194</v>
      </c>
      <c r="V82" s="277">
        <f>DSUM($B$63:$Y$71,V$63,$B$78:$C82)</f>
        <v>1.3461804107063973</v>
      </c>
      <c r="W82" s="277">
        <f>DSUM($B$63:$Y$71,W$63,$B$78:$C82)</f>
        <v>1.318758379102777</v>
      </c>
      <c r="X82" s="277">
        <f>DSUM($B$63:$Y$71,X$63,$B$78:$C82)</f>
        <v>1.3336303430569174</v>
      </c>
      <c r="Y82" s="45">
        <f>DSUM($B$63:$Y$71,Y$63,$B$78:$C82)</f>
        <v>21.277365061421204</v>
      </c>
      <c r="AA82" s="24"/>
      <c r="AB82" s="24"/>
      <c r="AC82" s="24"/>
    </row>
    <row r="83" spans="1:29">
      <c r="A83" s="24" t="s">
        <v>647</v>
      </c>
      <c r="B83" s="276" t="s">
        <v>722</v>
      </c>
      <c r="C83" s="276" t="s">
        <v>723</v>
      </c>
      <c r="D83" s="276"/>
      <c r="E83" s="277">
        <f>DSUM($B$63:$Y$71,E$63,$B$78:$C83)</f>
        <v>0.35571548630254074</v>
      </c>
      <c r="F83" s="277">
        <f>DSUM($B$63:$Y$71,F$63,$B$78:$C83)</f>
        <v>0.54682532152525598</v>
      </c>
      <c r="G83" s="277">
        <f>DSUM($B$63:$Y$71,G$63,$B$78:$C83)</f>
        <v>0.63709165988040117</v>
      </c>
      <c r="H83" s="277">
        <f>DSUM($B$63:$Y$71,H$63,$B$78:$C83)</f>
        <v>0.76122455223049001</v>
      </c>
      <c r="I83" s="277">
        <f>DSUM($B$63:$Y$71,I$63,$B$78:$C83)</f>
        <v>0.73445094097606833</v>
      </c>
      <c r="J83" s="277">
        <f>DSUM($B$63:$Y$71,J$63,$B$78:$C83)</f>
        <v>0.7294247525453551</v>
      </c>
      <c r="K83" s="277">
        <f>DSUM($B$63:$Y$71,K$63,$B$78:$C83)</f>
        <v>0.84947025869471304</v>
      </c>
      <c r="L83" s="277">
        <f>DSUM($B$63:$Y$71,L$63,$B$78:$C83)</f>
        <v>0.88405505039230359</v>
      </c>
      <c r="M83" s="277">
        <f>DSUM($B$63:$Y$71,M$63,$B$78:$C83)</f>
        <v>0.98388943114942562</v>
      </c>
      <c r="N83" s="277">
        <f>DSUM($B$63:$Y$71,N$63,$B$78:$C83)</f>
        <v>1.07828409112174</v>
      </c>
      <c r="O83" s="277">
        <f>DSUM($B$63:$Y$71,O$63,$B$78:$C83)</f>
        <v>1.1691163767586661</v>
      </c>
      <c r="P83" s="277">
        <f>DSUM($B$63:$Y$71,P$63,$B$78:$C83)</f>
        <v>1.335860180297411</v>
      </c>
      <c r="Q83" s="277">
        <f>DSUM($B$63:$Y$71,Q$63,$B$78:$C83)</f>
        <v>1.460365300948044</v>
      </c>
      <c r="R83" s="277">
        <f>DSUM($B$63:$Y$71,R$63,$B$78:$C83)</f>
        <v>1.4065254628924899</v>
      </c>
      <c r="S83" s="277">
        <f>DSUM($B$63:$Y$71,S$63,$B$78:$C83)</f>
        <v>1.4863411504621453</v>
      </c>
      <c r="T83" s="277">
        <f>DSUM($B$63:$Y$71,T$63,$B$78:$C83)</f>
        <v>1.4436661071663466</v>
      </c>
      <c r="U83" s="277">
        <f>DSUM($B$63:$Y$71,U$63,$B$78:$C83)</f>
        <v>1.4164898052117194</v>
      </c>
      <c r="V83" s="277">
        <f>DSUM($B$63:$Y$71,V$63,$B$78:$C83)</f>
        <v>1.3461804107063973</v>
      </c>
      <c r="W83" s="277">
        <f>DSUM($B$63:$Y$71,W$63,$B$78:$C83)</f>
        <v>1.318758379102777</v>
      </c>
      <c r="X83" s="277">
        <f>DSUM($B$63:$Y$71,X$63,$B$78:$C83)</f>
        <v>1.3336303430569174</v>
      </c>
      <c r="Y83" s="45">
        <f>DSUM($B$63:$Y$71,Y$63,$B$78:$C83)</f>
        <v>21.277365061421204</v>
      </c>
      <c r="AA83" s="24"/>
      <c r="AB83" s="24"/>
      <c r="AC83" s="24"/>
    </row>
    <row r="84" spans="1:29">
      <c r="A84" s="24" t="s">
        <v>648</v>
      </c>
      <c r="B84" s="276" t="s">
        <v>724</v>
      </c>
      <c r="C84" s="276" t="s">
        <v>725</v>
      </c>
      <c r="D84" s="276"/>
      <c r="E84" s="277">
        <f>DSUM($B$63:$Y$71,E$63,$B$78:$C84)</f>
        <v>0.35571548630254074</v>
      </c>
      <c r="F84" s="277">
        <f>DSUM($B$63:$Y$71,F$63,$B$78:$C84)</f>
        <v>0.54682532152525598</v>
      </c>
      <c r="G84" s="277">
        <f>DSUM($B$63:$Y$71,G$63,$B$78:$C84)</f>
        <v>0.63709165988040117</v>
      </c>
      <c r="H84" s="277">
        <f>DSUM($B$63:$Y$71,H$63,$B$78:$C84)</f>
        <v>0.76122455223049001</v>
      </c>
      <c r="I84" s="277">
        <f>DSUM($B$63:$Y$71,I$63,$B$78:$C84)</f>
        <v>0.73445094097606833</v>
      </c>
      <c r="J84" s="277">
        <f>DSUM($B$63:$Y$71,J$63,$B$78:$C84)</f>
        <v>0.7294247525453551</v>
      </c>
      <c r="K84" s="277">
        <f>DSUM($B$63:$Y$71,K$63,$B$78:$C84)</f>
        <v>0.84947025869471304</v>
      </c>
      <c r="L84" s="277">
        <f>DSUM($B$63:$Y$71,L$63,$B$78:$C84)</f>
        <v>0.88405505039230359</v>
      </c>
      <c r="M84" s="277">
        <f>DSUM($B$63:$Y$71,M$63,$B$78:$C84)</f>
        <v>0.98388943114942562</v>
      </c>
      <c r="N84" s="277">
        <f>DSUM($B$63:$Y$71,N$63,$B$78:$C84)</f>
        <v>1.07828409112174</v>
      </c>
      <c r="O84" s="277">
        <f>DSUM($B$63:$Y$71,O$63,$B$78:$C84)</f>
        <v>1.1691163767586661</v>
      </c>
      <c r="P84" s="277">
        <f>DSUM($B$63:$Y$71,P$63,$B$78:$C84)</f>
        <v>1.335860180297411</v>
      </c>
      <c r="Q84" s="277">
        <f>DSUM($B$63:$Y$71,Q$63,$B$78:$C84)</f>
        <v>1.460365300948044</v>
      </c>
      <c r="R84" s="277">
        <f>DSUM($B$63:$Y$71,R$63,$B$78:$C84)</f>
        <v>1.4065254628924899</v>
      </c>
      <c r="S84" s="277">
        <f>DSUM($B$63:$Y$71,S$63,$B$78:$C84)</f>
        <v>1.4863411504621453</v>
      </c>
      <c r="T84" s="277">
        <f>DSUM($B$63:$Y$71,T$63,$B$78:$C84)</f>
        <v>1.4436661071663466</v>
      </c>
      <c r="U84" s="277">
        <f>DSUM($B$63:$Y$71,U$63,$B$78:$C84)</f>
        <v>1.4164898052117194</v>
      </c>
      <c r="V84" s="277">
        <f>DSUM($B$63:$Y$71,V$63,$B$78:$C84)</f>
        <v>1.3461804107063973</v>
      </c>
      <c r="W84" s="277">
        <f>DSUM($B$63:$Y$71,W$63,$B$78:$C84)</f>
        <v>1.318758379102777</v>
      </c>
      <c r="X84" s="277">
        <f>DSUM($B$63:$Y$71,X$63,$B$78:$C84)</f>
        <v>1.3336303430569174</v>
      </c>
      <c r="Y84" s="45">
        <f>DSUM($B$63:$Y$71,Y$63,$B$78:$C84)</f>
        <v>21.277365061421204</v>
      </c>
      <c r="AA84" s="24"/>
      <c r="AB84" s="24"/>
      <c r="AC84" s="24"/>
    </row>
    <row r="85" spans="1:29">
      <c r="A85" s="24" t="s">
        <v>649</v>
      </c>
      <c r="B85" s="276" t="s">
        <v>726</v>
      </c>
      <c r="C85" s="276" t="s">
        <v>727</v>
      </c>
      <c r="D85" s="276"/>
      <c r="E85" s="277">
        <f>DSUM($B$63:$Y$71,E$63,$B$78:$C85)</f>
        <v>0.35571548630254074</v>
      </c>
      <c r="F85" s="277">
        <f>DSUM($B$63:$Y$71,F$63,$B$78:$C85)</f>
        <v>0.54682532152525598</v>
      </c>
      <c r="G85" s="277">
        <f>DSUM($B$63:$Y$71,G$63,$B$78:$C85)</f>
        <v>0.63709165988040117</v>
      </c>
      <c r="H85" s="277">
        <f>DSUM($B$63:$Y$71,H$63,$B$78:$C85)</f>
        <v>0.76122455223049001</v>
      </c>
      <c r="I85" s="277">
        <f>DSUM($B$63:$Y$71,I$63,$B$78:$C85)</f>
        <v>0.73445094097606833</v>
      </c>
      <c r="J85" s="277">
        <f>DSUM($B$63:$Y$71,J$63,$B$78:$C85)</f>
        <v>0.7294247525453551</v>
      </c>
      <c r="K85" s="277">
        <f>DSUM($B$63:$Y$71,K$63,$B$78:$C85)</f>
        <v>0.84947025869471304</v>
      </c>
      <c r="L85" s="277">
        <f>DSUM($B$63:$Y$71,L$63,$B$78:$C85)</f>
        <v>0.88405505039230359</v>
      </c>
      <c r="M85" s="277">
        <f>DSUM($B$63:$Y$71,M$63,$B$78:$C85)</f>
        <v>0.98388943114942562</v>
      </c>
      <c r="N85" s="277">
        <f>DSUM($B$63:$Y$71,N$63,$B$78:$C85)</f>
        <v>1.07828409112174</v>
      </c>
      <c r="O85" s="277">
        <f>DSUM($B$63:$Y$71,O$63,$B$78:$C85)</f>
        <v>1.1691163767586661</v>
      </c>
      <c r="P85" s="277">
        <f>DSUM($B$63:$Y$71,P$63,$B$78:$C85)</f>
        <v>1.335860180297411</v>
      </c>
      <c r="Q85" s="277">
        <f>DSUM($B$63:$Y$71,Q$63,$B$78:$C85)</f>
        <v>1.460365300948044</v>
      </c>
      <c r="R85" s="277">
        <f>DSUM($B$63:$Y$71,R$63,$B$78:$C85)</f>
        <v>1.4065254628924899</v>
      </c>
      <c r="S85" s="277">
        <f>DSUM($B$63:$Y$71,S$63,$B$78:$C85)</f>
        <v>1.4863411504621453</v>
      </c>
      <c r="T85" s="277">
        <f>DSUM($B$63:$Y$71,T$63,$B$78:$C85)</f>
        <v>1.4436661071663466</v>
      </c>
      <c r="U85" s="277">
        <f>DSUM($B$63:$Y$71,U$63,$B$78:$C85)</f>
        <v>1.4164898052117194</v>
      </c>
      <c r="V85" s="277">
        <f>DSUM($B$63:$Y$71,V$63,$B$78:$C85)</f>
        <v>1.3461804107063973</v>
      </c>
      <c r="W85" s="277">
        <f>DSUM($B$63:$Y$71,W$63,$B$78:$C85)</f>
        <v>1.318758379102777</v>
      </c>
      <c r="X85" s="277">
        <f>DSUM($B$63:$Y$71,X$63,$B$78:$C85)</f>
        <v>1.3336303430569174</v>
      </c>
      <c r="Y85" s="45">
        <f>DSUM($B$63:$Y$71,Y$63,$B$78:$C85)</f>
        <v>21.277365061421204</v>
      </c>
      <c r="AA85" s="24"/>
      <c r="AB85" s="24"/>
      <c r="AC85" s="24"/>
    </row>
    <row r="86" spans="1:29">
      <c r="A86" s="24" t="s">
        <v>650</v>
      </c>
      <c r="B86" s="276" t="s">
        <v>728</v>
      </c>
      <c r="C86" s="276" t="s">
        <v>729</v>
      </c>
      <c r="D86" s="276"/>
      <c r="E86" s="277">
        <f>DSUM($B$63:$Y$71,E$63,$B$78:$C86)</f>
        <v>0.35571548630254074</v>
      </c>
      <c r="F86" s="277">
        <f>DSUM($B$63:$Y$71,F$63,$B$78:$C86)</f>
        <v>0.54682532152525598</v>
      </c>
      <c r="G86" s="277">
        <f>DSUM($B$63:$Y$71,G$63,$B$78:$C86)</f>
        <v>0.63709165988040117</v>
      </c>
      <c r="H86" s="277">
        <f>DSUM($B$63:$Y$71,H$63,$B$78:$C86)</f>
        <v>0.76122455223049001</v>
      </c>
      <c r="I86" s="277">
        <f>DSUM($B$63:$Y$71,I$63,$B$78:$C86)</f>
        <v>0.73445094097606833</v>
      </c>
      <c r="J86" s="277">
        <f>DSUM($B$63:$Y$71,J$63,$B$78:$C86)</f>
        <v>0.7294247525453551</v>
      </c>
      <c r="K86" s="277">
        <f>DSUM($B$63:$Y$71,K$63,$B$78:$C86)</f>
        <v>0.84947025869471304</v>
      </c>
      <c r="L86" s="277">
        <f>DSUM($B$63:$Y$71,L$63,$B$78:$C86)</f>
        <v>0.88405505039230359</v>
      </c>
      <c r="M86" s="277">
        <f>DSUM($B$63:$Y$71,M$63,$B$78:$C86)</f>
        <v>0.98388943114942562</v>
      </c>
      <c r="N86" s="277">
        <f>DSUM($B$63:$Y$71,N$63,$B$78:$C86)</f>
        <v>1.07828409112174</v>
      </c>
      <c r="O86" s="277">
        <f>DSUM($B$63:$Y$71,O$63,$B$78:$C86)</f>
        <v>1.1691163767586661</v>
      </c>
      <c r="P86" s="277">
        <f>DSUM($B$63:$Y$71,P$63,$B$78:$C86)</f>
        <v>1.335860180297411</v>
      </c>
      <c r="Q86" s="277">
        <f>DSUM($B$63:$Y$71,Q$63,$B$78:$C86)</f>
        <v>1.460365300948044</v>
      </c>
      <c r="R86" s="277">
        <f>DSUM($B$63:$Y$71,R$63,$B$78:$C86)</f>
        <v>1.4065254628924899</v>
      </c>
      <c r="S86" s="277">
        <f>DSUM($B$63:$Y$71,S$63,$B$78:$C86)</f>
        <v>1.4863411504621453</v>
      </c>
      <c r="T86" s="277">
        <f>DSUM($B$63:$Y$71,T$63,$B$78:$C86)</f>
        <v>1.4436661071663466</v>
      </c>
      <c r="U86" s="277">
        <f>DSUM($B$63:$Y$71,U$63,$B$78:$C86)</f>
        <v>1.4164898052117194</v>
      </c>
      <c r="V86" s="277">
        <f>DSUM($B$63:$Y$71,V$63,$B$78:$C86)</f>
        <v>1.3461804107063973</v>
      </c>
      <c r="W86" s="277">
        <f>DSUM($B$63:$Y$71,W$63,$B$78:$C86)</f>
        <v>1.318758379102777</v>
      </c>
      <c r="X86" s="277">
        <f>DSUM($B$63:$Y$71,X$63,$B$78:$C86)</f>
        <v>1.3336303430569174</v>
      </c>
      <c r="Y86" s="45">
        <f>DSUM($B$63:$Y$71,Y$63,$B$78:$C86)</f>
        <v>21.277365061421204</v>
      </c>
      <c r="AA86" s="24"/>
      <c r="AB86" s="24"/>
      <c r="AC86" s="24"/>
    </row>
    <row r="87" spans="1:29">
      <c r="A87" s="24" t="s">
        <v>651</v>
      </c>
      <c r="B87" s="276" t="s">
        <v>730</v>
      </c>
      <c r="C87" s="276" t="s">
        <v>731</v>
      </c>
      <c r="D87" s="276"/>
      <c r="E87" s="277">
        <f>DSUM($B$63:$Y$71,E$63,$B$78:$C87)</f>
        <v>0.35571548630254074</v>
      </c>
      <c r="F87" s="277">
        <f>DSUM($B$63:$Y$71,F$63,$B$78:$C87)</f>
        <v>0.54682532152525598</v>
      </c>
      <c r="G87" s="277">
        <f>DSUM($B$63:$Y$71,G$63,$B$78:$C87)</f>
        <v>0.63709165988040117</v>
      </c>
      <c r="H87" s="277">
        <f>DSUM($B$63:$Y$71,H$63,$B$78:$C87)</f>
        <v>0.76122455223049001</v>
      </c>
      <c r="I87" s="277">
        <f>DSUM($B$63:$Y$71,I$63,$B$78:$C87)</f>
        <v>0.73445094097606833</v>
      </c>
      <c r="J87" s="277">
        <f>DSUM($B$63:$Y$71,J$63,$B$78:$C87)</f>
        <v>0.7294247525453551</v>
      </c>
      <c r="K87" s="277">
        <f>DSUM($B$63:$Y$71,K$63,$B$78:$C87)</f>
        <v>0.84947025869471304</v>
      </c>
      <c r="L87" s="277">
        <f>DSUM($B$63:$Y$71,L$63,$B$78:$C87)</f>
        <v>0.88405505039230359</v>
      </c>
      <c r="M87" s="277">
        <f>DSUM($B$63:$Y$71,M$63,$B$78:$C87)</f>
        <v>0.98388943114942562</v>
      </c>
      <c r="N87" s="277">
        <f>DSUM($B$63:$Y$71,N$63,$B$78:$C87)</f>
        <v>1.07828409112174</v>
      </c>
      <c r="O87" s="277">
        <f>DSUM($B$63:$Y$71,O$63,$B$78:$C87)</f>
        <v>1.1691163767586661</v>
      </c>
      <c r="P87" s="277">
        <f>DSUM($B$63:$Y$71,P$63,$B$78:$C87)</f>
        <v>1.335860180297411</v>
      </c>
      <c r="Q87" s="277">
        <f>DSUM($B$63:$Y$71,Q$63,$B$78:$C87)</f>
        <v>1.460365300948044</v>
      </c>
      <c r="R87" s="277">
        <f>DSUM($B$63:$Y$71,R$63,$B$78:$C87)</f>
        <v>1.4065254628924899</v>
      </c>
      <c r="S87" s="277">
        <f>DSUM($B$63:$Y$71,S$63,$B$78:$C87)</f>
        <v>1.4863411504621453</v>
      </c>
      <c r="T87" s="277">
        <f>DSUM($B$63:$Y$71,T$63,$B$78:$C87)</f>
        <v>1.4436661071663466</v>
      </c>
      <c r="U87" s="277">
        <f>DSUM($B$63:$Y$71,U$63,$B$78:$C87)</f>
        <v>1.4164898052117194</v>
      </c>
      <c r="V87" s="277">
        <f>DSUM($B$63:$Y$71,V$63,$B$78:$C87)</f>
        <v>1.3461804107063973</v>
      </c>
      <c r="W87" s="277">
        <f>DSUM($B$63:$Y$71,W$63,$B$78:$C87)</f>
        <v>1.318758379102777</v>
      </c>
      <c r="X87" s="277">
        <f>DSUM($B$63:$Y$71,X$63,$B$78:$C87)</f>
        <v>1.3336303430569174</v>
      </c>
      <c r="Y87" s="45">
        <f>DSUM($B$63:$Y$71,Y$63,$B$78:$C87)</f>
        <v>21.277365061421204</v>
      </c>
      <c r="AA87" s="24"/>
      <c r="AB87" s="24"/>
      <c r="AC87" s="24"/>
    </row>
    <row r="88" spans="1:29">
      <c r="A88" s="24" t="s">
        <v>652</v>
      </c>
      <c r="B88" s="276" t="s">
        <v>732</v>
      </c>
      <c r="C88" s="276" t="s">
        <v>733</v>
      </c>
      <c r="D88" s="276"/>
      <c r="E88" s="277">
        <f>DSUM($B$63:$Y$71,E$63,$B$78:$C88)</f>
        <v>0.35571548630254074</v>
      </c>
      <c r="F88" s="277">
        <f>DSUM($B$63:$Y$71,F$63,$B$78:$C88)</f>
        <v>0.54682532152525598</v>
      </c>
      <c r="G88" s="277">
        <f>DSUM($B$63:$Y$71,G$63,$B$78:$C88)</f>
        <v>0.63709165988040117</v>
      </c>
      <c r="H88" s="277">
        <f>DSUM($B$63:$Y$71,H$63,$B$78:$C88)</f>
        <v>0.76122455223049001</v>
      </c>
      <c r="I88" s="277">
        <f>DSUM($B$63:$Y$71,I$63,$B$78:$C88)</f>
        <v>0.73445094097606833</v>
      </c>
      <c r="J88" s="277">
        <f>DSUM($B$63:$Y$71,J$63,$B$78:$C88)</f>
        <v>0.7294247525453551</v>
      </c>
      <c r="K88" s="277">
        <f>DSUM($B$63:$Y$71,K$63,$B$78:$C88)</f>
        <v>0.84947025869471304</v>
      </c>
      <c r="L88" s="277">
        <f>DSUM($B$63:$Y$71,L$63,$B$78:$C88)</f>
        <v>0.88405505039230359</v>
      </c>
      <c r="M88" s="277">
        <f>DSUM($B$63:$Y$71,M$63,$B$78:$C88)</f>
        <v>0.98388943114942562</v>
      </c>
      <c r="N88" s="277">
        <f>DSUM($B$63:$Y$71,N$63,$B$78:$C88)</f>
        <v>1.07828409112174</v>
      </c>
      <c r="O88" s="277">
        <f>DSUM($B$63:$Y$71,O$63,$B$78:$C88)</f>
        <v>1.1691163767586661</v>
      </c>
      <c r="P88" s="277">
        <f>DSUM($B$63:$Y$71,P$63,$B$78:$C88)</f>
        <v>1.335860180297411</v>
      </c>
      <c r="Q88" s="277">
        <f>DSUM($B$63:$Y$71,Q$63,$B$78:$C88)</f>
        <v>1.460365300948044</v>
      </c>
      <c r="R88" s="277">
        <f>DSUM($B$63:$Y$71,R$63,$B$78:$C88)</f>
        <v>1.4065254628924899</v>
      </c>
      <c r="S88" s="277">
        <f>DSUM($B$63:$Y$71,S$63,$B$78:$C88)</f>
        <v>1.4863411504621453</v>
      </c>
      <c r="T88" s="277">
        <f>DSUM($B$63:$Y$71,T$63,$B$78:$C88)</f>
        <v>1.4436661071663466</v>
      </c>
      <c r="U88" s="277">
        <f>DSUM($B$63:$Y$71,U$63,$B$78:$C88)</f>
        <v>1.4164898052117194</v>
      </c>
      <c r="V88" s="277">
        <f>DSUM($B$63:$Y$71,V$63,$B$78:$C88)</f>
        <v>1.3461804107063973</v>
      </c>
      <c r="W88" s="277">
        <f>DSUM($B$63:$Y$71,W$63,$B$78:$C88)</f>
        <v>1.318758379102777</v>
      </c>
      <c r="X88" s="277">
        <f>DSUM($B$63:$Y$71,X$63,$B$78:$C88)</f>
        <v>1.3336303430569174</v>
      </c>
      <c r="Y88" s="45">
        <f>DSUM($B$63:$Y$71,Y$63,$B$78:$C88)</f>
        <v>21.277365061421204</v>
      </c>
      <c r="AA88" s="24"/>
      <c r="AB88" s="24"/>
      <c r="AC88" s="24"/>
    </row>
    <row r="89" spans="1:29">
      <c r="A89" s="24" t="s">
        <v>653</v>
      </c>
      <c r="B89" s="276" t="s">
        <v>734</v>
      </c>
      <c r="C89" s="276" t="s">
        <v>735</v>
      </c>
      <c r="D89" s="276"/>
      <c r="E89" s="277">
        <f>DSUM($B$63:$Y$71,E$63,$B$78:$C89)</f>
        <v>0.35571548630254074</v>
      </c>
      <c r="F89" s="277">
        <f>DSUM($B$63:$Y$71,F$63,$B$78:$C89)</f>
        <v>0.54682532152525598</v>
      </c>
      <c r="G89" s="277">
        <f>DSUM($B$63:$Y$71,G$63,$B$78:$C89)</f>
        <v>0.63709165988040117</v>
      </c>
      <c r="H89" s="277">
        <f>DSUM($B$63:$Y$71,H$63,$B$78:$C89)</f>
        <v>0.76122455223049001</v>
      </c>
      <c r="I89" s="277">
        <f>DSUM($B$63:$Y$71,I$63,$B$78:$C89)</f>
        <v>0.73445094097606833</v>
      </c>
      <c r="J89" s="277">
        <f>DSUM($B$63:$Y$71,J$63,$B$78:$C89)</f>
        <v>0.7294247525453551</v>
      </c>
      <c r="K89" s="277">
        <f>DSUM($B$63:$Y$71,K$63,$B$78:$C89)</f>
        <v>0.84947025869471304</v>
      </c>
      <c r="L89" s="277">
        <f>DSUM($B$63:$Y$71,L$63,$B$78:$C89)</f>
        <v>0.88405505039230359</v>
      </c>
      <c r="M89" s="277">
        <f>DSUM($B$63:$Y$71,M$63,$B$78:$C89)</f>
        <v>0.98388943114942562</v>
      </c>
      <c r="N89" s="277">
        <f>DSUM($B$63:$Y$71,N$63,$B$78:$C89)</f>
        <v>1.07828409112174</v>
      </c>
      <c r="O89" s="277">
        <f>DSUM($B$63:$Y$71,O$63,$B$78:$C89)</f>
        <v>1.1691163767586661</v>
      </c>
      <c r="P89" s="277">
        <f>DSUM($B$63:$Y$71,P$63,$B$78:$C89)</f>
        <v>1.335860180297411</v>
      </c>
      <c r="Q89" s="277">
        <f>DSUM($B$63:$Y$71,Q$63,$B$78:$C89)</f>
        <v>1.460365300948044</v>
      </c>
      <c r="R89" s="277">
        <f>DSUM($B$63:$Y$71,R$63,$B$78:$C89)</f>
        <v>1.4065254628924899</v>
      </c>
      <c r="S89" s="277">
        <f>DSUM($B$63:$Y$71,S$63,$B$78:$C89)</f>
        <v>1.4863411504621453</v>
      </c>
      <c r="T89" s="277">
        <f>DSUM($B$63:$Y$71,T$63,$B$78:$C89)</f>
        <v>1.4436661071663466</v>
      </c>
      <c r="U89" s="277">
        <f>DSUM($B$63:$Y$71,U$63,$B$78:$C89)</f>
        <v>1.4164898052117194</v>
      </c>
      <c r="V89" s="277">
        <f>DSUM($B$63:$Y$71,V$63,$B$78:$C89)</f>
        <v>1.3461804107063973</v>
      </c>
      <c r="W89" s="277">
        <f>DSUM($B$63:$Y$71,W$63,$B$78:$C89)</f>
        <v>1.318758379102777</v>
      </c>
      <c r="X89" s="277">
        <f>DSUM($B$63:$Y$71,X$63,$B$78:$C89)</f>
        <v>1.3336303430569174</v>
      </c>
      <c r="Y89" s="45">
        <f>DSUM($B$63:$Y$71,Y$63,$B$78:$C89)</f>
        <v>21.277365061421204</v>
      </c>
      <c r="AA89" s="24"/>
      <c r="AB89" s="24"/>
      <c r="AC89" s="24"/>
    </row>
    <row r="90" spans="1:29">
      <c r="A90" s="24" t="s">
        <v>654</v>
      </c>
      <c r="B90" s="276" t="s">
        <v>736</v>
      </c>
      <c r="C90" s="276" t="s">
        <v>737</v>
      </c>
      <c r="D90" s="276"/>
      <c r="E90" s="277">
        <f>DSUM($B$63:$Y$71,E$63,$B$78:$C90)</f>
        <v>0.35571548630254074</v>
      </c>
      <c r="F90" s="277">
        <f>DSUM($B$63:$Y$71,F$63,$B$78:$C90)</f>
        <v>0.54682532152525598</v>
      </c>
      <c r="G90" s="277">
        <f>DSUM($B$63:$Y$71,G$63,$B$78:$C90)</f>
        <v>0.63709165988040117</v>
      </c>
      <c r="H90" s="277">
        <f>DSUM($B$63:$Y$71,H$63,$B$78:$C90)</f>
        <v>0.76122455223049001</v>
      </c>
      <c r="I90" s="277">
        <f>DSUM($B$63:$Y$71,I$63,$B$78:$C90)</f>
        <v>0.73445094097606833</v>
      </c>
      <c r="J90" s="277">
        <f>DSUM($B$63:$Y$71,J$63,$B$78:$C90)</f>
        <v>0.7294247525453551</v>
      </c>
      <c r="K90" s="277">
        <f>DSUM($B$63:$Y$71,K$63,$B$78:$C90)</f>
        <v>0.84947025869471304</v>
      </c>
      <c r="L90" s="277">
        <f>DSUM($B$63:$Y$71,L$63,$B$78:$C90)</f>
        <v>0.88405505039230359</v>
      </c>
      <c r="M90" s="277">
        <f>DSUM($B$63:$Y$71,M$63,$B$78:$C90)</f>
        <v>0.98388943114942562</v>
      </c>
      <c r="N90" s="277">
        <f>DSUM($B$63:$Y$71,N$63,$B$78:$C90)</f>
        <v>1.07828409112174</v>
      </c>
      <c r="O90" s="277">
        <f>DSUM($B$63:$Y$71,O$63,$B$78:$C90)</f>
        <v>1.1691163767586661</v>
      </c>
      <c r="P90" s="277">
        <f>DSUM($B$63:$Y$71,P$63,$B$78:$C90)</f>
        <v>1.335860180297411</v>
      </c>
      <c r="Q90" s="277">
        <f>DSUM($B$63:$Y$71,Q$63,$B$78:$C90)</f>
        <v>1.460365300948044</v>
      </c>
      <c r="R90" s="277">
        <f>DSUM($B$63:$Y$71,R$63,$B$78:$C90)</f>
        <v>1.4065254628924899</v>
      </c>
      <c r="S90" s="277">
        <f>DSUM($B$63:$Y$71,S$63,$B$78:$C90)</f>
        <v>1.4863411504621453</v>
      </c>
      <c r="T90" s="277">
        <f>DSUM($B$63:$Y$71,T$63,$B$78:$C90)</f>
        <v>1.4436661071663466</v>
      </c>
      <c r="U90" s="277">
        <f>DSUM($B$63:$Y$71,U$63,$B$78:$C90)</f>
        <v>1.4164898052117194</v>
      </c>
      <c r="V90" s="277">
        <f>DSUM($B$63:$Y$71,V$63,$B$78:$C90)</f>
        <v>1.3461804107063973</v>
      </c>
      <c r="W90" s="277">
        <f>DSUM($B$63:$Y$71,W$63,$B$78:$C90)</f>
        <v>1.318758379102777</v>
      </c>
      <c r="X90" s="277">
        <f>DSUM($B$63:$Y$71,X$63,$B$78:$C90)</f>
        <v>1.3336303430569174</v>
      </c>
      <c r="Y90" s="45">
        <f>DSUM($B$63:$Y$71,Y$63,$B$78:$C90)</f>
        <v>21.277365061421204</v>
      </c>
      <c r="AA90" s="24"/>
      <c r="AB90" s="24"/>
      <c r="AC90" s="24"/>
    </row>
    <row r="91" spans="1:29">
      <c r="A91" s="24" t="s">
        <v>655</v>
      </c>
      <c r="B91" s="276" t="s">
        <v>738</v>
      </c>
      <c r="C91" s="276" t="s">
        <v>739</v>
      </c>
      <c r="D91" s="276"/>
      <c r="E91" s="277">
        <f>DSUM($B$63:$Y$71,E$63,$B$78:$C91)</f>
        <v>0.35571548630254074</v>
      </c>
      <c r="F91" s="277">
        <f>DSUM($B$63:$Y$71,F$63,$B$78:$C91)</f>
        <v>0.54682532152525598</v>
      </c>
      <c r="G91" s="277">
        <f>DSUM($B$63:$Y$71,G$63,$B$78:$C91)</f>
        <v>0.63709165988040117</v>
      </c>
      <c r="H91" s="277">
        <f>DSUM($B$63:$Y$71,H$63,$B$78:$C91)</f>
        <v>0.76122455223049001</v>
      </c>
      <c r="I91" s="277">
        <f>DSUM($B$63:$Y$71,I$63,$B$78:$C91)</f>
        <v>0.73445094097606833</v>
      </c>
      <c r="J91" s="277">
        <f>DSUM($B$63:$Y$71,J$63,$B$78:$C91)</f>
        <v>0.7294247525453551</v>
      </c>
      <c r="K91" s="277">
        <f>DSUM($B$63:$Y$71,K$63,$B$78:$C91)</f>
        <v>0.84947025869471304</v>
      </c>
      <c r="L91" s="277">
        <f>DSUM($B$63:$Y$71,L$63,$B$78:$C91)</f>
        <v>0.88405505039230359</v>
      </c>
      <c r="M91" s="277">
        <f>DSUM($B$63:$Y$71,M$63,$B$78:$C91)</f>
        <v>0.98388943114942562</v>
      </c>
      <c r="N91" s="277">
        <f>DSUM($B$63:$Y$71,N$63,$B$78:$C91)</f>
        <v>1.07828409112174</v>
      </c>
      <c r="O91" s="277">
        <f>DSUM($B$63:$Y$71,O$63,$B$78:$C91)</f>
        <v>1.1691163767586661</v>
      </c>
      <c r="P91" s="277">
        <f>DSUM($B$63:$Y$71,P$63,$B$78:$C91)</f>
        <v>1.335860180297411</v>
      </c>
      <c r="Q91" s="277">
        <f>DSUM($B$63:$Y$71,Q$63,$B$78:$C91)</f>
        <v>1.460365300948044</v>
      </c>
      <c r="R91" s="277">
        <f>DSUM($B$63:$Y$71,R$63,$B$78:$C91)</f>
        <v>1.4065254628924899</v>
      </c>
      <c r="S91" s="277">
        <f>DSUM($B$63:$Y$71,S$63,$B$78:$C91)</f>
        <v>1.4863411504621453</v>
      </c>
      <c r="T91" s="277">
        <f>DSUM($B$63:$Y$71,T$63,$B$78:$C91)</f>
        <v>1.4436661071663466</v>
      </c>
      <c r="U91" s="277">
        <f>DSUM($B$63:$Y$71,U$63,$B$78:$C91)</f>
        <v>1.4164898052117194</v>
      </c>
      <c r="V91" s="277">
        <f>DSUM($B$63:$Y$71,V$63,$B$78:$C91)</f>
        <v>1.3461804107063973</v>
      </c>
      <c r="W91" s="277">
        <f>DSUM($B$63:$Y$71,W$63,$B$78:$C91)</f>
        <v>1.318758379102777</v>
      </c>
      <c r="X91" s="277">
        <f>DSUM($B$63:$Y$71,X$63,$B$78:$C91)</f>
        <v>1.3336303430569174</v>
      </c>
      <c r="Y91" s="45">
        <f>DSUM($B$63:$Y$71,Y$63,$B$78:$C91)</f>
        <v>21.277365061421204</v>
      </c>
      <c r="AA91" s="24"/>
      <c r="AB91" s="24"/>
      <c r="AC91" s="24"/>
    </row>
    <row r="92" spans="1:29">
      <c r="A92" s="24" t="s">
        <v>656</v>
      </c>
      <c r="B92" s="276" t="s">
        <v>740</v>
      </c>
      <c r="C92" s="276" t="s">
        <v>741</v>
      </c>
      <c r="D92" s="276"/>
      <c r="E92" s="277">
        <f>DSUM($B$63:$Y$71,E$63,$B$78:$C92)</f>
        <v>0.35571548630254074</v>
      </c>
      <c r="F92" s="277">
        <f>DSUM($B$63:$Y$71,F$63,$B$78:$C92)</f>
        <v>0.54682532152525598</v>
      </c>
      <c r="G92" s="277">
        <f>DSUM($B$63:$Y$71,G$63,$B$78:$C92)</f>
        <v>0.63709165988040117</v>
      </c>
      <c r="H92" s="277">
        <f>DSUM($B$63:$Y$71,H$63,$B$78:$C92)</f>
        <v>0.76122455223049001</v>
      </c>
      <c r="I92" s="277">
        <f>DSUM($B$63:$Y$71,I$63,$B$78:$C92)</f>
        <v>0.73445094097606833</v>
      </c>
      <c r="J92" s="277">
        <f>DSUM($B$63:$Y$71,J$63,$B$78:$C92)</f>
        <v>0.7294247525453551</v>
      </c>
      <c r="K92" s="277">
        <f>DSUM($B$63:$Y$71,K$63,$B$78:$C92)</f>
        <v>0.84947025869471304</v>
      </c>
      <c r="L92" s="277">
        <f>DSUM($B$63:$Y$71,L$63,$B$78:$C92)</f>
        <v>0.88405505039230359</v>
      </c>
      <c r="M92" s="277">
        <f>DSUM($B$63:$Y$71,M$63,$B$78:$C92)</f>
        <v>0.98388943114942562</v>
      </c>
      <c r="N92" s="277">
        <f>DSUM($B$63:$Y$71,N$63,$B$78:$C92)</f>
        <v>1.07828409112174</v>
      </c>
      <c r="O92" s="277">
        <f>DSUM($B$63:$Y$71,O$63,$B$78:$C92)</f>
        <v>1.1691163767586661</v>
      </c>
      <c r="P92" s="277">
        <f>DSUM($B$63:$Y$71,P$63,$B$78:$C92)</f>
        <v>1.335860180297411</v>
      </c>
      <c r="Q92" s="277">
        <f>DSUM($B$63:$Y$71,Q$63,$B$78:$C92)</f>
        <v>1.460365300948044</v>
      </c>
      <c r="R92" s="277">
        <f>DSUM($B$63:$Y$71,R$63,$B$78:$C92)</f>
        <v>1.4065254628924899</v>
      </c>
      <c r="S92" s="277">
        <f>DSUM($B$63:$Y$71,S$63,$B$78:$C92)</f>
        <v>1.4863411504621453</v>
      </c>
      <c r="T92" s="277">
        <f>DSUM($B$63:$Y$71,T$63,$B$78:$C92)</f>
        <v>1.4436661071663466</v>
      </c>
      <c r="U92" s="277">
        <f>DSUM($B$63:$Y$71,U$63,$B$78:$C92)</f>
        <v>1.4164898052117194</v>
      </c>
      <c r="V92" s="277">
        <f>DSUM($B$63:$Y$71,V$63,$B$78:$C92)</f>
        <v>1.3461804107063973</v>
      </c>
      <c r="W92" s="277">
        <f>DSUM($B$63:$Y$71,W$63,$B$78:$C92)</f>
        <v>1.318758379102777</v>
      </c>
      <c r="X92" s="277">
        <f>DSUM($B$63:$Y$71,X$63,$B$78:$C92)</f>
        <v>1.3336303430569174</v>
      </c>
      <c r="Y92" s="45">
        <f>DSUM($B$63:$Y$71,Y$63,$B$78:$C92)</f>
        <v>21.277365061421204</v>
      </c>
      <c r="AA92" s="24"/>
      <c r="AB92" s="24"/>
      <c r="AC92" s="24"/>
    </row>
    <row r="93" spans="1:29">
      <c r="A93" s="24" t="s">
        <v>657</v>
      </c>
      <c r="B93" s="276" t="s">
        <v>742</v>
      </c>
      <c r="C93" s="276" t="s">
        <v>743</v>
      </c>
      <c r="D93" s="276"/>
      <c r="E93" s="277">
        <f>DSUM($B$63:$Y$71,E$63,$B$78:$C93)</f>
        <v>0.35571548630254074</v>
      </c>
      <c r="F93" s="277">
        <f>DSUM($B$63:$Y$71,F$63,$B$78:$C93)</f>
        <v>0.54682532152525598</v>
      </c>
      <c r="G93" s="277">
        <f>DSUM($B$63:$Y$71,G$63,$B$78:$C93)</f>
        <v>0.63709165988040117</v>
      </c>
      <c r="H93" s="277">
        <f>DSUM($B$63:$Y$71,H$63,$B$78:$C93)</f>
        <v>0.76122455223049001</v>
      </c>
      <c r="I93" s="277">
        <f>DSUM($B$63:$Y$71,I$63,$B$78:$C93)</f>
        <v>0.73445094097606833</v>
      </c>
      <c r="J93" s="277">
        <f>DSUM($B$63:$Y$71,J$63,$B$78:$C93)</f>
        <v>0.7294247525453551</v>
      </c>
      <c r="K93" s="277">
        <f>DSUM($B$63:$Y$71,K$63,$B$78:$C93)</f>
        <v>0.84947025869471304</v>
      </c>
      <c r="L93" s="277">
        <f>DSUM($B$63:$Y$71,L$63,$B$78:$C93)</f>
        <v>0.88405505039230359</v>
      </c>
      <c r="M93" s="277">
        <f>DSUM($B$63:$Y$71,M$63,$B$78:$C93)</f>
        <v>0.98388943114942562</v>
      </c>
      <c r="N93" s="277">
        <f>DSUM($B$63:$Y$71,N$63,$B$78:$C93)</f>
        <v>1.07828409112174</v>
      </c>
      <c r="O93" s="277">
        <f>DSUM($B$63:$Y$71,O$63,$B$78:$C93)</f>
        <v>1.1691163767586661</v>
      </c>
      <c r="P93" s="277">
        <f>DSUM($B$63:$Y$71,P$63,$B$78:$C93)</f>
        <v>1.335860180297411</v>
      </c>
      <c r="Q93" s="277">
        <f>DSUM($B$63:$Y$71,Q$63,$B$78:$C93)</f>
        <v>1.460365300948044</v>
      </c>
      <c r="R93" s="277">
        <f>DSUM($B$63:$Y$71,R$63,$B$78:$C93)</f>
        <v>1.4065254628924899</v>
      </c>
      <c r="S93" s="277">
        <f>DSUM($B$63:$Y$71,S$63,$B$78:$C93)</f>
        <v>1.4863411504621453</v>
      </c>
      <c r="T93" s="277">
        <f>DSUM($B$63:$Y$71,T$63,$B$78:$C93)</f>
        <v>1.4436661071663466</v>
      </c>
      <c r="U93" s="277">
        <f>DSUM($B$63:$Y$71,U$63,$B$78:$C93)</f>
        <v>1.4164898052117194</v>
      </c>
      <c r="V93" s="277">
        <f>DSUM($B$63:$Y$71,V$63,$B$78:$C93)</f>
        <v>1.3461804107063973</v>
      </c>
      <c r="W93" s="277">
        <f>DSUM($B$63:$Y$71,W$63,$B$78:$C93)</f>
        <v>1.318758379102777</v>
      </c>
      <c r="X93" s="277">
        <f>DSUM($B$63:$Y$71,X$63,$B$78:$C93)</f>
        <v>1.3336303430569174</v>
      </c>
      <c r="Y93" s="45">
        <f>DSUM($B$63:$Y$71,Y$63,$B$78:$C93)</f>
        <v>21.277365061421204</v>
      </c>
      <c r="AA93" s="24"/>
      <c r="AB93" s="24"/>
      <c r="AC93" s="24"/>
    </row>
    <row r="94" spans="1:29">
      <c r="A94" s="24" t="s">
        <v>658</v>
      </c>
      <c r="B94" s="276" t="s">
        <v>744</v>
      </c>
      <c r="C94" s="276" t="s">
        <v>745</v>
      </c>
      <c r="D94" s="276"/>
      <c r="E94" s="277">
        <f>DSUM($B$63:$Y$71,E$63,$B$78:$C94)</f>
        <v>0.35571548630254074</v>
      </c>
      <c r="F94" s="277">
        <f>DSUM($B$63:$Y$71,F$63,$B$78:$C94)</f>
        <v>0.54682532152525598</v>
      </c>
      <c r="G94" s="277">
        <f>DSUM($B$63:$Y$71,G$63,$B$78:$C94)</f>
        <v>0.63709165988040117</v>
      </c>
      <c r="H94" s="277">
        <f>DSUM($B$63:$Y$71,H$63,$B$78:$C94)</f>
        <v>0.76122455223049001</v>
      </c>
      <c r="I94" s="277">
        <f>DSUM($B$63:$Y$71,I$63,$B$78:$C94)</f>
        <v>0.73445094097606833</v>
      </c>
      <c r="J94" s="277">
        <f>DSUM($B$63:$Y$71,J$63,$B$78:$C94)</f>
        <v>0.7294247525453551</v>
      </c>
      <c r="K94" s="277">
        <f>DSUM($B$63:$Y$71,K$63,$B$78:$C94)</f>
        <v>0.84947025869471304</v>
      </c>
      <c r="L94" s="277">
        <f>DSUM($B$63:$Y$71,L$63,$B$78:$C94)</f>
        <v>0.88405505039230359</v>
      </c>
      <c r="M94" s="277">
        <f>DSUM($B$63:$Y$71,M$63,$B$78:$C94)</f>
        <v>0.98388943114942562</v>
      </c>
      <c r="N94" s="277">
        <f>DSUM($B$63:$Y$71,N$63,$B$78:$C94)</f>
        <v>1.07828409112174</v>
      </c>
      <c r="O94" s="277">
        <f>DSUM($B$63:$Y$71,O$63,$B$78:$C94)</f>
        <v>1.1691163767586661</v>
      </c>
      <c r="P94" s="277">
        <f>DSUM($B$63:$Y$71,P$63,$B$78:$C94)</f>
        <v>1.335860180297411</v>
      </c>
      <c r="Q94" s="277">
        <f>DSUM($B$63:$Y$71,Q$63,$B$78:$C94)</f>
        <v>1.460365300948044</v>
      </c>
      <c r="R94" s="277">
        <f>DSUM($B$63:$Y$71,R$63,$B$78:$C94)</f>
        <v>1.4065254628924899</v>
      </c>
      <c r="S94" s="277">
        <f>DSUM($B$63:$Y$71,S$63,$B$78:$C94)</f>
        <v>1.4863411504621453</v>
      </c>
      <c r="T94" s="277">
        <f>DSUM($B$63:$Y$71,T$63,$B$78:$C94)</f>
        <v>1.4436661071663466</v>
      </c>
      <c r="U94" s="277">
        <f>DSUM($B$63:$Y$71,U$63,$B$78:$C94)</f>
        <v>1.4164898052117194</v>
      </c>
      <c r="V94" s="277">
        <f>DSUM($B$63:$Y$71,V$63,$B$78:$C94)</f>
        <v>1.3461804107063973</v>
      </c>
      <c r="W94" s="277">
        <f>DSUM($B$63:$Y$71,W$63,$B$78:$C94)</f>
        <v>1.318758379102777</v>
      </c>
      <c r="X94" s="277">
        <f>DSUM($B$63:$Y$71,X$63,$B$78:$C94)</f>
        <v>1.3336303430569174</v>
      </c>
      <c r="Y94" s="45">
        <f>DSUM($B$63:$Y$71,Y$63,$B$78:$C94)</f>
        <v>21.277365061421204</v>
      </c>
      <c r="AA94" s="24"/>
      <c r="AB94" s="24"/>
      <c r="AC94" s="24"/>
    </row>
    <row r="95" spans="1:29">
      <c r="A95" s="24" t="s">
        <v>659</v>
      </c>
      <c r="B95" s="276" t="s">
        <v>746</v>
      </c>
      <c r="C95" s="276" t="s">
        <v>747</v>
      </c>
      <c r="D95" s="276"/>
      <c r="E95" s="277">
        <f>DSUM($B$63:$Y$71,E$63,$B$78:$C95)</f>
        <v>0.35571548630254074</v>
      </c>
      <c r="F95" s="277">
        <f>DSUM($B$63:$Y$71,F$63,$B$78:$C95)</f>
        <v>0.54682532152525598</v>
      </c>
      <c r="G95" s="277">
        <f>DSUM($B$63:$Y$71,G$63,$B$78:$C95)</f>
        <v>0.63709165988040117</v>
      </c>
      <c r="H95" s="277">
        <f>DSUM($B$63:$Y$71,H$63,$B$78:$C95)</f>
        <v>0.76122455223049001</v>
      </c>
      <c r="I95" s="277">
        <f>DSUM($B$63:$Y$71,I$63,$B$78:$C95)</f>
        <v>0.73445094097606833</v>
      </c>
      <c r="J95" s="277">
        <f>DSUM($B$63:$Y$71,J$63,$B$78:$C95)</f>
        <v>0.7294247525453551</v>
      </c>
      <c r="K95" s="277">
        <f>DSUM($B$63:$Y$71,K$63,$B$78:$C95)</f>
        <v>0.84947025869471304</v>
      </c>
      <c r="L95" s="277">
        <f>DSUM($B$63:$Y$71,L$63,$B$78:$C95)</f>
        <v>0.88405505039230359</v>
      </c>
      <c r="M95" s="277">
        <f>DSUM($B$63:$Y$71,M$63,$B$78:$C95)</f>
        <v>0.98388943114942562</v>
      </c>
      <c r="N95" s="277">
        <f>DSUM($B$63:$Y$71,N$63,$B$78:$C95)</f>
        <v>1.07828409112174</v>
      </c>
      <c r="O95" s="277">
        <f>DSUM($B$63:$Y$71,O$63,$B$78:$C95)</f>
        <v>1.1691163767586661</v>
      </c>
      <c r="P95" s="277">
        <f>DSUM($B$63:$Y$71,P$63,$B$78:$C95)</f>
        <v>1.335860180297411</v>
      </c>
      <c r="Q95" s="277">
        <f>DSUM($B$63:$Y$71,Q$63,$B$78:$C95)</f>
        <v>1.460365300948044</v>
      </c>
      <c r="R95" s="277">
        <f>DSUM($B$63:$Y$71,R$63,$B$78:$C95)</f>
        <v>1.4065254628924899</v>
      </c>
      <c r="S95" s="277">
        <f>DSUM($B$63:$Y$71,S$63,$B$78:$C95)</f>
        <v>1.4863411504621453</v>
      </c>
      <c r="T95" s="277">
        <f>DSUM($B$63:$Y$71,T$63,$B$78:$C95)</f>
        <v>1.4436661071663466</v>
      </c>
      <c r="U95" s="277">
        <f>DSUM($B$63:$Y$71,U$63,$B$78:$C95)</f>
        <v>1.4164898052117194</v>
      </c>
      <c r="V95" s="277">
        <f>DSUM($B$63:$Y$71,V$63,$B$78:$C95)</f>
        <v>1.3461804107063973</v>
      </c>
      <c r="W95" s="277">
        <f>DSUM($B$63:$Y$71,W$63,$B$78:$C95)</f>
        <v>1.318758379102777</v>
      </c>
      <c r="X95" s="277">
        <f>DSUM($B$63:$Y$71,X$63,$B$78:$C95)</f>
        <v>1.3336303430569174</v>
      </c>
      <c r="Y95" s="45">
        <f>DSUM($B$63:$Y$71,Y$63,$B$78:$C95)</f>
        <v>21.277365061421204</v>
      </c>
      <c r="AA95" s="24"/>
      <c r="AB95" s="24"/>
      <c r="AC95" s="24"/>
    </row>
    <row r="96" spans="1:29">
      <c r="A96" s="24" t="s">
        <v>660</v>
      </c>
      <c r="B96" s="276" t="s">
        <v>748</v>
      </c>
      <c r="C96" s="276" t="s">
        <v>749</v>
      </c>
      <c r="D96" s="276"/>
      <c r="E96" s="277">
        <f>DSUM($B$63:$Y$71,E$63,$B$78:$C96)</f>
        <v>0.35571548630254074</v>
      </c>
      <c r="F96" s="277">
        <f>DSUM($B$63:$Y$71,F$63,$B$78:$C96)</f>
        <v>0.54682532152525598</v>
      </c>
      <c r="G96" s="277">
        <f>DSUM($B$63:$Y$71,G$63,$B$78:$C96)</f>
        <v>0.63709165988040117</v>
      </c>
      <c r="H96" s="277">
        <f>DSUM($B$63:$Y$71,H$63,$B$78:$C96)</f>
        <v>0.76122455223049001</v>
      </c>
      <c r="I96" s="277">
        <f>DSUM($B$63:$Y$71,I$63,$B$78:$C96)</f>
        <v>0.73445094097606833</v>
      </c>
      <c r="J96" s="277">
        <f>DSUM($B$63:$Y$71,J$63,$B$78:$C96)</f>
        <v>0.7294247525453551</v>
      </c>
      <c r="K96" s="277">
        <f>DSUM($B$63:$Y$71,K$63,$B$78:$C96)</f>
        <v>0.84947025869471304</v>
      </c>
      <c r="L96" s="277">
        <f>DSUM($B$63:$Y$71,L$63,$B$78:$C96)</f>
        <v>0.88405505039230359</v>
      </c>
      <c r="M96" s="277">
        <f>DSUM($B$63:$Y$71,M$63,$B$78:$C96)</f>
        <v>0.98388943114942562</v>
      </c>
      <c r="N96" s="277">
        <f>DSUM($B$63:$Y$71,N$63,$B$78:$C96)</f>
        <v>1.07828409112174</v>
      </c>
      <c r="O96" s="277">
        <f>DSUM($B$63:$Y$71,O$63,$B$78:$C96)</f>
        <v>1.1691163767586661</v>
      </c>
      <c r="P96" s="277">
        <f>DSUM($B$63:$Y$71,P$63,$B$78:$C96)</f>
        <v>1.335860180297411</v>
      </c>
      <c r="Q96" s="277">
        <f>DSUM($B$63:$Y$71,Q$63,$B$78:$C96)</f>
        <v>1.460365300948044</v>
      </c>
      <c r="R96" s="277">
        <f>DSUM($B$63:$Y$71,R$63,$B$78:$C96)</f>
        <v>1.4065254628924899</v>
      </c>
      <c r="S96" s="277">
        <f>DSUM($B$63:$Y$71,S$63,$B$78:$C96)</f>
        <v>1.4863411504621453</v>
      </c>
      <c r="T96" s="277">
        <f>DSUM($B$63:$Y$71,T$63,$B$78:$C96)</f>
        <v>1.4436661071663466</v>
      </c>
      <c r="U96" s="277">
        <f>DSUM($B$63:$Y$71,U$63,$B$78:$C96)</f>
        <v>1.4164898052117194</v>
      </c>
      <c r="V96" s="277">
        <f>DSUM($B$63:$Y$71,V$63,$B$78:$C96)</f>
        <v>1.3461804107063973</v>
      </c>
      <c r="W96" s="277">
        <f>DSUM($B$63:$Y$71,W$63,$B$78:$C96)</f>
        <v>1.318758379102777</v>
      </c>
      <c r="X96" s="277">
        <f>DSUM($B$63:$Y$71,X$63,$B$78:$C96)</f>
        <v>1.3336303430569174</v>
      </c>
      <c r="Y96" s="45">
        <f>DSUM($B$63:$Y$71,Y$63,$B$78:$C96)</f>
        <v>21.277365061421204</v>
      </c>
      <c r="AA96" s="24"/>
      <c r="AB96" s="24"/>
      <c r="AC96" s="24"/>
    </row>
    <row r="97" spans="1:29">
      <c r="A97" s="24" t="s">
        <v>661</v>
      </c>
      <c r="B97" s="276" t="s">
        <v>750</v>
      </c>
      <c r="C97" s="276" t="s">
        <v>751</v>
      </c>
      <c r="D97" s="276"/>
      <c r="E97" s="277">
        <f>DSUM($B$63:$Y$71,E$63,$B$78:$C97)</f>
        <v>0.35571548630254074</v>
      </c>
      <c r="F97" s="277">
        <f>DSUM($B$63:$Y$71,F$63,$B$78:$C97)</f>
        <v>0.54682532152525598</v>
      </c>
      <c r="G97" s="277">
        <f>DSUM($B$63:$Y$71,G$63,$B$78:$C97)</f>
        <v>0.63709165988040117</v>
      </c>
      <c r="H97" s="277">
        <f>DSUM($B$63:$Y$71,H$63,$B$78:$C97)</f>
        <v>0.76122455223049001</v>
      </c>
      <c r="I97" s="277">
        <f>DSUM($B$63:$Y$71,I$63,$B$78:$C97)</f>
        <v>0.73445094097606833</v>
      </c>
      <c r="J97" s="277">
        <f>DSUM($B$63:$Y$71,J$63,$B$78:$C97)</f>
        <v>0.7294247525453551</v>
      </c>
      <c r="K97" s="277">
        <f>DSUM($B$63:$Y$71,K$63,$B$78:$C97)</f>
        <v>0.84947025869471304</v>
      </c>
      <c r="L97" s="277">
        <f>DSUM($B$63:$Y$71,L$63,$B$78:$C97)</f>
        <v>0.88405505039230359</v>
      </c>
      <c r="M97" s="277">
        <f>DSUM($B$63:$Y$71,M$63,$B$78:$C97)</f>
        <v>0.98388943114942562</v>
      </c>
      <c r="N97" s="277">
        <f>DSUM($B$63:$Y$71,N$63,$B$78:$C97)</f>
        <v>1.07828409112174</v>
      </c>
      <c r="O97" s="277">
        <f>DSUM($B$63:$Y$71,O$63,$B$78:$C97)</f>
        <v>1.1691163767586661</v>
      </c>
      <c r="P97" s="277">
        <f>DSUM($B$63:$Y$71,P$63,$B$78:$C97)</f>
        <v>1.335860180297411</v>
      </c>
      <c r="Q97" s="277">
        <f>DSUM($B$63:$Y$71,Q$63,$B$78:$C97)</f>
        <v>1.460365300948044</v>
      </c>
      <c r="R97" s="277">
        <f>DSUM($B$63:$Y$71,R$63,$B$78:$C97)</f>
        <v>1.4065254628924899</v>
      </c>
      <c r="S97" s="277">
        <f>DSUM($B$63:$Y$71,S$63,$B$78:$C97)</f>
        <v>1.4863411504621453</v>
      </c>
      <c r="T97" s="277">
        <f>DSUM($B$63:$Y$71,T$63,$B$78:$C97)</f>
        <v>1.4436661071663466</v>
      </c>
      <c r="U97" s="277">
        <f>DSUM($B$63:$Y$71,U$63,$B$78:$C97)</f>
        <v>1.4164898052117194</v>
      </c>
      <c r="V97" s="277">
        <f>DSUM($B$63:$Y$71,V$63,$B$78:$C97)</f>
        <v>1.3461804107063973</v>
      </c>
      <c r="W97" s="277">
        <f>DSUM($B$63:$Y$71,W$63,$B$78:$C97)</f>
        <v>1.318758379102777</v>
      </c>
      <c r="X97" s="277">
        <f>DSUM($B$63:$Y$71,X$63,$B$78:$C97)</f>
        <v>1.3336303430569174</v>
      </c>
      <c r="Y97" s="45">
        <f>DSUM($B$63:$Y$71,Y$63,$B$78:$C97)</f>
        <v>21.277365061421204</v>
      </c>
      <c r="AA97" s="24"/>
      <c r="AB97" s="24"/>
      <c r="AC97" s="24"/>
    </row>
    <row r="98" spans="1:29">
      <c r="A98" s="24" t="s">
        <v>662</v>
      </c>
      <c r="B98" s="276" t="s">
        <v>752</v>
      </c>
      <c r="C98" s="276" t="s">
        <v>753</v>
      </c>
      <c r="D98" s="276"/>
      <c r="E98" s="277">
        <f>DSUM($B$63:$Y$71,E$63,$B$78:$C98)</f>
        <v>0.35571548630254074</v>
      </c>
      <c r="F98" s="277">
        <f>DSUM($B$63:$Y$71,F$63,$B$78:$C98)</f>
        <v>0.54682532152525598</v>
      </c>
      <c r="G98" s="277">
        <f>DSUM($B$63:$Y$71,G$63,$B$78:$C98)</f>
        <v>0.63709165988040117</v>
      </c>
      <c r="H98" s="277">
        <f>DSUM($B$63:$Y$71,H$63,$B$78:$C98)</f>
        <v>0.76122455223049001</v>
      </c>
      <c r="I98" s="277">
        <f>DSUM($B$63:$Y$71,I$63,$B$78:$C98)</f>
        <v>0.73445094097606833</v>
      </c>
      <c r="J98" s="277">
        <f>DSUM($B$63:$Y$71,J$63,$B$78:$C98)</f>
        <v>0.7294247525453551</v>
      </c>
      <c r="K98" s="277">
        <f>DSUM($B$63:$Y$71,K$63,$B$78:$C98)</f>
        <v>0.84947025869471304</v>
      </c>
      <c r="L98" s="277">
        <f>DSUM($B$63:$Y$71,L$63,$B$78:$C98)</f>
        <v>0.88405505039230359</v>
      </c>
      <c r="M98" s="277">
        <f>DSUM($B$63:$Y$71,M$63,$B$78:$C98)</f>
        <v>0.98388943114942562</v>
      </c>
      <c r="N98" s="277">
        <f>DSUM($B$63:$Y$71,N$63,$B$78:$C98)</f>
        <v>1.07828409112174</v>
      </c>
      <c r="O98" s="277">
        <f>DSUM($B$63:$Y$71,O$63,$B$78:$C98)</f>
        <v>1.1691163767586661</v>
      </c>
      <c r="P98" s="277">
        <f>DSUM($B$63:$Y$71,P$63,$B$78:$C98)</f>
        <v>1.335860180297411</v>
      </c>
      <c r="Q98" s="277">
        <f>DSUM($B$63:$Y$71,Q$63,$B$78:$C98)</f>
        <v>1.460365300948044</v>
      </c>
      <c r="R98" s="277">
        <f>DSUM($B$63:$Y$71,R$63,$B$78:$C98)</f>
        <v>1.4065254628924899</v>
      </c>
      <c r="S98" s="277">
        <f>DSUM($B$63:$Y$71,S$63,$B$78:$C98)</f>
        <v>1.4863411504621453</v>
      </c>
      <c r="T98" s="277">
        <f>DSUM($B$63:$Y$71,T$63,$B$78:$C98)</f>
        <v>1.4436661071663466</v>
      </c>
      <c r="U98" s="277">
        <f>DSUM($B$63:$Y$71,U$63,$B$78:$C98)</f>
        <v>1.4164898052117194</v>
      </c>
      <c r="V98" s="277">
        <f>DSUM($B$63:$Y$71,V$63,$B$78:$C98)</f>
        <v>1.3461804107063973</v>
      </c>
      <c r="W98" s="277">
        <f>DSUM($B$63:$Y$71,W$63,$B$78:$C98)</f>
        <v>1.318758379102777</v>
      </c>
      <c r="X98" s="277">
        <f>DSUM($B$63:$Y$71,X$63,$B$78:$C98)</f>
        <v>1.3336303430569174</v>
      </c>
      <c r="Y98" s="45">
        <f>DSUM($B$63:$Y$71,Y$63,$B$78:$C98)</f>
        <v>21.277365061421204</v>
      </c>
      <c r="AA98" s="24"/>
      <c r="AB98" s="24"/>
      <c r="AC98" s="24"/>
    </row>
    <row r="99" spans="1:29">
      <c r="A99" s="24" t="s">
        <v>663</v>
      </c>
      <c r="B99" s="276" t="s">
        <v>754</v>
      </c>
      <c r="C99" s="276" t="s">
        <v>755</v>
      </c>
      <c r="D99" s="276"/>
      <c r="E99" s="277">
        <f>DSUM($B$63:$Y$71,E$63,$B$78:$C99)</f>
        <v>0.35571548630254074</v>
      </c>
      <c r="F99" s="277">
        <f>DSUM($B$63:$Y$71,F$63,$B$78:$C99)</f>
        <v>0.54682532152525598</v>
      </c>
      <c r="G99" s="277">
        <f>DSUM($B$63:$Y$71,G$63,$B$78:$C99)</f>
        <v>0.63709165988040117</v>
      </c>
      <c r="H99" s="277">
        <f>DSUM($B$63:$Y$71,H$63,$B$78:$C99)</f>
        <v>0.76122455223049001</v>
      </c>
      <c r="I99" s="277">
        <f>DSUM($B$63:$Y$71,I$63,$B$78:$C99)</f>
        <v>0.73445094097606833</v>
      </c>
      <c r="J99" s="277">
        <f>DSUM($B$63:$Y$71,J$63,$B$78:$C99)</f>
        <v>0.7294247525453551</v>
      </c>
      <c r="K99" s="277">
        <f>DSUM($B$63:$Y$71,K$63,$B$78:$C99)</f>
        <v>0.84947025869471304</v>
      </c>
      <c r="L99" s="277">
        <f>DSUM($B$63:$Y$71,L$63,$B$78:$C99)</f>
        <v>0.88405505039230359</v>
      </c>
      <c r="M99" s="277">
        <f>DSUM($B$63:$Y$71,M$63,$B$78:$C99)</f>
        <v>0.98388943114942562</v>
      </c>
      <c r="N99" s="277">
        <f>DSUM($B$63:$Y$71,N$63,$B$78:$C99)</f>
        <v>1.07828409112174</v>
      </c>
      <c r="O99" s="277">
        <f>DSUM($B$63:$Y$71,O$63,$B$78:$C99)</f>
        <v>1.1691163767586661</v>
      </c>
      <c r="P99" s="277">
        <f>DSUM($B$63:$Y$71,P$63,$B$78:$C99)</f>
        <v>1.335860180297411</v>
      </c>
      <c r="Q99" s="277">
        <f>DSUM($B$63:$Y$71,Q$63,$B$78:$C99)</f>
        <v>1.460365300948044</v>
      </c>
      <c r="R99" s="277">
        <f>DSUM($B$63:$Y$71,R$63,$B$78:$C99)</f>
        <v>1.4065254628924899</v>
      </c>
      <c r="S99" s="277">
        <f>DSUM($B$63:$Y$71,S$63,$B$78:$C99)</f>
        <v>1.4863411504621453</v>
      </c>
      <c r="T99" s="277">
        <f>DSUM($B$63:$Y$71,T$63,$B$78:$C99)</f>
        <v>1.4436661071663466</v>
      </c>
      <c r="U99" s="277">
        <f>DSUM($B$63:$Y$71,U$63,$B$78:$C99)</f>
        <v>1.4164898052117194</v>
      </c>
      <c r="V99" s="277">
        <f>DSUM($B$63:$Y$71,V$63,$B$78:$C99)</f>
        <v>1.3461804107063973</v>
      </c>
      <c r="W99" s="277">
        <f>DSUM($B$63:$Y$71,W$63,$B$78:$C99)</f>
        <v>1.318758379102777</v>
      </c>
      <c r="X99" s="277">
        <f>DSUM($B$63:$Y$71,X$63,$B$78:$C99)</f>
        <v>1.3336303430569174</v>
      </c>
      <c r="Y99" s="45">
        <f>DSUM($B$63:$Y$71,Y$63,$B$78:$C99)</f>
        <v>21.277365061421204</v>
      </c>
      <c r="AA99" s="24"/>
      <c r="AB99" s="24"/>
      <c r="AC99" s="24"/>
    </row>
    <row r="100" spans="1:29">
      <c r="A100" s="24" t="s">
        <v>756</v>
      </c>
      <c r="B100" s="276" t="s">
        <v>757</v>
      </c>
      <c r="C100" s="276" t="s">
        <v>758</v>
      </c>
      <c r="D100" s="276"/>
      <c r="E100" s="277">
        <f>DSUM($B$63:$Y$71,E$63,$B$78:$C100)</f>
        <v>0.35571548630254074</v>
      </c>
      <c r="F100" s="277">
        <f>DSUM($B$63:$Y$71,F$63,$B$78:$C100)</f>
        <v>0.54682532152525598</v>
      </c>
      <c r="G100" s="277">
        <f>DSUM($B$63:$Y$71,G$63,$B$78:$C100)</f>
        <v>0.63709165988040117</v>
      </c>
      <c r="H100" s="277">
        <f>DSUM($B$63:$Y$71,H$63,$B$78:$C100)</f>
        <v>0.76122455223049001</v>
      </c>
      <c r="I100" s="277">
        <f>DSUM($B$63:$Y$71,I$63,$B$78:$C100)</f>
        <v>0.73445094097606833</v>
      </c>
      <c r="J100" s="277">
        <f>DSUM($B$63:$Y$71,J$63,$B$78:$C100)</f>
        <v>0.7294247525453551</v>
      </c>
      <c r="K100" s="277">
        <f>DSUM($B$63:$Y$71,K$63,$B$78:$C100)</f>
        <v>0.84947025869471304</v>
      </c>
      <c r="L100" s="277">
        <f>DSUM($B$63:$Y$71,L$63,$B$78:$C100)</f>
        <v>0.88405505039230359</v>
      </c>
      <c r="M100" s="277">
        <f>DSUM($B$63:$Y$71,M$63,$B$78:$C100)</f>
        <v>0.98388943114942562</v>
      </c>
      <c r="N100" s="277">
        <f>DSUM($B$63:$Y$71,N$63,$B$78:$C100)</f>
        <v>1.07828409112174</v>
      </c>
      <c r="O100" s="277">
        <f>DSUM($B$63:$Y$71,O$63,$B$78:$C100)</f>
        <v>1.1691163767586661</v>
      </c>
      <c r="P100" s="277">
        <f>DSUM($B$63:$Y$71,P$63,$B$78:$C100)</f>
        <v>1.335860180297411</v>
      </c>
      <c r="Q100" s="277">
        <f>DSUM($B$63:$Y$71,Q$63,$B$78:$C100)</f>
        <v>1.460365300948044</v>
      </c>
      <c r="R100" s="277">
        <f>DSUM($B$63:$Y$71,R$63,$B$78:$C100)</f>
        <v>1.4065254628924899</v>
      </c>
      <c r="S100" s="277">
        <f>DSUM($B$63:$Y$71,S$63,$B$78:$C100)</f>
        <v>1.4863411504621453</v>
      </c>
      <c r="T100" s="277">
        <f>DSUM($B$63:$Y$71,T$63,$B$78:$C100)</f>
        <v>1.4436661071663466</v>
      </c>
      <c r="U100" s="277">
        <f>DSUM($B$63:$Y$71,U$63,$B$78:$C100)</f>
        <v>1.4164898052117194</v>
      </c>
      <c r="V100" s="277">
        <f>DSUM($B$63:$Y$71,V$63,$B$78:$C100)</f>
        <v>1.3461804107063973</v>
      </c>
      <c r="W100" s="277">
        <f>DSUM($B$63:$Y$71,W$63,$B$78:$C100)</f>
        <v>1.318758379102777</v>
      </c>
      <c r="X100" s="277">
        <f>DSUM($B$63:$Y$71,X$63,$B$78:$C100)</f>
        <v>1.3336303430569174</v>
      </c>
      <c r="Y100" s="45">
        <f>DSUM($B$63:$Y$71,Y$63,$B$78:$C100)</f>
        <v>21.277365061421204</v>
      </c>
      <c r="AA100" s="24"/>
      <c r="AB100" s="24"/>
      <c r="AC100" s="24"/>
    </row>
    <row r="101" spans="1:29">
      <c r="A101" s="24" t="s">
        <v>759</v>
      </c>
      <c r="B101" s="276" t="s">
        <v>760</v>
      </c>
      <c r="C101" s="276" t="s">
        <v>761</v>
      </c>
      <c r="D101" s="276"/>
      <c r="E101" s="277">
        <f>DSUM($B$63:$Y$71,E$63,$B$78:$C101)</f>
        <v>0.35571548630254074</v>
      </c>
      <c r="F101" s="277">
        <f>DSUM($B$63:$Y$71,F$63,$B$78:$C101)</f>
        <v>0.54682532152525598</v>
      </c>
      <c r="G101" s="277">
        <f>DSUM($B$63:$Y$71,G$63,$B$78:$C101)</f>
        <v>0.63709165988040117</v>
      </c>
      <c r="H101" s="277">
        <f>DSUM($B$63:$Y$71,H$63,$B$78:$C101)</f>
        <v>0.76122455223049001</v>
      </c>
      <c r="I101" s="277">
        <f>DSUM($B$63:$Y$71,I$63,$B$78:$C101)</f>
        <v>0.73445094097606833</v>
      </c>
      <c r="J101" s="277">
        <f>DSUM($B$63:$Y$71,J$63,$B$78:$C101)</f>
        <v>0.7294247525453551</v>
      </c>
      <c r="K101" s="277">
        <f>DSUM($B$63:$Y$71,K$63,$B$78:$C101)</f>
        <v>0.84947025869471304</v>
      </c>
      <c r="L101" s="277">
        <f>DSUM($B$63:$Y$71,L$63,$B$78:$C101)</f>
        <v>0.88405505039230359</v>
      </c>
      <c r="M101" s="277">
        <f>DSUM($B$63:$Y$71,M$63,$B$78:$C101)</f>
        <v>0.98388943114942562</v>
      </c>
      <c r="N101" s="277">
        <f>DSUM($B$63:$Y$71,N$63,$B$78:$C101)</f>
        <v>1.07828409112174</v>
      </c>
      <c r="O101" s="277">
        <f>DSUM($B$63:$Y$71,O$63,$B$78:$C101)</f>
        <v>1.1691163767586661</v>
      </c>
      <c r="P101" s="277">
        <f>DSUM($B$63:$Y$71,P$63,$B$78:$C101)</f>
        <v>1.335860180297411</v>
      </c>
      <c r="Q101" s="277">
        <f>DSUM($B$63:$Y$71,Q$63,$B$78:$C101)</f>
        <v>1.460365300948044</v>
      </c>
      <c r="R101" s="277">
        <f>DSUM($B$63:$Y$71,R$63,$B$78:$C101)</f>
        <v>1.4065254628924899</v>
      </c>
      <c r="S101" s="277">
        <f>DSUM($B$63:$Y$71,S$63,$B$78:$C101)</f>
        <v>1.4863411504621453</v>
      </c>
      <c r="T101" s="277">
        <f>DSUM($B$63:$Y$71,T$63,$B$78:$C101)</f>
        <v>1.4436661071663466</v>
      </c>
      <c r="U101" s="277">
        <f>DSUM($B$63:$Y$71,U$63,$B$78:$C101)</f>
        <v>1.4164898052117194</v>
      </c>
      <c r="V101" s="277">
        <f>DSUM($B$63:$Y$71,V$63,$B$78:$C101)</f>
        <v>1.3461804107063973</v>
      </c>
      <c r="W101" s="277">
        <f>DSUM($B$63:$Y$71,W$63,$B$78:$C101)</f>
        <v>1.318758379102777</v>
      </c>
      <c r="X101" s="277">
        <f>DSUM($B$63:$Y$71,X$63,$B$78:$C101)</f>
        <v>1.3336303430569174</v>
      </c>
      <c r="Y101" s="45">
        <f>DSUM($B$63:$Y$71,Y$63,$B$78:$C101)</f>
        <v>21.277365061421204</v>
      </c>
      <c r="AA101" s="24"/>
      <c r="AB101" s="24"/>
      <c r="AC101" s="24"/>
    </row>
    <row r="102" spans="1:29">
      <c r="A102" s="24" t="s">
        <v>762</v>
      </c>
      <c r="B102" s="276" t="s">
        <v>763</v>
      </c>
      <c r="C102" s="276" t="s">
        <v>764</v>
      </c>
      <c r="D102" s="276"/>
      <c r="E102" s="277">
        <f>DSUM($B$63:$Y$71,E$63,$B$78:$C102)</f>
        <v>0.35571548630254074</v>
      </c>
      <c r="F102" s="277">
        <f>DSUM($B$63:$Y$71,F$63,$B$78:$C102)</f>
        <v>0.54682532152525598</v>
      </c>
      <c r="G102" s="277">
        <f>DSUM($B$63:$Y$71,G$63,$B$78:$C102)</f>
        <v>0.63709165988040117</v>
      </c>
      <c r="H102" s="277">
        <f>DSUM($B$63:$Y$71,H$63,$B$78:$C102)</f>
        <v>0.76122455223049001</v>
      </c>
      <c r="I102" s="277">
        <f>DSUM($B$63:$Y$71,I$63,$B$78:$C102)</f>
        <v>0.73445094097606833</v>
      </c>
      <c r="J102" s="277">
        <f>DSUM($B$63:$Y$71,J$63,$B$78:$C102)</f>
        <v>0.7294247525453551</v>
      </c>
      <c r="K102" s="277">
        <f>DSUM($B$63:$Y$71,K$63,$B$78:$C102)</f>
        <v>0.84947025869471304</v>
      </c>
      <c r="L102" s="277">
        <f>DSUM($B$63:$Y$71,L$63,$B$78:$C102)</f>
        <v>0.88405505039230359</v>
      </c>
      <c r="M102" s="277">
        <f>DSUM($B$63:$Y$71,M$63,$B$78:$C102)</f>
        <v>0.98388943114942562</v>
      </c>
      <c r="N102" s="277">
        <f>DSUM($B$63:$Y$71,N$63,$B$78:$C102)</f>
        <v>1.07828409112174</v>
      </c>
      <c r="O102" s="277">
        <f>DSUM($B$63:$Y$71,O$63,$B$78:$C102)</f>
        <v>1.1691163767586661</v>
      </c>
      <c r="P102" s="277">
        <f>DSUM($B$63:$Y$71,P$63,$B$78:$C102)</f>
        <v>1.335860180297411</v>
      </c>
      <c r="Q102" s="277">
        <f>DSUM($B$63:$Y$71,Q$63,$B$78:$C102)</f>
        <v>1.460365300948044</v>
      </c>
      <c r="R102" s="277">
        <f>DSUM($B$63:$Y$71,R$63,$B$78:$C102)</f>
        <v>1.4065254628924899</v>
      </c>
      <c r="S102" s="277">
        <f>DSUM($B$63:$Y$71,S$63,$B$78:$C102)</f>
        <v>1.4863411504621453</v>
      </c>
      <c r="T102" s="277">
        <f>DSUM($B$63:$Y$71,T$63,$B$78:$C102)</f>
        <v>1.4436661071663466</v>
      </c>
      <c r="U102" s="277">
        <f>DSUM($B$63:$Y$71,U$63,$B$78:$C102)</f>
        <v>1.4164898052117194</v>
      </c>
      <c r="V102" s="277">
        <f>DSUM($B$63:$Y$71,V$63,$B$78:$C102)</f>
        <v>1.3461804107063973</v>
      </c>
      <c r="W102" s="277">
        <f>DSUM($B$63:$Y$71,W$63,$B$78:$C102)</f>
        <v>1.318758379102777</v>
      </c>
      <c r="X102" s="277">
        <f>DSUM($B$63:$Y$71,X$63,$B$78:$C102)</f>
        <v>1.3336303430569174</v>
      </c>
      <c r="Y102" s="45">
        <f>DSUM($B$63:$Y$71,Y$63,$B$78:$C102)</f>
        <v>21.277365061421204</v>
      </c>
      <c r="AA102" s="24"/>
      <c r="AB102" s="24"/>
      <c r="AC102" s="24"/>
    </row>
    <row r="103" spans="1:29">
      <c r="A103" s="24" t="s">
        <v>765</v>
      </c>
      <c r="B103" s="276" t="s">
        <v>766</v>
      </c>
      <c r="C103" s="276" t="s">
        <v>767</v>
      </c>
      <c r="D103" s="276"/>
      <c r="E103" s="277">
        <f>DSUM($B$63:$Y$71,E$63,$B$78:$C103)</f>
        <v>0.35571548630254074</v>
      </c>
      <c r="F103" s="277">
        <f>DSUM($B$63:$Y$71,F$63,$B$78:$C103)</f>
        <v>0.54682532152525598</v>
      </c>
      <c r="G103" s="277">
        <f>DSUM($B$63:$Y$71,G$63,$B$78:$C103)</f>
        <v>0.63709165988040117</v>
      </c>
      <c r="H103" s="277">
        <f>DSUM($B$63:$Y$71,H$63,$B$78:$C103)</f>
        <v>0.76122455223049001</v>
      </c>
      <c r="I103" s="277">
        <f>DSUM($B$63:$Y$71,I$63,$B$78:$C103)</f>
        <v>0.73445094097606833</v>
      </c>
      <c r="J103" s="277">
        <f>DSUM($B$63:$Y$71,J$63,$B$78:$C103)</f>
        <v>0.7294247525453551</v>
      </c>
      <c r="K103" s="277">
        <f>DSUM($B$63:$Y$71,K$63,$B$78:$C103)</f>
        <v>0.84947025869471304</v>
      </c>
      <c r="L103" s="277">
        <f>DSUM($B$63:$Y$71,L$63,$B$78:$C103)</f>
        <v>0.88405505039230359</v>
      </c>
      <c r="M103" s="277">
        <f>DSUM($B$63:$Y$71,M$63,$B$78:$C103)</f>
        <v>0.98388943114942562</v>
      </c>
      <c r="N103" s="277">
        <f>DSUM($B$63:$Y$71,N$63,$B$78:$C103)</f>
        <v>1.07828409112174</v>
      </c>
      <c r="O103" s="277">
        <f>DSUM($B$63:$Y$71,O$63,$B$78:$C103)</f>
        <v>1.1691163767586661</v>
      </c>
      <c r="P103" s="277">
        <f>DSUM($B$63:$Y$71,P$63,$B$78:$C103)</f>
        <v>1.335860180297411</v>
      </c>
      <c r="Q103" s="277">
        <f>DSUM($B$63:$Y$71,Q$63,$B$78:$C103)</f>
        <v>1.460365300948044</v>
      </c>
      <c r="R103" s="277">
        <f>DSUM($B$63:$Y$71,R$63,$B$78:$C103)</f>
        <v>1.4065254628924899</v>
      </c>
      <c r="S103" s="277">
        <f>DSUM($B$63:$Y$71,S$63,$B$78:$C103)</f>
        <v>1.4863411504621453</v>
      </c>
      <c r="T103" s="277">
        <f>DSUM($B$63:$Y$71,T$63,$B$78:$C103)</f>
        <v>1.4436661071663466</v>
      </c>
      <c r="U103" s="277">
        <f>DSUM($B$63:$Y$71,U$63,$B$78:$C103)</f>
        <v>1.4164898052117194</v>
      </c>
      <c r="V103" s="277">
        <f>DSUM($B$63:$Y$71,V$63,$B$78:$C103)</f>
        <v>1.3461804107063973</v>
      </c>
      <c r="W103" s="277">
        <f>DSUM($B$63:$Y$71,W$63,$B$78:$C103)</f>
        <v>1.318758379102777</v>
      </c>
      <c r="X103" s="277">
        <f>DSUM($B$63:$Y$71,X$63,$B$78:$C103)</f>
        <v>1.3336303430569174</v>
      </c>
      <c r="Y103" s="45">
        <f>DSUM($B$63:$Y$71,Y$63,$B$78:$C103)</f>
        <v>21.277365061421204</v>
      </c>
      <c r="AA103" s="24"/>
      <c r="AB103" s="24"/>
      <c r="AC103" s="24"/>
    </row>
    <row r="104" spans="1:29">
      <c r="A104" s="24" t="s">
        <v>768</v>
      </c>
      <c r="B104" s="276" t="s">
        <v>769</v>
      </c>
      <c r="C104" s="276" t="s">
        <v>770</v>
      </c>
      <c r="D104" s="276"/>
      <c r="E104" s="277">
        <f>DSUM($B$63:$Y$71,E$63,$B$78:$C104)</f>
        <v>0.35571548630254074</v>
      </c>
      <c r="F104" s="277">
        <f>DSUM($B$63:$Y$71,F$63,$B$78:$C104)</f>
        <v>0.54682532152525598</v>
      </c>
      <c r="G104" s="277">
        <f>DSUM($B$63:$Y$71,G$63,$B$78:$C104)</f>
        <v>0.63709165988040117</v>
      </c>
      <c r="H104" s="277">
        <f>DSUM($B$63:$Y$71,H$63,$B$78:$C104)</f>
        <v>0.76122455223049001</v>
      </c>
      <c r="I104" s="277">
        <f>DSUM($B$63:$Y$71,I$63,$B$78:$C104)</f>
        <v>0.73445094097606833</v>
      </c>
      <c r="J104" s="277">
        <f>DSUM($B$63:$Y$71,J$63,$B$78:$C104)</f>
        <v>0.7294247525453551</v>
      </c>
      <c r="K104" s="277">
        <f>DSUM($B$63:$Y$71,K$63,$B$78:$C104)</f>
        <v>0.84947025869471304</v>
      </c>
      <c r="L104" s="277">
        <f>DSUM($B$63:$Y$71,L$63,$B$78:$C104)</f>
        <v>0.88405505039230359</v>
      </c>
      <c r="M104" s="277">
        <f>DSUM($B$63:$Y$71,M$63,$B$78:$C104)</f>
        <v>0.98388943114942562</v>
      </c>
      <c r="N104" s="277">
        <f>DSUM($B$63:$Y$71,N$63,$B$78:$C104)</f>
        <v>1.07828409112174</v>
      </c>
      <c r="O104" s="277">
        <f>DSUM($B$63:$Y$71,O$63,$B$78:$C104)</f>
        <v>1.1691163767586661</v>
      </c>
      <c r="P104" s="277">
        <f>DSUM($B$63:$Y$71,P$63,$B$78:$C104)</f>
        <v>1.335860180297411</v>
      </c>
      <c r="Q104" s="277">
        <f>DSUM($B$63:$Y$71,Q$63,$B$78:$C104)</f>
        <v>1.460365300948044</v>
      </c>
      <c r="R104" s="277">
        <f>DSUM($B$63:$Y$71,R$63,$B$78:$C104)</f>
        <v>1.4065254628924899</v>
      </c>
      <c r="S104" s="277">
        <f>DSUM($B$63:$Y$71,S$63,$B$78:$C104)</f>
        <v>1.4863411504621453</v>
      </c>
      <c r="T104" s="277">
        <f>DSUM($B$63:$Y$71,T$63,$B$78:$C104)</f>
        <v>1.4436661071663466</v>
      </c>
      <c r="U104" s="277">
        <f>DSUM($B$63:$Y$71,U$63,$B$78:$C104)</f>
        <v>1.4164898052117194</v>
      </c>
      <c r="V104" s="277">
        <f>DSUM($B$63:$Y$71,V$63,$B$78:$C104)</f>
        <v>1.3461804107063973</v>
      </c>
      <c r="W104" s="277">
        <f>DSUM($B$63:$Y$71,W$63,$B$78:$C104)</f>
        <v>1.318758379102777</v>
      </c>
      <c r="X104" s="277">
        <f>DSUM($B$63:$Y$71,X$63,$B$78:$C104)</f>
        <v>1.3336303430569174</v>
      </c>
      <c r="Y104" s="45">
        <f>DSUM($B$63:$Y$71,Y$63,$B$78:$C104)</f>
        <v>21.277365061421204</v>
      </c>
      <c r="AA104" s="24"/>
      <c r="AB104" s="24"/>
      <c r="AC104" s="24"/>
    </row>
    <row r="105" spans="1:29">
      <c r="A105" s="24" t="s">
        <v>771</v>
      </c>
      <c r="B105" s="276" t="s">
        <v>772</v>
      </c>
      <c r="C105" s="276" t="s">
        <v>773</v>
      </c>
      <c r="D105" s="276"/>
      <c r="E105" s="277">
        <f>DSUM($B$63:$Y$71,E$63,$B$78:$C105)</f>
        <v>0.35571548630254074</v>
      </c>
      <c r="F105" s="277">
        <f>DSUM($B$63:$Y$71,F$63,$B$78:$C105)</f>
        <v>0.54682532152525598</v>
      </c>
      <c r="G105" s="277">
        <f>DSUM($B$63:$Y$71,G$63,$B$78:$C105)</f>
        <v>0.63709165988040117</v>
      </c>
      <c r="H105" s="277">
        <f>DSUM($B$63:$Y$71,H$63,$B$78:$C105)</f>
        <v>0.76122455223049001</v>
      </c>
      <c r="I105" s="277">
        <f>DSUM($B$63:$Y$71,I$63,$B$78:$C105)</f>
        <v>0.73445094097606833</v>
      </c>
      <c r="J105" s="277">
        <f>DSUM($B$63:$Y$71,J$63,$B$78:$C105)</f>
        <v>0.7294247525453551</v>
      </c>
      <c r="K105" s="277">
        <f>DSUM($B$63:$Y$71,K$63,$B$78:$C105)</f>
        <v>0.84947025869471304</v>
      </c>
      <c r="L105" s="277">
        <f>DSUM($B$63:$Y$71,L$63,$B$78:$C105)</f>
        <v>0.88405505039230359</v>
      </c>
      <c r="M105" s="277">
        <f>DSUM($B$63:$Y$71,M$63,$B$78:$C105)</f>
        <v>0.98388943114942562</v>
      </c>
      <c r="N105" s="277">
        <f>DSUM($B$63:$Y$71,N$63,$B$78:$C105)</f>
        <v>1.07828409112174</v>
      </c>
      <c r="O105" s="277">
        <f>DSUM($B$63:$Y$71,O$63,$B$78:$C105)</f>
        <v>1.1691163767586661</v>
      </c>
      <c r="P105" s="277">
        <f>DSUM($B$63:$Y$71,P$63,$B$78:$C105)</f>
        <v>1.335860180297411</v>
      </c>
      <c r="Q105" s="277">
        <f>DSUM($B$63:$Y$71,Q$63,$B$78:$C105)</f>
        <v>1.460365300948044</v>
      </c>
      <c r="R105" s="277">
        <f>DSUM($B$63:$Y$71,R$63,$B$78:$C105)</f>
        <v>1.4065254628924899</v>
      </c>
      <c r="S105" s="277">
        <f>DSUM($B$63:$Y$71,S$63,$B$78:$C105)</f>
        <v>1.4863411504621453</v>
      </c>
      <c r="T105" s="277">
        <f>DSUM($B$63:$Y$71,T$63,$B$78:$C105)</f>
        <v>1.4436661071663466</v>
      </c>
      <c r="U105" s="277">
        <f>DSUM($B$63:$Y$71,U$63,$B$78:$C105)</f>
        <v>1.4164898052117194</v>
      </c>
      <c r="V105" s="277">
        <f>DSUM($B$63:$Y$71,V$63,$B$78:$C105)</f>
        <v>1.3461804107063973</v>
      </c>
      <c r="W105" s="277">
        <f>DSUM($B$63:$Y$71,W$63,$B$78:$C105)</f>
        <v>1.318758379102777</v>
      </c>
      <c r="X105" s="277">
        <f>DSUM($B$63:$Y$71,X$63,$B$78:$C105)</f>
        <v>1.3336303430569174</v>
      </c>
      <c r="Y105" s="45">
        <f>DSUM($B$63:$Y$71,Y$63,$B$78:$C105)</f>
        <v>21.277365061421204</v>
      </c>
      <c r="AA105" s="24"/>
      <c r="AB105" s="24"/>
      <c r="AC105" s="24"/>
    </row>
    <row r="106" spans="1:29">
      <c r="A106" s="24" t="s">
        <v>774</v>
      </c>
      <c r="B106" s="276" t="s">
        <v>775</v>
      </c>
      <c r="C106" s="276" t="s">
        <v>776</v>
      </c>
      <c r="D106" s="276"/>
      <c r="E106" s="277">
        <f>DSUM($B$63:$Y$71,E$63,$B$78:$C106)</f>
        <v>0.35571548630254074</v>
      </c>
      <c r="F106" s="277">
        <f>DSUM($B$63:$Y$71,F$63,$B$78:$C106)</f>
        <v>0.54682532152525598</v>
      </c>
      <c r="G106" s="277">
        <f>DSUM($B$63:$Y$71,G$63,$B$78:$C106)</f>
        <v>0.63709165988040117</v>
      </c>
      <c r="H106" s="277">
        <f>DSUM($B$63:$Y$71,H$63,$B$78:$C106)</f>
        <v>0.76122455223049001</v>
      </c>
      <c r="I106" s="277">
        <f>DSUM($B$63:$Y$71,I$63,$B$78:$C106)</f>
        <v>0.73445094097606833</v>
      </c>
      <c r="J106" s="277">
        <f>DSUM($B$63:$Y$71,J$63,$B$78:$C106)</f>
        <v>0.7294247525453551</v>
      </c>
      <c r="K106" s="277">
        <f>DSUM($B$63:$Y$71,K$63,$B$78:$C106)</f>
        <v>0.84947025869471304</v>
      </c>
      <c r="L106" s="277">
        <f>DSUM($B$63:$Y$71,L$63,$B$78:$C106)</f>
        <v>0.88405505039230359</v>
      </c>
      <c r="M106" s="277">
        <f>DSUM($B$63:$Y$71,M$63,$B$78:$C106)</f>
        <v>0.98388943114942562</v>
      </c>
      <c r="N106" s="277">
        <f>DSUM($B$63:$Y$71,N$63,$B$78:$C106)</f>
        <v>1.07828409112174</v>
      </c>
      <c r="O106" s="277">
        <f>DSUM($B$63:$Y$71,O$63,$B$78:$C106)</f>
        <v>1.1691163767586661</v>
      </c>
      <c r="P106" s="277">
        <f>DSUM($B$63:$Y$71,P$63,$B$78:$C106)</f>
        <v>1.335860180297411</v>
      </c>
      <c r="Q106" s="277">
        <f>DSUM($B$63:$Y$71,Q$63,$B$78:$C106)</f>
        <v>1.460365300948044</v>
      </c>
      <c r="R106" s="277">
        <f>DSUM($B$63:$Y$71,R$63,$B$78:$C106)</f>
        <v>1.4065254628924899</v>
      </c>
      <c r="S106" s="277">
        <f>DSUM($B$63:$Y$71,S$63,$B$78:$C106)</f>
        <v>1.4863411504621453</v>
      </c>
      <c r="T106" s="277">
        <f>DSUM($B$63:$Y$71,T$63,$B$78:$C106)</f>
        <v>1.4436661071663466</v>
      </c>
      <c r="U106" s="277">
        <f>DSUM($B$63:$Y$71,U$63,$B$78:$C106)</f>
        <v>1.4164898052117194</v>
      </c>
      <c r="V106" s="277">
        <f>DSUM($B$63:$Y$71,V$63,$B$78:$C106)</f>
        <v>1.3461804107063973</v>
      </c>
      <c r="W106" s="277">
        <f>DSUM($B$63:$Y$71,W$63,$B$78:$C106)</f>
        <v>1.318758379102777</v>
      </c>
      <c r="X106" s="277">
        <f>DSUM($B$63:$Y$71,X$63,$B$78:$C106)</f>
        <v>1.3336303430569174</v>
      </c>
      <c r="Y106" s="45">
        <f>DSUM($B$63:$Y$71,Y$63,$B$78:$C106)</f>
        <v>21.277365061421204</v>
      </c>
      <c r="AA106" s="24"/>
      <c r="AB106" s="24"/>
      <c r="AC106" s="24"/>
    </row>
    <row r="107" spans="1:29">
      <c r="A107" s="24" t="s">
        <v>777</v>
      </c>
      <c r="B107" s="276" t="s">
        <v>778</v>
      </c>
      <c r="C107" s="276" t="s">
        <v>779</v>
      </c>
      <c r="D107" s="276"/>
      <c r="E107" s="277">
        <f>DSUM($B$63:$Y$71,E$63,$B$78:$C107)</f>
        <v>0.35571548630254074</v>
      </c>
      <c r="F107" s="277">
        <f>DSUM($B$63:$Y$71,F$63,$B$78:$C107)</f>
        <v>0.54682532152525598</v>
      </c>
      <c r="G107" s="277">
        <f>DSUM($B$63:$Y$71,G$63,$B$78:$C107)</f>
        <v>0.63709165988040117</v>
      </c>
      <c r="H107" s="277">
        <f>DSUM($B$63:$Y$71,H$63,$B$78:$C107)</f>
        <v>0.76122455223049001</v>
      </c>
      <c r="I107" s="277">
        <f>DSUM($B$63:$Y$71,I$63,$B$78:$C107)</f>
        <v>0.73445094097606833</v>
      </c>
      <c r="J107" s="277">
        <f>DSUM($B$63:$Y$71,J$63,$B$78:$C107)</f>
        <v>0.7294247525453551</v>
      </c>
      <c r="K107" s="277">
        <f>DSUM($B$63:$Y$71,K$63,$B$78:$C107)</f>
        <v>0.84947025869471304</v>
      </c>
      <c r="L107" s="277">
        <f>DSUM($B$63:$Y$71,L$63,$B$78:$C107)</f>
        <v>0.88405505039230359</v>
      </c>
      <c r="M107" s="277">
        <f>DSUM($B$63:$Y$71,M$63,$B$78:$C107)</f>
        <v>0.98388943114942562</v>
      </c>
      <c r="N107" s="277">
        <f>DSUM($B$63:$Y$71,N$63,$B$78:$C107)</f>
        <v>1.07828409112174</v>
      </c>
      <c r="O107" s="277">
        <f>DSUM($B$63:$Y$71,O$63,$B$78:$C107)</f>
        <v>1.1691163767586661</v>
      </c>
      <c r="P107" s="277">
        <f>DSUM($B$63:$Y$71,P$63,$B$78:$C107)</f>
        <v>1.335860180297411</v>
      </c>
      <c r="Q107" s="277">
        <f>DSUM($B$63:$Y$71,Q$63,$B$78:$C107)</f>
        <v>1.460365300948044</v>
      </c>
      <c r="R107" s="277">
        <f>DSUM($B$63:$Y$71,R$63,$B$78:$C107)</f>
        <v>1.4065254628924899</v>
      </c>
      <c r="S107" s="277">
        <f>DSUM($B$63:$Y$71,S$63,$B$78:$C107)</f>
        <v>1.4863411504621453</v>
      </c>
      <c r="T107" s="277">
        <f>DSUM($B$63:$Y$71,T$63,$B$78:$C107)</f>
        <v>1.4436661071663466</v>
      </c>
      <c r="U107" s="277">
        <f>DSUM($B$63:$Y$71,U$63,$B$78:$C107)</f>
        <v>1.4164898052117194</v>
      </c>
      <c r="V107" s="277">
        <f>DSUM($B$63:$Y$71,V$63,$B$78:$C107)</f>
        <v>1.3461804107063973</v>
      </c>
      <c r="W107" s="277">
        <f>DSUM($B$63:$Y$71,W$63,$B$78:$C107)</f>
        <v>1.318758379102777</v>
      </c>
      <c r="X107" s="277">
        <f>DSUM($B$63:$Y$71,X$63,$B$78:$C107)</f>
        <v>1.3336303430569174</v>
      </c>
      <c r="Y107" s="45">
        <f>DSUM($B$63:$Y$71,Y$63,$B$78:$C107)</f>
        <v>21.277365061421204</v>
      </c>
      <c r="AA107" s="24"/>
      <c r="AB107" s="24"/>
      <c r="AC107" s="24"/>
    </row>
    <row r="108" spans="1:29">
      <c r="A108" s="24" t="s">
        <v>780</v>
      </c>
      <c r="B108" s="276" t="s">
        <v>781</v>
      </c>
      <c r="C108" s="276" t="s">
        <v>782</v>
      </c>
      <c r="D108" s="276"/>
      <c r="E108" s="277">
        <f>DSUM($B$63:$Y$71,E$63,$B$78:$C108)</f>
        <v>0.35571548630254074</v>
      </c>
      <c r="F108" s="277">
        <f>DSUM($B$63:$Y$71,F$63,$B$78:$C108)</f>
        <v>0.54682532152525598</v>
      </c>
      <c r="G108" s="277">
        <f>DSUM($B$63:$Y$71,G$63,$B$78:$C108)</f>
        <v>0.63709165988040117</v>
      </c>
      <c r="H108" s="277">
        <f>DSUM($B$63:$Y$71,H$63,$B$78:$C108)</f>
        <v>0.76122455223049001</v>
      </c>
      <c r="I108" s="277">
        <f>DSUM($B$63:$Y$71,I$63,$B$78:$C108)</f>
        <v>0.73445094097606833</v>
      </c>
      <c r="J108" s="277">
        <f>DSUM($B$63:$Y$71,J$63,$B$78:$C108)</f>
        <v>0.7294247525453551</v>
      </c>
      <c r="K108" s="277">
        <f>DSUM($B$63:$Y$71,K$63,$B$78:$C108)</f>
        <v>0.84947025869471304</v>
      </c>
      <c r="L108" s="277">
        <f>DSUM($B$63:$Y$71,L$63,$B$78:$C108)</f>
        <v>0.88405505039230359</v>
      </c>
      <c r="M108" s="277">
        <f>DSUM($B$63:$Y$71,M$63,$B$78:$C108)</f>
        <v>0.98388943114942562</v>
      </c>
      <c r="N108" s="277">
        <f>DSUM($B$63:$Y$71,N$63,$B$78:$C108)</f>
        <v>1.07828409112174</v>
      </c>
      <c r="O108" s="277">
        <f>DSUM($B$63:$Y$71,O$63,$B$78:$C108)</f>
        <v>1.1691163767586661</v>
      </c>
      <c r="P108" s="277">
        <f>DSUM($B$63:$Y$71,P$63,$B$78:$C108)</f>
        <v>1.335860180297411</v>
      </c>
      <c r="Q108" s="277">
        <f>DSUM($B$63:$Y$71,Q$63,$B$78:$C108)</f>
        <v>1.460365300948044</v>
      </c>
      <c r="R108" s="277">
        <f>DSUM($B$63:$Y$71,R$63,$B$78:$C108)</f>
        <v>1.4065254628924899</v>
      </c>
      <c r="S108" s="277">
        <f>DSUM($B$63:$Y$71,S$63,$B$78:$C108)</f>
        <v>1.4863411504621453</v>
      </c>
      <c r="T108" s="277">
        <f>DSUM($B$63:$Y$71,T$63,$B$78:$C108)</f>
        <v>1.4436661071663466</v>
      </c>
      <c r="U108" s="277">
        <f>DSUM($B$63:$Y$71,U$63,$B$78:$C108)</f>
        <v>1.4164898052117194</v>
      </c>
      <c r="V108" s="277">
        <f>DSUM($B$63:$Y$71,V$63,$B$78:$C108)</f>
        <v>1.3461804107063973</v>
      </c>
      <c r="W108" s="277">
        <f>DSUM($B$63:$Y$71,W$63,$B$78:$C108)</f>
        <v>1.318758379102777</v>
      </c>
      <c r="X108" s="277">
        <f>DSUM($B$63:$Y$71,X$63,$B$78:$C108)</f>
        <v>1.3336303430569174</v>
      </c>
      <c r="Y108" s="45">
        <f>DSUM($B$63:$Y$71,Y$63,$B$78:$C108)</f>
        <v>21.277365061421204</v>
      </c>
      <c r="AA108" s="24"/>
      <c r="AB108" s="24"/>
      <c r="AC108" s="24"/>
    </row>
    <row r="109" spans="1:29">
      <c r="A109" s="24" t="s">
        <v>783</v>
      </c>
      <c r="B109" s="276" t="s">
        <v>784</v>
      </c>
      <c r="C109" s="276" t="s">
        <v>785</v>
      </c>
      <c r="D109" s="276"/>
      <c r="E109" s="277">
        <f>DSUM($B$63:$Y$71,E$63,$B$78:$C109)</f>
        <v>0.35571548630254074</v>
      </c>
      <c r="F109" s="277">
        <f>DSUM($B$63:$Y$71,F$63,$B$78:$C109)</f>
        <v>0.54682532152525598</v>
      </c>
      <c r="G109" s="277">
        <f>DSUM($B$63:$Y$71,G$63,$B$78:$C109)</f>
        <v>0.63709165988040117</v>
      </c>
      <c r="H109" s="277">
        <f>DSUM($B$63:$Y$71,H$63,$B$78:$C109)</f>
        <v>0.76122455223049001</v>
      </c>
      <c r="I109" s="277">
        <f>DSUM($B$63:$Y$71,I$63,$B$78:$C109)</f>
        <v>0.73445094097606833</v>
      </c>
      <c r="J109" s="277">
        <f>DSUM($B$63:$Y$71,J$63,$B$78:$C109)</f>
        <v>0.7294247525453551</v>
      </c>
      <c r="K109" s="277">
        <f>DSUM($B$63:$Y$71,K$63,$B$78:$C109)</f>
        <v>0.84947025869471304</v>
      </c>
      <c r="L109" s="277">
        <f>DSUM($B$63:$Y$71,L$63,$B$78:$C109)</f>
        <v>0.88405505039230359</v>
      </c>
      <c r="M109" s="277">
        <f>DSUM($B$63:$Y$71,M$63,$B$78:$C109)</f>
        <v>0.98388943114942562</v>
      </c>
      <c r="N109" s="277">
        <f>DSUM($B$63:$Y$71,N$63,$B$78:$C109)</f>
        <v>1.07828409112174</v>
      </c>
      <c r="O109" s="277">
        <f>DSUM($B$63:$Y$71,O$63,$B$78:$C109)</f>
        <v>1.1691163767586661</v>
      </c>
      <c r="P109" s="277">
        <f>DSUM($B$63:$Y$71,P$63,$B$78:$C109)</f>
        <v>1.335860180297411</v>
      </c>
      <c r="Q109" s="277">
        <f>DSUM($B$63:$Y$71,Q$63,$B$78:$C109)</f>
        <v>1.460365300948044</v>
      </c>
      <c r="R109" s="277">
        <f>DSUM($B$63:$Y$71,R$63,$B$78:$C109)</f>
        <v>1.4065254628924899</v>
      </c>
      <c r="S109" s="277">
        <f>DSUM($B$63:$Y$71,S$63,$B$78:$C109)</f>
        <v>1.4863411504621453</v>
      </c>
      <c r="T109" s="277">
        <f>DSUM($B$63:$Y$71,T$63,$B$78:$C109)</f>
        <v>1.4436661071663466</v>
      </c>
      <c r="U109" s="277">
        <f>DSUM($B$63:$Y$71,U$63,$B$78:$C109)</f>
        <v>1.4164898052117194</v>
      </c>
      <c r="V109" s="277">
        <f>DSUM($B$63:$Y$71,V$63,$B$78:$C109)</f>
        <v>1.3461804107063973</v>
      </c>
      <c r="W109" s="277">
        <f>DSUM($B$63:$Y$71,W$63,$B$78:$C109)</f>
        <v>1.318758379102777</v>
      </c>
      <c r="X109" s="277">
        <f>DSUM($B$63:$Y$71,X$63,$B$78:$C109)</f>
        <v>1.3336303430569174</v>
      </c>
      <c r="Y109" s="45">
        <f>DSUM($B$63:$Y$71,Y$63,$B$78:$C109)</f>
        <v>21.277365061421204</v>
      </c>
      <c r="AA109" s="24"/>
      <c r="AB109" s="24"/>
      <c r="AC109" s="24"/>
    </row>
    <row r="110" spans="1:29">
      <c r="A110" s="24" t="s">
        <v>786</v>
      </c>
      <c r="B110" s="276" t="s">
        <v>787</v>
      </c>
      <c r="C110" s="276" t="s">
        <v>788</v>
      </c>
      <c r="D110" s="276"/>
      <c r="E110" s="277">
        <f>DSUM($B$63:$Y$71,E$63,$B$78:$C110)</f>
        <v>0.35571548630254074</v>
      </c>
      <c r="F110" s="277">
        <f>DSUM($B$63:$Y$71,F$63,$B$78:$C110)</f>
        <v>0.54682532152525598</v>
      </c>
      <c r="G110" s="277">
        <f>DSUM($B$63:$Y$71,G$63,$B$78:$C110)</f>
        <v>0.63709165988040117</v>
      </c>
      <c r="H110" s="277">
        <f>DSUM($B$63:$Y$71,H$63,$B$78:$C110)</f>
        <v>0.76122455223049001</v>
      </c>
      <c r="I110" s="277">
        <f>DSUM($B$63:$Y$71,I$63,$B$78:$C110)</f>
        <v>0.73445094097606833</v>
      </c>
      <c r="J110" s="277">
        <f>DSUM($B$63:$Y$71,J$63,$B$78:$C110)</f>
        <v>0.7294247525453551</v>
      </c>
      <c r="K110" s="277">
        <f>DSUM($B$63:$Y$71,K$63,$B$78:$C110)</f>
        <v>0.84947025869471304</v>
      </c>
      <c r="L110" s="277">
        <f>DSUM($B$63:$Y$71,L$63,$B$78:$C110)</f>
        <v>0.88405505039230359</v>
      </c>
      <c r="M110" s="277">
        <f>DSUM($B$63:$Y$71,M$63,$B$78:$C110)</f>
        <v>0.98388943114942562</v>
      </c>
      <c r="N110" s="277">
        <f>DSUM($B$63:$Y$71,N$63,$B$78:$C110)</f>
        <v>1.07828409112174</v>
      </c>
      <c r="O110" s="277">
        <f>DSUM($B$63:$Y$71,O$63,$B$78:$C110)</f>
        <v>1.1691163767586661</v>
      </c>
      <c r="P110" s="277">
        <f>DSUM($B$63:$Y$71,P$63,$B$78:$C110)</f>
        <v>1.335860180297411</v>
      </c>
      <c r="Q110" s="277">
        <f>DSUM($B$63:$Y$71,Q$63,$B$78:$C110)</f>
        <v>1.460365300948044</v>
      </c>
      <c r="R110" s="277">
        <f>DSUM($B$63:$Y$71,R$63,$B$78:$C110)</f>
        <v>1.4065254628924899</v>
      </c>
      <c r="S110" s="277">
        <f>DSUM($B$63:$Y$71,S$63,$B$78:$C110)</f>
        <v>1.4863411504621453</v>
      </c>
      <c r="T110" s="277">
        <f>DSUM($B$63:$Y$71,T$63,$B$78:$C110)</f>
        <v>1.4436661071663466</v>
      </c>
      <c r="U110" s="277">
        <f>DSUM($B$63:$Y$71,U$63,$B$78:$C110)</f>
        <v>1.4164898052117194</v>
      </c>
      <c r="V110" s="277">
        <f>DSUM($B$63:$Y$71,V$63,$B$78:$C110)</f>
        <v>1.3461804107063973</v>
      </c>
      <c r="W110" s="277">
        <f>DSUM($B$63:$Y$71,W$63,$B$78:$C110)</f>
        <v>1.318758379102777</v>
      </c>
      <c r="X110" s="277">
        <f>DSUM($B$63:$Y$71,X$63,$B$78:$C110)</f>
        <v>1.3336303430569174</v>
      </c>
      <c r="Y110" s="45">
        <f>DSUM($B$63:$Y$71,Y$63,$B$78:$C110)</f>
        <v>21.277365061421204</v>
      </c>
      <c r="AA110" s="24"/>
      <c r="AB110" s="24"/>
      <c r="AC110" s="24"/>
    </row>
    <row r="111" spans="1:29">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
      <c r="A113" s="249" t="s">
        <v>789</v>
      </c>
      <c r="B113" s="250"/>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
      <c r="A114" s="24"/>
      <c r="B114" s="24"/>
      <c r="C114" s="243" t="s">
        <v>790</v>
      </c>
      <c r="D114" s="243"/>
      <c r="E114" s="267">
        <f>E77</f>
        <v>2016</v>
      </c>
      <c r="F114" s="267">
        <f t="shared" ref="F114:X115" si="28">F77</f>
        <v>2017</v>
      </c>
      <c r="G114" s="267">
        <f t="shared" si="28"/>
        <v>2018</v>
      </c>
      <c r="H114" s="267">
        <f t="shared" si="28"/>
        <v>2019</v>
      </c>
      <c r="I114" s="267">
        <f t="shared" si="28"/>
        <v>2020</v>
      </c>
      <c r="J114" s="267">
        <f t="shared" si="28"/>
        <v>2021</v>
      </c>
      <c r="K114" s="267">
        <f t="shared" si="28"/>
        <v>2022</v>
      </c>
      <c r="L114" s="267">
        <f t="shared" si="28"/>
        <v>2023</v>
      </c>
      <c r="M114" s="267">
        <f t="shared" si="28"/>
        <v>2024</v>
      </c>
      <c r="N114" s="267">
        <f t="shared" si="28"/>
        <v>2025</v>
      </c>
      <c r="O114" s="267">
        <f t="shared" si="28"/>
        <v>2026</v>
      </c>
      <c r="P114" s="267">
        <f t="shared" si="28"/>
        <v>2027</v>
      </c>
      <c r="Q114" s="267">
        <f t="shared" si="28"/>
        <v>2028</v>
      </c>
      <c r="R114" s="267">
        <f t="shared" si="28"/>
        <v>2029</v>
      </c>
      <c r="S114" s="267">
        <f t="shared" si="28"/>
        <v>2030</v>
      </c>
      <c r="T114" s="267">
        <f t="shared" si="28"/>
        <v>2031</v>
      </c>
      <c r="U114" s="267">
        <f t="shared" si="28"/>
        <v>2032</v>
      </c>
      <c r="V114" s="267">
        <f t="shared" si="28"/>
        <v>2033</v>
      </c>
      <c r="W114" s="267">
        <f t="shared" si="28"/>
        <v>2034</v>
      </c>
      <c r="X114" s="267">
        <f t="shared" si="28"/>
        <v>2035</v>
      </c>
      <c r="Y114" s="251" t="s">
        <v>699</v>
      </c>
      <c r="AA114" s="24"/>
      <c r="AB114" s="24"/>
      <c r="AC114" s="24"/>
    </row>
    <row r="115" spans="1:29" ht="15">
      <c r="A115" s="24"/>
      <c r="B115" s="24"/>
      <c r="C115" s="243">
        <f>C9</f>
        <v>2035</v>
      </c>
      <c r="D115" s="243"/>
      <c r="E115" s="269" t="str">
        <f>E78</f>
        <v>aMW_2016</v>
      </c>
      <c r="F115" s="269" t="str">
        <f t="shared" si="28"/>
        <v>aMW_2017</v>
      </c>
      <c r="G115" s="269" t="str">
        <f t="shared" si="28"/>
        <v>aMW_2018</v>
      </c>
      <c r="H115" s="269" t="str">
        <f t="shared" si="28"/>
        <v>aMW_2019</v>
      </c>
      <c r="I115" s="269" t="str">
        <f t="shared" si="28"/>
        <v>aMW_2020</v>
      </c>
      <c r="J115" s="269" t="str">
        <f t="shared" si="28"/>
        <v>aMW_2021</v>
      </c>
      <c r="K115" s="269" t="str">
        <f t="shared" si="28"/>
        <v>aMW_2022</v>
      </c>
      <c r="L115" s="269" t="str">
        <f t="shared" si="28"/>
        <v>aMW_2023</v>
      </c>
      <c r="M115" s="269" t="str">
        <f t="shared" si="28"/>
        <v>aMW_2024</v>
      </c>
      <c r="N115" s="269" t="str">
        <f t="shared" si="28"/>
        <v>aMW_2025</v>
      </c>
      <c r="O115" s="269" t="str">
        <f t="shared" si="28"/>
        <v>aMW_2026</v>
      </c>
      <c r="P115" s="269" t="str">
        <f t="shared" si="28"/>
        <v>aMW_2027</v>
      </c>
      <c r="Q115" s="269" t="str">
        <f t="shared" si="28"/>
        <v>aMW_2028</v>
      </c>
      <c r="R115" s="269" t="str">
        <f t="shared" si="28"/>
        <v>aMW_2029</v>
      </c>
      <c r="S115" s="269" t="str">
        <f t="shared" si="28"/>
        <v>aMW_2030</v>
      </c>
      <c r="T115" s="269" t="str">
        <f t="shared" si="28"/>
        <v>aMW_2031</v>
      </c>
      <c r="U115" s="269" t="str">
        <f t="shared" si="28"/>
        <v>aMW_2032</v>
      </c>
      <c r="V115" s="269" t="str">
        <f t="shared" si="28"/>
        <v>aMW_2033</v>
      </c>
      <c r="W115" s="269" t="str">
        <f t="shared" si="28"/>
        <v>aMW_2034</v>
      </c>
      <c r="X115" s="269" t="str">
        <f t="shared" si="28"/>
        <v>aMW_2035</v>
      </c>
      <c r="Y115" s="251" t="s">
        <v>699</v>
      </c>
      <c r="AA115" s="24"/>
      <c r="AB115" s="24"/>
      <c r="AC115" s="24"/>
    </row>
    <row r="116" spans="1:29">
      <c r="A116" s="24"/>
      <c r="B116" s="24"/>
      <c r="C116" s="24" t="s">
        <v>643</v>
      </c>
      <c r="D116" s="24"/>
      <c r="E116" s="278">
        <f t="shared" ref="E116:Z116" si="29">E79</f>
        <v>0.35571548630254074</v>
      </c>
      <c r="F116" s="278">
        <f t="shared" si="29"/>
        <v>0.54682532152525598</v>
      </c>
      <c r="G116" s="278">
        <f t="shared" si="29"/>
        <v>0.63709165988040117</v>
      </c>
      <c r="H116" s="278">
        <f t="shared" si="29"/>
        <v>0.76122455223049001</v>
      </c>
      <c r="I116" s="278">
        <f t="shared" si="29"/>
        <v>0.73445094097606833</v>
      </c>
      <c r="J116" s="278">
        <f t="shared" si="29"/>
        <v>0.7294247525453551</v>
      </c>
      <c r="K116" s="278">
        <f t="shared" si="29"/>
        <v>0.84947025869471304</v>
      </c>
      <c r="L116" s="278">
        <f t="shared" si="29"/>
        <v>0.88405505039230359</v>
      </c>
      <c r="M116" s="278">
        <f t="shared" si="29"/>
        <v>0.98388943114942562</v>
      </c>
      <c r="N116" s="278">
        <f t="shared" si="29"/>
        <v>1.07828409112174</v>
      </c>
      <c r="O116" s="278">
        <f t="shared" si="29"/>
        <v>1.1691163767586661</v>
      </c>
      <c r="P116" s="278">
        <f t="shared" si="29"/>
        <v>1.335860180297411</v>
      </c>
      <c r="Q116" s="278">
        <f t="shared" si="29"/>
        <v>1.460365300948044</v>
      </c>
      <c r="R116" s="278">
        <f t="shared" si="29"/>
        <v>1.4065254628924899</v>
      </c>
      <c r="S116" s="278">
        <f t="shared" si="29"/>
        <v>1.4863411504621453</v>
      </c>
      <c r="T116" s="278">
        <f t="shared" si="29"/>
        <v>1.4436661071663466</v>
      </c>
      <c r="U116" s="278">
        <f t="shared" si="29"/>
        <v>1.4164898052117194</v>
      </c>
      <c r="V116" s="278">
        <f t="shared" si="29"/>
        <v>1.3461804107063973</v>
      </c>
      <c r="W116" s="278">
        <f t="shared" si="29"/>
        <v>1.318758379102777</v>
      </c>
      <c r="X116" s="278">
        <f t="shared" si="29"/>
        <v>1.3336303430569174</v>
      </c>
      <c r="Y116" s="279">
        <f>Y79</f>
        <v>21.277365061421204</v>
      </c>
      <c r="AA116" s="24"/>
      <c r="AB116" s="24"/>
      <c r="AC116" s="24"/>
    </row>
    <row r="117" spans="1:29">
      <c r="A117" s="24"/>
      <c r="B117" s="24"/>
      <c r="C117" s="24" t="s">
        <v>644</v>
      </c>
      <c r="D117" s="24"/>
      <c r="E117" s="278">
        <f t="shared" ref="E117:Z129" si="30">E80-E79</f>
        <v>0</v>
      </c>
      <c r="F117" s="278">
        <f t="shared" si="30"/>
        <v>0</v>
      </c>
      <c r="G117" s="278">
        <f t="shared" si="30"/>
        <v>0</v>
      </c>
      <c r="H117" s="278">
        <f t="shared" si="30"/>
        <v>0</v>
      </c>
      <c r="I117" s="278">
        <f t="shared" si="30"/>
        <v>0</v>
      </c>
      <c r="J117" s="278">
        <f t="shared" si="30"/>
        <v>0</v>
      </c>
      <c r="K117" s="278">
        <f t="shared" si="30"/>
        <v>0</v>
      </c>
      <c r="L117" s="278">
        <f t="shared" si="30"/>
        <v>0</v>
      </c>
      <c r="M117" s="278">
        <f t="shared" si="30"/>
        <v>0</v>
      </c>
      <c r="N117" s="278">
        <f t="shared" si="30"/>
        <v>0</v>
      </c>
      <c r="O117" s="278">
        <f t="shared" si="30"/>
        <v>0</v>
      </c>
      <c r="P117" s="278">
        <f t="shared" si="30"/>
        <v>0</v>
      </c>
      <c r="Q117" s="278">
        <f t="shared" si="30"/>
        <v>0</v>
      </c>
      <c r="R117" s="278">
        <f t="shared" si="30"/>
        <v>0</v>
      </c>
      <c r="S117" s="278">
        <f t="shared" si="30"/>
        <v>0</v>
      </c>
      <c r="T117" s="278">
        <f t="shared" si="30"/>
        <v>0</v>
      </c>
      <c r="U117" s="278">
        <f t="shared" si="30"/>
        <v>0</v>
      </c>
      <c r="V117" s="278">
        <f t="shared" si="30"/>
        <v>0</v>
      </c>
      <c r="W117" s="278">
        <f t="shared" si="30"/>
        <v>0</v>
      </c>
      <c r="X117" s="278">
        <f t="shared" si="30"/>
        <v>0</v>
      </c>
      <c r="Y117" s="279">
        <f>Y80-Y79</f>
        <v>0</v>
      </c>
      <c r="AA117" s="24"/>
      <c r="AB117" s="24"/>
      <c r="AC117" s="24"/>
    </row>
    <row r="118" spans="1:29">
      <c r="A118" s="24"/>
      <c r="B118" s="24"/>
      <c r="C118" s="24" t="s">
        <v>645</v>
      </c>
      <c r="D118" s="24"/>
      <c r="E118" s="278">
        <f t="shared" si="30"/>
        <v>0</v>
      </c>
      <c r="F118" s="278">
        <f t="shared" si="30"/>
        <v>0</v>
      </c>
      <c r="G118" s="278">
        <f t="shared" si="30"/>
        <v>0</v>
      </c>
      <c r="H118" s="278">
        <f t="shared" si="30"/>
        <v>0</v>
      </c>
      <c r="I118" s="278">
        <f t="shared" si="30"/>
        <v>0</v>
      </c>
      <c r="J118" s="278">
        <f t="shared" si="30"/>
        <v>0</v>
      </c>
      <c r="K118" s="278">
        <f t="shared" si="30"/>
        <v>0</v>
      </c>
      <c r="L118" s="278">
        <f t="shared" si="30"/>
        <v>0</v>
      </c>
      <c r="M118" s="278">
        <f t="shared" si="30"/>
        <v>0</v>
      </c>
      <c r="N118" s="278">
        <f t="shared" si="30"/>
        <v>0</v>
      </c>
      <c r="O118" s="278">
        <f t="shared" si="30"/>
        <v>0</v>
      </c>
      <c r="P118" s="278">
        <f t="shared" si="30"/>
        <v>0</v>
      </c>
      <c r="Q118" s="278">
        <f t="shared" si="30"/>
        <v>0</v>
      </c>
      <c r="R118" s="278">
        <f t="shared" si="30"/>
        <v>0</v>
      </c>
      <c r="S118" s="278">
        <f t="shared" si="30"/>
        <v>0</v>
      </c>
      <c r="T118" s="278">
        <f t="shared" si="30"/>
        <v>0</v>
      </c>
      <c r="U118" s="278">
        <f t="shared" si="30"/>
        <v>0</v>
      </c>
      <c r="V118" s="278">
        <f t="shared" si="30"/>
        <v>0</v>
      </c>
      <c r="W118" s="278">
        <f t="shared" si="30"/>
        <v>0</v>
      </c>
      <c r="X118" s="278">
        <f t="shared" si="30"/>
        <v>0</v>
      </c>
      <c r="Y118" s="279">
        <f>Y81-Y80</f>
        <v>0</v>
      </c>
      <c r="AA118" s="24"/>
      <c r="AB118" s="24"/>
      <c r="AC118" s="24"/>
    </row>
    <row r="119" spans="1:29">
      <c r="A119" s="24"/>
      <c r="B119" s="24"/>
      <c r="C119" s="24" t="s">
        <v>646</v>
      </c>
      <c r="D119" s="24"/>
      <c r="E119" s="278">
        <f t="shared" si="30"/>
        <v>0</v>
      </c>
      <c r="F119" s="278">
        <f t="shared" si="30"/>
        <v>0</v>
      </c>
      <c r="G119" s="278">
        <f t="shared" si="30"/>
        <v>0</v>
      </c>
      <c r="H119" s="278">
        <f t="shared" si="30"/>
        <v>0</v>
      </c>
      <c r="I119" s="278">
        <f t="shared" si="30"/>
        <v>0</v>
      </c>
      <c r="J119" s="278">
        <f t="shared" si="30"/>
        <v>0</v>
      </c>
      <c r="K119" s="278">
        <f t="shared" si="30"/>
        <v>0</v>
      </c>
      <c r="L119" s="278">
        <f t="shared" si="30"/>
        <v>0</v>
      </c>
      <c r="M119" s="278">
        <f t="shared" si="30"/>
        <v>0</v>
      </c>
      <c r="N119" s="278">
        <f t="shared" si="30"/>
        <v>0</v>
      </c>
      <c r="O119" s="278">
        <f t="shared" si="30"/>
        <v>0</v>
      </c>
      <c r="P119" s="278">
        <f t="shared" si="30"/>
        <v>0</v>
      </c>
      <c r="Q119" s="278">
        <f t="shared" si="30"/>
        <v>0</v>
      </c>
      <c r="R119" s="278">
        <f t="shared" si="30"/>
        <v>0</v>
      </c>
      <c r="S119" s="278">
        <f t="shared" si="30"/>
        <v>0</v>
      </c>
      <c r="T119" s="278">
        <f t="shared" si="30"/>
        <v>0</v>
      </c>
      <c r="U119" s="278">
        <f t="shared" si="30"/>
        <v>0</v>
      </c>
      <c r="V119" s="278">
        <f t="shared" si="30"/>
        <v>0</v>
      </c>
      <c r="W119" s="278">
        <f t="shared" si="30"/>
        <v>0</v>
      </c>
      <c r="X119" s="278">
        <f t="shared" si="30"/>
        <v>0</v>
      </c>
      <c r="Y119" s="279">
        <f>Y82-Y81</f>
        <v>0</v>
      </c>
      <c r="AA119" s="24"/>
      <c r="AB119" s="24"/>
      <c r="AC119" s="24"/>
    </row>
    <row r="120" spans="1:29">
      <c r="A120" s="24"/>
      <c r="B120" s="24"/>
      <c r="C120" s="24" t="s">
        <v>647</v>
      </c>
      <c r="D120" s="24"/>
      <c r="E120" s="278">
        <f t="shared" si="30"/>
        <v>0</v>
      </c>
      <c r="F120" s="278">
        <f t="shared" si="30"/>
        <v>0</v>
      </c>
      <c r="G120" s="278">
        <f t="shared" si="30"/>
        <v>0</v>
      </c>
      <c r="H120" s="278">
        <f t="shared" si="30"/>
        <v>0</v>
      </c>
      <c r="I120" s="278">
        <f t="shared" si="30"/>
        <v>0</v>
      </c>
      <c r="J120" s="278">
        <f t="shared" si="30"/>
        <v>0</v>
      </c>
      <c r="K120" s="278">
        <f t="shared" si="30"/>
        <v>0</v>
      </c>
      <c r="L120" s="278">
        <f t="shared" si="30"/>
        <v>0</v>
      </c>
      <c r="M120" s="278">
        <f t="shared" si="30"/>
        <v>0</v>
      </c>
      <c r="N120" s="278">
        <f t="shared" si="30"/>
        <v>0</v>
      </c>
      <c r="O120" s="278">
        <f t="shared" si="30"/>
        <v>0</v>
      </c>
      <c r="P120" s="278">
        <f t="shared" si="30"/>
        <v>0</v>
      </c>
      <c r="Q120" s="278">
        <f t="shared" si="30"/>
        <v>0</v>
      </c>
      <c r="R120" s="278">
        <f t="shared" si="30"/>
        <v>0</v>
      </c>
      <c r="S120" s="278">
        <f t="shared" si="30"/>
        <v>0</v>
      </c>
      <c r="T120" s="278">
        <f t="shared" si="30"/>
        <v>0</v>
      </c>
      <c r="U120" s="278">
        <f t="shared" si="30"/>
        <v>0</v>
      </c>
      <c r="V120" s="278">
        <f t="shared" si="30"/>
        <v>0</v>
      </c>
      <c r="W120" s="278">
        <f t="shared" si="30"/>
        <v>0</v>
      </c>
      <c r="X120" s="278">
        <f t="shared" si="30"/>
        <v>0</v>
      </c>
      <c r="Y120" s="279">
        <f>Y83-Y82</f>
        <v>0</v>
      </c>
      <c r="AA120" s="24"/>
      <c r="AB120" s="24"/>
      <c r="AC120" s="24"/>
    </row>
    <row r="121" spans="1:29">
      <c r="A121" s="24"/>
      <c r="B121" s="24"/>
      <c r="C121" s="24" t="s">
        <v>648</v>
      </c>
      <c r="D121" s="24"/>
      <c r="E121" s="278">
        <f t="shared" si="30"/>
        <v>0</v>
      </c>
      <c r="F121" s="278">
        <f t="shared" si="30"/>
        <v>0</v>
      </c>
      <c r="G121" s="278">
        <f t="shared" si="30"/>
        <v>0</v>
      </c>
      <c r="H121" s="278">
        <f t="shared" si="30"/>
        <v>0</v>
      </c>
      <c r="I121" s="278">
        <f t="shared" si="30"/>
        <v>0</v>
      </c>
      <c r="J121" s="278">
        <f t="shared" si="30"/>
        <v>0</v>
      </c>
      <c r="K121" s="278">
        <f t="shared" si="30"/>
        <v>0</v>
      </c>
      <c r="L121" s="278">
        <f t="shared" si="30"/>
        <v>0</v>
      </c>
      <c r="M121" s="278">
        <f t="shared" si="30"/>
        <v>0</v>
      </c>
      <c r="N121" s="278">
        <f t="shared" si="30"/>
        <v>0</v>
      </c>
      <c r="O121" s="278">
        <f t="shared" si="30"/>
        <v>0</v>
      </c>
      <c r="P121" s="278">
        <f t="shared" si="30"/>
        <v>0</v>
      </c>
      <c r="Q121" s="278">
        <f t="shared" si="30"/>
        <v>0</v>
      </c>
      <c r="R121" s="278">
        <f t="shared" si="30"/>
        <v>0</v>
      </c>
      <c r="S121" s="278">
        <f t="shared" si="30"/>
        <v>0</v>
      </c>
      <c r="T121" s="278">
        <f t="shared" si="30"/>
        <v>0</v>
      </c>
      <c r="U121" s="278">
        <f t="shared" si="30"/>
        <v>0</v>
      </c>
      <c r="V121" s="278">
        <f t="shared" si="30"/>
        <v>0</v>
      </c>
      <c r="W121" s="278">
        <f t="shared" si="30"/>
        <v>0</v>
      </c>
      <c r="X121" s="278">
        <f t="shared" si="30"/>
        <v>0</v>
      </c>
      <c r="Y121" s="279">
        <f>Y84-Y83</f>
        <v>0</v>
      </c>
      <c r="AA121" s="24"/>
      <c r="AB121" s="24"/>
      <c r="AC121" s="24"/>
    </row>
    <row r="122" spans="1:29">
      <c r="A122" s="24"/>
      <c r="B122" s="24"/>
      <c r="C122" s="24" t="s">
        <v>649</v>
      </c>
      <c r="D122" s="24"/>
      <c r="E122" s="278">
        <f t="shared" si="30"/>
        <v>0</v>
      </c>
      <c r="F122" s="278">
        <f t="shared" si="30"/>
        <v>0</v>
      </c>
      <c r="G122" s="278">
        <f t="shared" si="30"/>
        <v>0</v>
      </c>
      <c r="H122" s="278">
        <f t="shared" si="30"/>
        <v>0</v>
      </c>
      <c r="I122" s="278">
        <f t="shared" si="30"/>
        <v>0</v>
      </c>
      <c r="J122" s="278">
        <f t="shared" si="30"/>
        <v>0</v>
      </c>
      <c r="K122" s="278">
        <f t="shared" si="30"/>
        <v>0</v>
      </c>
      <c r="L122" s="278">
        <f t="shared" si="30"/>
        <v>0</v>
      </c>
      <c r="M122" s="278">
        <f t="shared" si="30"/>
        <v>0</v>
      </c>
      <c r="N122" s="278">
        <f t="shared" si="30"/>
        <v>0</v>
      </c>
      <c r="O122" s="278">
        <f t="shared" si="30"/>
        <v>0</v>
      </c>
      <c r="P122" s="278">
        <f t="shared" si="30"/>
        <v>0</v>
      </c>
      <c r="Q122" s="278">
        <f t="shared" si="30"/>
        <v>0</v>
      </c>
      <c r="R122" s="278">
        <f t="shared" si="30"/>
        <v>0</v>
      </c>
      <c r="S122" s="278">
        <f t="shared" si="30"/>
        <v>0</v>
      </c>
      <c r="T122" s="278">
        <f t="shared" si="30"/>
        <v>0</v>
      </c>
      <c r="U122" s="278">
        <f t="shared" si="30"/>
        <v>0</v>
      </c>
      <c r="V122" s="278">
        <f t="shared" si="30"/>
        <v>0</v>
      </c>
      <c r="W122" s="278">
        <f t="shared" si="30"/>
        <v>0</v>
      </c>
      <c r="X122" s="278">
        <f t="shared" si="30"/>
        <v>0</v>
      </c>
      <c r="Y122" s="279">
        <f>Y85-Y84</f>
        <v>0</v>
      </c>
      <c r="AA122" s="24"/>
      <c r="AB122" s="24"/>
      <c r="AC122" s="24"/>
    </row>
    <row r="123" spans="1:29">
      <c r="A123" s="24"/>
      <c r="B123" s="24"/>
      <c r="C123" s="24" t="s">
        <v>650</v>
      </c>
      <c r="D123" s="24"/>
      <c r="E123" s="278">
        <f t="shared" si="30"/>
        <v>0</v>
      </c>
      <c r="F123" s="278">
        <f t="shared" si="30"/>
        <v>0</v>
      </c>
      <c r="G123" s="278">
        <f t="shared" si="30"/>
        <v>0</v>
      </c>
      <c r="H123" s="278">
        <f t="shared" si="30"/>
        <v>0</v>
      </c>
      <c r="I123" s="278">
        <f t="shared" si="30"/>
        <v>0</v>
      </c>
      <c r="J123" s="278">
        <f t="shared" si="30"/>
        <v>0</v>
      </c>
      <c r="K123" s="278">
        <f t="shared" si="30"/>
        <v>0</v>
      </c>
      <c r="L123" s="278">
        <f t="shared" si="30"/>
        <v>0</v>
      </c>
      <c r="M123" s="278">
        <f t="shared" si="30"/>
        <v>0</v>
      </c>
      <c r="N123" s="278">
        <f t="shared" si="30"/>
        <v>0</v>
      </c>
      <c r="O123" s="278">
        <f t="shared" si="30"/>
        <v>0</v>
      </c>
      <c r="P123" s="278">
        <f t="shared" si="30"/>
        <v>0</v>
      </c>
      <c r="Q123" s="278">
        <f t="shared" si="30"/>
        <v>0</v>
      </c>
      <c r="R123" s="278">
        <f t="shared" si="30"/>
        <v>0</v>
      </c>
      <c r="S123" s="278">
        <f t="shared" si="30"/>
        <v>0</v>
      </c>
      <c r="T123" s="278">
        <f t="shared" si="30"/>
        <v>0</v>
      </c>
      <c r="U123" s="278">
        <f t="shared" si="30"/>
        <v>0</v>
      </c>
      <c r="V123" s="278">
        <f t="shared" si="30"/>
        <v>0</v>
      </c>
      <c r="W123" s="278">
        <f t="shared" si="30"/>
        <v>0</v>
      </c>
      <c r="X123" s="278">
        <f t="shared" si="30"/>
        <v>0</v>
      </c>
      <c r="Y123" s="279">
        <f>Y86-Y85</f>
        <v>0</v>
      </c>
      <c r="AA123" s="24"/>
      <c r="AB123" s="24"/>
      <c r="AC123" s="24"/>
    </row>
    <row r="124" spans="1:29">
      <c r="A124" s="24"/>
      <c r="B124" s="24"/>
      <c r="C124" s="24" t="s">
        <v>651</v>
      </c>
      <c r="D124" s="24"/>
      <c r="E124" s="278">
        <f t="shared" si="30"/>
        <v>0</v>
      </c>
      <c r="F124" s="278">
        <f t="shared" si="30"/>
        <v>0</v>
      </c>
      <c r="G124" s="278">
        <f t="shared" si="30"/>
        <v>0</v>
      </c>
      <c r="H124" s="278">
        <f t="shared" si="30"/>
        <v>0</v>
      </c>
      <c r="I124" s="278">
        <f t="shared" si="30"/>
        <v>0</v>
      </c>
      <c r="J124" s="278">
        <f t="shared" si="30"/>
        <v>0</v>
      </c>
      <c r="K124" s="278">
        <f t="shared" si="30"/>
        <v>0</v>
      </c>
      <c r="L124" s="278">
        <f t="shared" si="30"/>
        <v>0</v>
      </c>
      <c r="M124" s="278">
        <f t="shared" si="30"/>
        <v>0</v>
      </c>
      <c r="N124" s="278">
        <f t="shared" si="30"/>
        <v>0</v>
      </c>
      <c r="O124" s="278">
        <f t="shared" si="30"/>
        <v>0</v>
      </c>
      <c r="P124" s="278">
        <f t="shared" si="30"/>
        <v>0</v>
      </c>
      <c r="Q124" s="278">
        <f t="shared" si="30"/>
        <v>0</v>
      </c>
      <c r="R124" s="278">
        <f t="shared" si="30"/>
        <v>0</v>
      </c>
      <c r="S124" s="278">
        <f t="shared" si="30"/>
        <v>0</v>
      </c>
      <c r="T124" s="278">
        <f t="shared" si="30"/>
        <v>0</v>
      </c>
      <c r="U124" s="278">
        <f t="shared" si="30"/>
        <v>0</v>
      </c>
      <c r="V124" s="278">
        <f t="shared" si="30"/>
        <v>0</v>
      </c>
      <c r="W124" s="278">
        <f t="shared" si="30"/>
        <v>0</v>
      </c>
      <c r="X124" s="278">
        <f t="shared" si="30"/>
        <v>0</v>
      </c>
      <c r="Y124" s="279">
        <f>Y87-Y86</f>
        <v>0</v>
      </c>
      <c r="AA124" s="24"/>
      <c r="AB124" s="24"/>
      <c r="AC124" s="24"/>
    </row>
    <row r="125" spans="1:29">
      <c r="A125" s="24"/>
      <c r="B125" s="24"/>
      <c r="C125" s="24" t="s">
        <v>652</v>
      </c>
      <c r="D125" s="24"/>
      <c r="E125" s="278">
        <f t="shared" si="30"/>
        <v>0</v>
      </c>
      <c r="F125" s="278">
        <f t="shared" si="30"/>
        <v>0</v>
      </c>
      <c r="G125" s="278">
        <f t="shared" si="30"/>
        <v>0</v>
      </c>
      <c r="H125" s="278">
        <f t="shared" si="30"/>
        <v>0</v>
      </c>
      <c r="I125" s="278">
        <f t="shared" si="30"/>
        <v>0</v>
      </c>
      <c r="J125" s="278">
        <f t="shared" si="30"/>
        <v>0</v>
      </c>
      <c r="K125" s="278">
        <f t="shared" si="30"/>
        <v>0</v>
      </c>
      <c r="L125" s="278">
        <f t="shared" si="30"/>
        <v>0</v>
      </c>
      <c r="M125" s="278">
        <f t="shared" si="30"/>
        <v>0</v>
      </c>
      <c r="N125" s="278">
        <f t="shared" si="30"/>
        <v>0</v>
      </c>
      <c r="O125" s="278">
        <f t="shared" si="30"/>
        <v>0</v>
      </c>
      <c r="P125" s="278">
        <f t="shared" si="30"/>
        <v>0</v>
      </c>
      <c r="Q125" s="278">
        <f t="shared" si="30"/>
        <v>0</v>
      </c>
      <c r="R125" s="278">
        <f t="shared" si="30"/>
        <v>0</v>
      </c>
      <c r="S125" s="278">
        <f t="shared" si="30"/>
        <v>0</v>
      </c>
      <c r="T125" s="278">
        <f t="shared" si="30"/>
        <v>0</v>
      </c>
      <c r="U125" s="278">
        <f t="shared" si="30"/>
        <v>0</v>
      </c>
      <c r="V125" s="278">
        <f t="shared" si="30"/>
        <v>0</v>
      </c>
      <c r="W125" s="278">
        <f t="shared" si="30"/>
        <v>0</v>
      </c>
      <c r="X125" s="278">
        <f t="shared" si="30"/>
        <v>0</v>
      </c>
      <c r="Y125" s="279">
        <f>Y88-Y87</f>
        <v>0</v>
      </c>
      <c r="AA125" s="24"/>
      <c r="AB125" s="24"/>
      <c r="AC125" s="24"/>
    </row>
    <row r="126" spans="1:29">
      <c r="A126" s="24"/>
      <c r="B126" s="24"/>
      <c r="C126" s="24" t="s">
        <v>653</v>
      </c>
      <c r="D126" s="24"/>
      <c r="E126" s="278">
        <f t="shared" si="30"/>
        <v>0</v>
      </c>
      <c r="F126" s="278">
        <f t="shared" si="30"/>
        <v>0</v>
      </c>
      <c r="G126" s="278">
        <f t="shared" si="30"/>
        <v>0</v>
      </c>
      <c r="H126" s="278">
        <f t="shared" si="30"/>
        <v>0</v>
      </c>
      <c r="I126" s="278">
        <f t="shared" si="30"/>
        <v>0</v>
      </c>
      <c r="J126" s="278">
        <f t="shared" si="30"/>
        <v>0</v>
      </c>
      <c r="K126" s="278">
        <f t="shared" si="30"/>
        <v>0</v>
      </c>
      <c r="L126" s="278">
        <f t="shared" si="30"/>
        <v>0</v>
      </c>
      <c r="M126" s="278">
        <f t="shared" si="30"/>
        <v>0</v>
      </c>
      <c r="N126" s="278">
        <f t="shared" si="30"/>
        <v>0</v>
      </c>
      <c r="O126" s="278">
        <f t="shared" si="30"/>
        <v>0</v>
      </c>
      <c r="P126" s="278">
        <f t="shared" si="30"/>
        <v>0</v>
      </c>
      <c r="Q126" s="278">
        <f t="shared" si="30"/>
        <v>0</v>
      </c>
      <c r="R126" s="278">
        <f t="shared" si="30"/>
        <v>0</v>
      </c>
      <c r="S126" s="278">
        <f t="shared" si="30"/>
        <v>0</v>
      </c>
      <c r="T126" s="278">
        <f t="shared" si="30"/>
        <v>0</v>
      </c>
      <c r="U126" s="278">
        <f t="shared" si="30"/>
        <v>0</v>
      </c>
      <c r="V126" s="278">
        <f t="shared" si="30"/>
        <v>0</v>
      </c>
      <c r="W126" s="278">
        <f t="shared" si="30"/>
        <v>0</v>
      </c>
      <c r="X126" s="278">
        <f t="shared" si="30"/>
        <v>0</v>
      </c>
      <c r="Y126" s="279">
        <f>Y89-Y88</f>
        <v>0</v>
      </c>
      <c r="AA126" s="24"/>
      <c r="AB126" s="24"/>
      <c r="AC126" s="24"/>
    </row>
    <row r="127" spans="1:29">
      <c r="A127" s="24"/>
      <c r="B127" s="24"/>
      <c r="C127" s="24" t="s">
        <v>654</v>
      </c>
      <c r="D127" s="24"/>
      <c r="E127" s="278">
        <f t="shared" si="30"/>
        <v>0</v>
      </c>
      <c r="F127" s="278">
        <f t="shared" si="30"/>
        <v>0</v>
      </c>
      <c r="G127" s="278">
        <f t="shared" si="30"/>
        <v>0</v>
      </c>
      <c r="H127" s="278">
        <f t="shared" si="30"/>
        <v>0</v>
      </c>
      <c r="I127" s="278">
        <f t="shared" si="30"/>
        <v>0</v>
      </c>
      <c r="J127" s="278">
        <f t="shared" si="30"/>
        <v>0</v>
      </c>
      <c r="K127" s="278">
        <f t="shared" si="30"/>
        <v>0</v>
      </c>
      <c r="L127" s="278">
        <f t="shared" si="30"/>
        <v>0</v>
      </c>
      <c r="M127" s="278">
        <f t="shared" si="30"/>
        <v>0</v>
      </c>
      <c r="N127" s="278">
        <f t="shared" si="30"/>
        <v>0</v>
      </c>
      <c r="O127" s="278">
        <f t="shared" si="30"/>
        <v>0</v>
      </c>
      <c r="P127" s="278">
        <f t="shared" si="30"/>
        <v>0</v>
      </c>
      <c r="Q127" s="278">
        <f t="shared" si="30"/>
        <v>0</v>
      </c>
      <c r="R127" s="278">
        <f t="shared" si="30"/>
        <v>0</v>
      </c>
      <c r="S127" s="278">
        <f t="shared" si="30"/>
        <v>0</v>
      </c>
      <c r="T127" s="278">
        <f t="shared" si="30"/>
        <v>0</v>
      </c>
      <c r="U127" s="278">
        <f t="shared" si="30"/>
        <v>0</v>
      </c>
      <c r="V127" s="278">
        <f t="shared" si="30"/>
        <v>0</v>
      </c>
      <c r="W127" s="278">
        <f t="shared" si="30"/>
        <v>0</v>
      </c>
      <c r="X127" s="278">
        <f t="shared" si="30"/>
        <v>0</v>
      </c>
      <c r="Y127" s="279">
        <f>Y90-Y89</f>
        <v>0</v>
      </c>
      <c r="AA127" s="24"/>
      <c r="AB127" s="24"/>
      <c r="AC127" s="24"/>
    </row>
    <row r="128" spans="1:29">
      <c r="A128" s="24"/>
      <c r="B128" s="24"/>
      <c r="C128" s="24" t="s">
        <v>655</v>
      </c>
      <c r="D128" s="24"/>
      <c r="E128" s="278">
        <f t="shared" si="30"/>
        <v>0</v>
      </c>
      <c r="F128" s="278">
        <f t="shared" si="30"/>
        <v>0</v>
      </c>
      <c r="G128" s="278">
        <f t="shared" si="30"/>
        <v>0</v>
      </c>
      <c r="H128" s="278">
        <f t="shared" si="30"/>
        <v>0</v>
      </c>
      <c r="I128" s="278">
        <f t="shared" si="30"/>
        <v>0</v>
      </c>
      <c r="J128" s="278">
        <f t="shared" si="30"/>
        <v>0</v>
      </c>
      <c r="K128" s="278">
        <f t="shared" si="30"/>
        <v>0</v>
      </c>
      <c r="L128" s="278">
        <f t="shared" si="30"/>
        <v>0</v>
      </c>
      <c r="M128" s="278">
        <f t="shared" si="30"/>
        <v>0</v>
      </c>
      <c r="N128" s="278">
        <f t="shared" si="30"/>
        <v>0</v>
      </c>
      <c r="O128" s="278">
        <f t="shared" si="30"/>
        <v>0</v>
      </c>
      <c r="P128" s="278">
        <f t="shared" si="30"/>
        <v>0</v>
      </c>
      <c r="Q128" s="278">
        <f t="shared" si="30"/>
        <v>0</v>
      </c>
      <c r="R128" s="278">
        <f t="shared" si="30"/>
        <v>0</v>
      </c>
      <c r="S128" s="278">
        <f t="shared" si="30"/>
        <v>0</v>
      </c>
      <c r="T128" s="278">
        <f t="shared" si="30"/>
        <v>0</v>
      </c>
      <c r="U128" s="278">
        <f t="shared" si="30"/>
        <v>0</v>
      </c>
      <c r="V128" s="278">
        <f t="shared" si="30"/>
        <v>0</v>
      </c>
      <c r="W128" s="278">
        <f t="shared" si="30"/>
        <v>0</v>
      </c>
      <c r="X128" s="278">
        <f t="shared" si="30"/>
        <v>0</v>
      </c>
      <c r="Y128" s="279">
        <f>Y91-Y90</f>
        <v>0</v>
      </c>
      <c r="AA128" s="24"/>
      <c r="AB128" s="24"/>
      <c r="AC128" s="24"/>
    </row>
    <row r="129" spans="1:29">
      <c r="A129" s="24"/>
      <c r="B129" s="24"/>
      <c r="C129" s="24" t="s">
        <v>656</v>
      </c>
      <c r="D129" s="24"/>
      <c r="E129" s="278">
        <f t="shared" si="30"/>
        <v>0</v>
      </c>
      <c r="F129" s="278">
        <f t="shared" si="30"/>
        <v>0</v>
      </c>
      <c r="G129" s="278">
        <f t="shared" si="30"/>
        <v>0</v>
      </c>
      <c r="H129" s="278">
        <f t="shared" ref="H129:Z144" si="31">H92-H91</f>
        <v>0</v>
      </c>
      <c r="I129" s="278">
        <f t="shared" si="31"/>
        <v>0</v>
      </c>
      <c r="J129" s="278">
        <f t="shared" si="31"/>
        <v>0</v>
      </c>
      <c r="K129" s="278">
        <f t="shared" si="31"/>
        <v>0</v>
      </c>
      <c r="L129" s="278">
        <f t="shared" si="31"/>
        <v>0</v>
      </c>
      <c r="M129" s="278">
        <f t="shared" si="31"/>
        <v>0</v>
      </c>
      <c r="N129" s="278">
        <f t="shared" si="31"/>
        <v>0</v>
      </c>
      <c r="O129" s="278">
        <f t="shared" si="31"/>
        <v>0</v>
      </c>
      <c r="P129" s="278">
        <f t="shared" si="31"/>
        <v>0</v>
      </c>
      <c r="Q129" s="278">
        <f t="shared" si="31"/>
        <v>0</v>
      </c>
      <c r="R129" s="278">
        <f t="shared" si="31"/>
        <v>0</v>
      </c>
      <c r="S129" s="278">
        <f t="shared" si="31"/>
        <v>0</v>
      </c>
      <c r="T129" s="278">
        <f t="shared" si="31"/>
        <v>0</v>
      </c>
      <c r="U129" s="278">
        <f t="shared" si="31"/>
        <v>0</v>
      </c>
      <c r="V129" s="278">
        <f t="shared" si="31"/>
        <v>0</v>
      </c>
      <c r="W129" s="278">
        <f t="shared" si="31"/>
        <v>0</v>
      </c>
      <c r="X129" s="278">
        <f t="shared" si="31"/>
        <v>0</v>
      </c>
      <c r="Y129" s="279">
        <f>Y92-Y91</f>
        <v>0</v>
      </c>
      <c r="AA129" s="24"/>
      <c r="AB129" s="24"/>
      <c r="AC129" s="24"/>
    </row>
    <row r="130" spans="1:29">
      <c r="A130" s="24"/>
      <c r="B130" s="24"/>
      <c r="C130" s="24" t="s">
        <v>657</v>
      </c>
      <c r="D130" s="24"/>
      <c r="E130" s="278">
        <f t="shared" ref="E130:X142" si="32">E93-E92</f>
        <v>0</v>
      </c>
      <c r="F130" s="278">
        <f t="shared" si="32"/>
        <v>0</v>
      </c>
      <c r="G130" s="278">
        <f t="shared" si="32"/>
        <v>0</v>
      </c>
      <c r="H130" s="278">
        <f t="shared" si="32"/>
        <v>0</v>
      </c>
      <c r="I130" s="278">
        <f t="shared" si="32"/>
        <v>0</v>
      </c>
      <c r="J130" s="278">
        <f t="shared" si="32"/>
        <v>0</v>
      </c>
      <c r="K130" s="278">
        <f t="shared" si="32"/>
        <v>0</v>
      </c>
      <c r="L130" s="278">
        <f t="shared" si="32"/>
        <v>0</v>
      </c>
      <c r="M130" s="278">
        <f t="shared" si="32"/>
        <v>0</v>
      </c>
      <c r="N130" s="278">
        <f t="shared" si="32"/>
        <v>0</v>
      </c>
      <c r="O130" s="278">
        <f t="shared" si="32"/>
        <v>0</v>
      </c>
      <c r="P130" s="278">
        <f t="shared" si="32"/>
        <v>0</v>
      </c>
      <c r="Q130" s="278">
        <f t="shared" si="32"/>
        <v>0</v>
      </c>
      <c r="R130" s="278">
        <f t="shared" si="32"/>
        <v>0</v>
      </c>
      <c r="S130" s="278">
        <f t="shared" si="32"/>
        <v>0</v>
      </c>
      <c r="T130" s="278">
        <f t="shared" si="32"/>
        <v>0</v>
      </c>
      <c r="U130" s="278">
        <f t="shared" si="32"/>
        <v>0</v>
      </c>
      <c r="V130" s="278">
        <f t="shared" si="32"/>
        <v>0</v>
      </c>
      <c r="W130" s="278">
        <f t="shared" si="32"/>
        <v>0</v>
      </c>
      <c r="X130" s="278">
        <f t="shared" si="32"/>
        <v>0</v>
      </c>
      <c r="Y130" s="279">
        <f>Y93-Y92</f>
        <v>0</v>
      </c>
      <c r="AA130" s="24"/>
      <c r="AB130" s="24"/>
      <c r="AC130" s="24"/>
    </row>
    <row r="131" spans="1:29">
      <c r="A131" s="24"/>
      <c r="B131" s="24"/>
      <c r="C131" s="24" t="s">
        <v>658</v>
      </c>
      <c r="D131" s="24"/>
      <c r="E131" s="278">
        <f t="shared" si="32"/>
        <v>0</v>
      </c>
      <c r="F131" s="278">
        <f t="shared" si="32"/>
        <v>0</v>
      </c>
      <c r="G131" s="278">
        <f t="shared" si="32"/>
        <v>0</v>
      </c>
      <c r="H131" s="278">
        <f t="shared" si="32"/>
        <v>0</v>
      </c>
      <c r="I131" s="278">
        <f t="shared" si="32"/>
        <v>0</v>
      </c>
      <c r="J131" s="278">
        <f t="shared" si="32"/>
        <v>0</v>
      </c>
      <c r="K131" s="278">
        <f t="shared" si="32"/>
        <v>0</v>
      </c>
      <c r="L131" s="278">
        <f t="shared" si="32"/>
        <v>0</v>
      </c>
      <c r="M131" s="278">
        <f t="shared" si="32"/>
        <v>0</v>
      </c>
      <c r="N131" s="278">
        <f t="shared" si="32"/>
        <v>0</v>
      </c>
      <c r="O131" s="278">
        <f t="shared" si="32"/>
        <v>0</v>
      </c>
      <c r="P131" s="278">
        <f t="shared" si="32"/>
        <v>0</v>
      </c>
      <c r="Q131" s="278">
        <f t="shared" si="32"/>
        <v>0</v>
      </c>
      <c r="R131" s="278">
        <f t="shared" si="32"/>
        <v>0</v>
      </c>
      <c r="S131" s="278">
        <f t="shared" si="32"/>
        <v>0</v>
      </c>
      <c r="T131" s="278">
        <f t="shared" si="32"/>
        <v>0</v>
      </c>
      <c r="U131" s="278">
        <f t="shared" si="32"/>
        <v>0</v>
      </c>
      <c r="V131" s="278">
        <f t="shared" si="32"/>
        <v>0</v>
      </c>
      <c r="W131" s="278">
        <f t="shared" si="32"/>
        <v>0</v>
      </c>
      <c r="X131" s="278">
        <f t="shared" si="32"/>
        <v>0</v>
      </c>
      <c r="Y131" s="279">
        <f>Y94-Y93</f>
        <v>0</v>
      </c>
      <c r="AA131" s="24"/>
      <c r="AB131" s="24"/>
      <c r="AC131" s="24"/>
    </row>
    <row r="132" spans="1:29">
      <c r="A132" s="24"/>
      <c r="B132" s="24"/>
      <c r="C132" s="24" t="s">
        <v>659</v>
      </c>
      <c r="D132" s="24"/>
      <c r="E132" s="278">
        <f t="shared" si="32"/>
        <v>0</v>
      </c>
      <c r="F132" s="278">
        <f t="shared" si="32"/>
        <v>0</v>
      </c>
      <c r="G132" s="278">
        <f t="shared" si="32"/>
        <v>0</v>
      </c>
      <c r="H132" s="278">
        <f t="shared" si="32"/>
        <v>0</v>
      </c>
      <c r="I132" s="278">
        <f t="shared" si="32"/>
        <v>0</v>
      </c>
      <c r="J132" s="278">
        <f t="shared" si="32"/>
        <v>0</v>
      </c>
      <c r="K132" s="278">
        <f t="shared" si="32"/>
        <v>0</v>
      </c>
      <c r="L132" s="278">
        <f t="shared" si="32"/>
        <v>0</v>
      </c>
      <c r="M132" s="278">
        <f t="shared" si="32"/>
        <v>0</v>
      </c>
      <c r="N132" s="278">
        <f t="shared" si="32"/>
        <v>0</v>
      </c>
      <c r="O132" s="278">
        <f t="shared" si="32"/>
        <v>0</v>
      </c>
      <c r="P132" s="278">
        <f t="shared" si="32"/>
        <v>0</v>
      </c>
      <c r="Q132" s="278">
        <f t="shared" si="32"/>
        <v>0</v>
      </c>
      <c r="R132" s="278">
        <f t="shared" si="32"/>
        <v>0</v>
      </c>
      <c r="S132" s="278">
        <f t="shared" si="32"/>
        <v>0</v>
      </c>
      <c r="T132" s="278">
        <f t="shared" si="32"/>
        <v>0</v>
      </c>
      <c r="U132" s="278">
        <f t="shared" si="32"/>
        <v>0</v>
      </c>
      <c r="V132" s="278">
        <f t="shared" si="32"/>
        <v>0</v>
      </c>
      <c r="W132" s="278">
        <f t="shared" si="32"/>
        <v>0</v>
      </c>
      <c r="X132" s="278">
        <f t="shared" si="32"/>
        <v>0</v>
      </c>
      <c r="Y132" s="279">
        <f>Y95-Y94</f>
        <v>0</v>
      </c>
      <c r="AA132" s="24"/>
      <c r="AB132" s="24"/>
      <c r="AC132" s="24"/>
    </row>
    <row r="133" spans="1:29">
      <c r="A133" s="24"/>
      <c r="B133" s="24"/>
      <c r="C133" s="24" t="s">
        <v>660</v>
      </c>
      <c r="D133" s="24"/>
      <c r="E133" s="278">
        <f t="shared" si="32"/>
        <v>0</v>
      </c>
      <c r="F133" s="278">
        <f t="shared" si="32"/>
        <v>0</v>
      </c>
      <c r="G133" s="278">
        <f t="shared" si="32"/>
        <v>0</v>
      </c>
      <c r="H133" s="278">
        <f t="shared" si="32"/>
        <v>0</v>
      </c>
      <c r="I133" s="278">
        <f t="shared" si="32"/>
        <v>0</v>
      </c>
      <c r="J133" s="278">
        <f t="shared" si="32"/>
        <v>0</v>
      </c>
      <c r="K133" s="278">
        <f t="shared" si="32"/>
        <v>0</v>
      </c>
      <c r="L133" s="278">
        <f t="shared" si="32"/>
        <v>0</v>
      </c>
      <c r="M133" s="278">
        <f t="shared" si="32"/>
        <v>0</v>
      </c>
      <c r="N133" s="278">
        <f t="shared" si="32"/>
        <v>0</v>
      </c>
      <c r="O133" s="278">
        <f t="shared" si="32"/>
        <v>0</v>
      </c>
      <c r="P133" s="278">
        <f t="shared" si="32"/>
        <v>0</v>
      </c>
      <c r="Q133" s="278">
        <f t="shared" si="32"/>
        <v>0</v>
      </c>
      <c r="R133" s="278">
        <f t="shared" si="32"/>
        <v>0</v>
      </c>
      <c r="S133" s="278">
        <f t="shared" si="32"/>
        <v>0</v>
      </c>
      <c r="T133" s="278">
        <f t="shared" si="32"/>
        <v>0</v>
      </c>
      <c r="U133" s="278">
        <f t="shared" si="32"/>
        <v>0</v>
      </c>
      <c r="V133" s="278">
        <f t="shared" si="32"/>
        <v>0</v>
      </c>
      <c r="W133" s="278">
        <f t="shared" si="32"/>
        <v>0</v>
      </c>
      <c r="X133" s="278">
        <f t="shared" si="32"/>
        <v>0</v>
      </c>
      <c r="Y133" s="279">
        <f>Y96-Y95</f>
        <v>0</v>
      </c>
      <c r="AA133" s="24"/>
      <c r="AB133" s="24"/>
      <c r="AC133" s="24"/>
    </row>
    <row r="134" spans="1:29">
      <c r="A134" s="24"/>
      <c r="B134" s="24"/>
      <c r="C134" s="24" t="s">
        <v>661</v>
      </c>
      <c r="D134" s="24"/>
      <c r="E134" s="278">
        <f t="shared" si="32"/>
        <v>0</v>
      </c>
      <c r="F134" s="278">
        <f t="shared" si="32"/>
        <v>0</v>
      </c>
      <c r="G134" s="278">
        <f t="shared" si="32"/>
        <v>0</v>
      </c>
      <c r="H134" s="278">
        <f t="shared" si="32"/>
        <v>0</v>
      </c>
      <c r="I134" s="278">
        <f t="shared" si="32"/>
        <v>0</v>
      </c>
      <c r="J134" s="278">
        <f t="shared" si="32"/>
        <v>0</v>
      </c>
      <c r="K134" s="278">
        <f t="shared" si="32"/>
        <v>0</v>
      </c>
      <c r="L134" s="278">
        <f t="shared" si="32"/>
        <v>0</v>
      </c>
      <c r="M134" s="278">
        <f t="shared" si="32"/>
        <v>0</v>
      </c>
      <c r="N134" s="278">
        <f t="shared" si="32"/>
        <v>0</v>
      </c>
      <c r="O134" s="278">
        <f t="shared" si="32"/>
        <v>0</v>
      </c>
      <c r="P134" s="278">
        <f t="shared" si="32"/>
        <v>0</v>
      </c>
      <c r="Q134" s="278">
        <f t="shared" si="32"/>
        <v>0</v>
      </c>
      <c r="R134" s="278">
        <f t="shared" si="32"/>
        <v>0</v>
      </c>
      <c r="S134" s="278">
        <f t="shared" si="32"/>
        <v>0</v>
      </c>
      <c r="T134" s="278">
        <f t="shared" si="32"/>
        <v>0</v>
      </c>
      <c r="U134" s="278">
        <f t="shared" si="32"/>
        <v>0</v>
      </c>
      <c r="V134" s="278">
        <f t="shared" si="32"/>
        <v>0</v>
      </c>
      <c r="W134" s="278">
        <f t="shared" si="32"/>
        <v>0</v>
      </c>
      <c r="X134" s="278">
        <f t="shared" si="32"/>
        <v>0</v>
      </c>
      <c r="Y134" s="279">
        <f>Y97-Y96</f>
        <v>0</v>
      </c>
      <c r="AA134" s="24"/>
      <c r="AB134" s="24"/>
      <c r="AC134" s="24"/>
    </row>
    <row r="135" spans="1:29">
      <c r="A135" s="24"/>
      <c r="B135" s="24"/>
      <c r="C135" s="24" t="s">
        <v>662</v>
      </c>
      <c r="D135" s="24"/>
      <c r="E135" s="278">
        <f t="shared" si="32"/>
        <v>0</v>
      </c>
      <c r="F135" s="278">
        <f t="shared" si="32"/>
        <v>0</v>
      </c>
      <c r="G135" s="278">
        <f t="shared" si="32"/>
        <v>0</v>
      </c>
      <c r="H135" s="278">
        <f t="shared" si="32"/>
        <v>0</v>
      </c>
      <c r="I135" s="278">
        <f t="shared" si="32"/>
        <v>0</v>
      </c>
      <c r="J135" s="278">
        <f t="shared" si="32"/>
        <v>0</v>
      </c>
      <c r="K135" s="278">
        <f t="shared" si="32"/>
        <v>0</v>
      </c>
      <c r="L135" s="278">
        <f t="shared" si="32"/>
        <v>0</v>
      </c>
      <c r="M135" s="278">
        <f t="shared" si="32"/>
        <v>0</v>
      </c>
      <c r="N135" s="278">
        <f t="shared" si="32"/>
        <v>0</v>
      </c>
      <c r="O135" s="278">
        <f t="shared" si="32"/>
        <v>0</v>
      </c>
      <c r="P135" s="278">
        <f t="shared" si="32"/>
        <v>0</v>
      </c>
      <c r="Q135" s="278">
        <f t="shared" si="32"/>
        <v>0</v>
      </c>
      <c r="R135" s="278">
        <f t="shared" si="32"/>
        <v>0</v>
      </c>
      <c r="S135" s="278">
        <f t="shared" si="32"/>
        <v>0</v>
      </c>
      <c r="T135" s="278">
        <f t="shared" si="32"/>
        <v>0</v>
      </c>
      <c r="U135" s="278">
        <f t="shared" si="32"/>
        <v>0</v>
      </c>
      <c r="V135" s="278">
        <f t="shared" si="32"/>
        <v>0</v>
      </c>
      <c r="W135" s="278">
        <f t="shared" si="32"/>
        <v>0</v>
      </c>
      <c r="X135" s="278">
        <f t="shared" si="32"/>
        <v>0</v>
      </c>
      <c r="Y135" s="279">
        <f>Y98-Y97</f>
        <v>0</v>
      </c>
      <c r="AA135" s="24"/>
      <c r="AB135" s="24"/>
      <c r="AC135" s="24"/>
    </row>
    <row r="136" spans="1:29">
      <c r="A136" s="24"/>
      <c r="B136" s="24"/>
      <c r="C136" s="24" t="s">
        <v>663</v>
      </c>
      <c r="D136" s="24"/>
      <c r="E136" s="278">
        <f t="shared" si="32"/>
        <v>0</v>
      </c>
      <c r="F136" s="278">
        <f t="shared" si="32"/>
        <v>0</v>
      </c>
      <c r="G136" s="278">
        <f t="shared" si="32"/>
        <v>0</v>
      </c>
      <c r="H136" s="278">
        <f t="shared" si="32"/>
        <v>0</v>
      </c>
      <c r="I136" s="278">
        <f t="shared" si="32"/>
        <v>0</v>
      </c>
      <c r="J136" s="278">
        <f t="shared" si="32"/>
        <v>0</v>
      </c>
      <c r="K136" s="278">
        <f t="shared" si="32"/>
        <v>0</v>
      </c>
      <c r="L136" s="278">
        <f t="shared" si="32"/>
        <v>0</v>
      </c>
      <c r="M136" s="278">
        <f t="shared" si="32"/>
        <v>0</v>
      </c>
      <c r="N136" s="278">
        <f t="shared" si="32"/>
        <v>0</v>
      </c>
      <c r="O136" s="278">
        <f t="shared" si="32"/>
        <v>0</v>
      </c>
      <c r="P136" s="278">
        <f t="shared" si="32"/>
        <v>0</v>
      </c>
      <c r="Q136" s="278">
        <f t="shared" si="32"/>
        <v>0</v>
      </c>
      <c r="R136" s="278">
        <f t="shared" si="32"/>
        <v>0</v>
      </c>
      <c r="S136" s="278">
        <f t="shared" si="32"/>
        <v>0</v>
      </c>
      <c r="T136" s="278">
        <f t="shared" si="32"/>
        <v>0</v>
      </c>
      <c r="U136" s="278">
        <f t="shared" si="32"/>
        <v>0</v>
      </c>
      <c r="V136" s="278">
        <f t="shared" si="32"/>
        <v>0</v>
      </c>
      <c r="W136" s="278">
        <f t="shared" si="32"/>
        <v>0</v>
      </c>
      <c r="X136" s="278">
        <f t="shared" si="32"/>
        <v>0</v>
      </c>
      <c r="Y136" s="279">
        <f>Y99-Y98</f>
        <v>0</v>
      </c>
      <c r="AA136" s="24"/>
      <c r="AB136" s="24"/>
      <c r="AC136" s="24"/>
    </row>
    <row r="137" spans="1:29">
      <c r="A137" s="24"/>
      <c r="B137" s="24"/>
      <c r="C137" s="24" t="s">
        <v>756</v>
      </c>
      <c r="D137" s="24"/>
      <c r="E137" s="278">
        <f t="shared" si="32"/>
        <v>0</v>
      </c>
      <c r="F137" s="278">
        <f t="shared" si="32"/>
        <v>0</v>
      </c>
      <c r="G137" s="278">
        <f t="shared" si="32"/>
        <v>0</v>
      </c>
      <c r="H137" s="278">
        <f t="shared" si="32"/>
        <v>0</v>
      </c>
      <c r="I137" s="278">
        <f t="shared" si="32"/>
        <v>0</v>
      </c>
      <c r="J137" s="278">
        <f t="shared" si="32"/>
        <v>0</v>
      </c>
      <c r="K137" s="278">
        <f t="shared" si="32"/>
        <v>0</v>
      </c>
      <c r="L137" s="278">
        <f t="shared" si="32"/>
        <v>0</v>
      </c>
      <c r="M137" s="278">
        <f t="shared" si="32"/>
        <v>0</v>
      </c>
      <c r="N137" s="278">
        <f t="shared" si="32"/>
        <v>0</v>
      </c>
      <c r="O137" s="278">
        <f t="shared" si="32"/>
        <v>0</v>
      </c>
      <c r="P137" s="278">
        <f t="shared" si="32"/>
        <v>0</v>
      </c>
      <c r="Q137" s="278">
        <f t="shared" si="32"/>
        <v>0</v>
      </c>
      <c r="R137" s="278">
        <f t="shared" si="32"/>
        <v>0</v>
      </c>
      <c r="S137" s="278">
        <f t="shared" si="32"/>
        <v>0</v>
      </c>
      <c r="T137" s="278">
        <f t="shared" si="32"/>
        <v>0</v>
      </c>
      <c r="U137" s="278">
        <f t="shared" si="32"/>
        <v>0</v>
      </c>
      <c r="V137" s="278">
        <f t="shared" si="32"/>
        <v>0</v>
      </c>
      <c r="W137" s="278">
        <f t="shared" si="32"/>
        <v>0</v>
      </c>
      <c r="X137" s="278">
        <f t="shared" si="32"/>
        <v>0</v>
      </c>
      <c r="Y137" s="279">
        <f>Y100-Y99</f>
        <v>0</v>
      </c>
      <c r="AA137" s="24"/>
      <c r="AB137" s="24"/>
      <c r="AC137" s="24"/>
    </row>
    <row r="138" spans="1:29">
      <c r="A138" s="24"/>
      <c r="B138" s="24"/>
      <c r="C138" s="24" t="s">
        <v>759</v>
      </c>
      <c r="D138" s="24"/>
      <c r="E138" s="278">
        <f t="shared" si="32"/>
        <v>0</v>
      </c>
      <c r="F138" s="278">
        <f t="shared" si="32"/>
        <v>0</v>
      </c>
      <c r="G138" s="278">
        <f t="shared" si="32"/>
        <v>0</v>
      </c>
      <c r="H138" s="278">
        <f t="shared" si="32"/>
        <v>0</v>
      </c>
      <c r="I138" s="278">
        <f t="shared" si="32"/>
        <v>0</v>
      </c>
      <c r="J138" s="278">
        <f t="shared" si="32"/>
        <v>0</v>
      </c>
      <c r="K138" s="278">
        <f t="shared" si="32"/>
        <v>0</v>
      </c>
      <c r="L138" s="278">
        <f t="shared" si="32"/>
        <v>0</v>
      </c>
      <c r="M138" s="278">
        <f t="shared" si="32"/>
        <v>0</v>
      </c>
      <c r="N138" s="278">
        <f t="shared" si="32"/>
        <v>0</v>
      </c>
      <c r="O138" s="278">
        <f t="shared" si="32"/>
        <v>0</v>
      </c>
      <c r="P138" s="278">
        <f t="shared" si="32"/>
        <v>0</v>
      </c>
      <c r="Q138" s="278">
        <f t="shared" si="32"/>
        <v>0</v>
      </c>
      <c r="R138" s="278">
        <f t="shared" si="32"/>
        <v>0</v>
      </c>
      <c r="S138" s="278">
        <f t="shared" si="32"/>
        <v>0</v>
      </c>
      <c r="T138" s="278">
        <f t="shared" si="32"/>
        <v>0</v>
      </c>
      <c r="U138" s="278">
        <f t="shared" si="32"/>
        <v>0</v>
      </c>
      <c r="V138" s="278">
        <f t="shared" si="32"/>
        <v>0</v>
      </c>
      <c r="W138" s="278">
        <f t="shared" si="32"/>
        <v>0</v>
      </c>
      <c r="X138" s="278">
        <f t="shared" si="32"/>
        <v>0</v>
      </c>
      <c r="Y138" s="279">
        <f>Y101-Y100</f>
        <v>0</v>
      </c>
      <c r="AA138" s="24"/>
      <c r="AB138" s="24"/>
      <c r="AC138" s="24"/>
    </row>
    <row r="139" spans="1:29">
      <c r="A139" s="24"/>
      <c r="B139" s="24"/>
      <c r="C139" s="24" t="s">
        <v>762</v>
      </c>
      <c r="D139" s="24"/>
      <c r="E139" s="278">
        <f t="shared" si="32"/>
        <v>0</v>
      </c>
      <c r="F139" s="278">
        <f t="shared" si="32"/>
        <v>0</v>
      </c>
      <c r="G139" s="278">
        <f t="shared" si="32"/>
        <v>0</v>
      </c>
      <c r="H139" s="278">
        <f t="shared" si="32"/>
        <v>0</v>
      </c>
      <c r="I139" s="278">
        <f t="shared" si="32"/>
        <v>0</v>
      </c>
      <c r="J139" s="278">
        <f t="shared" si="32"/>
        <v>0</v>
      </c>
      <c r="K139" s="278">
        <f t="shared" si="32"/>
        <v>0</v>
      </c>
      <c r="L139" s="278">
        <f t="shared" si="32"/>
        <v>0</v>
      </c>
      <c r="M139" s="278">
        <f t="shared" si="32"/>
        <v>0</v>
      </c>
      <c r="N139" s="278">
        <f t="shared" si="32"/>
        <v>0</v>
      </c>
      <c r="O139" s="278">
        <f t="shared" si="32"/>
        <v>0</v>
      </c>
      <c r="P139" s="278">
        <f t="shared" si="32"/>
        <v>0</v>
      </c>
      <c r="Q139" s="278">
        <f t="shared" si="32"/>
        <v>0</v>
      </c>
      <c r="R139" s="278">
        <f t="shared" si="32"/>
        <v>0</v>
      </c>
      <c r="S139" s="278">
        <f t="shared" si="32"/>
        <v>0</v>
      </c>
      <c r="T139" s="278">
        <f t="shared" si="32"/>
        <v>0</v>
      </c>
      <c r="U139" s="278">
        <f t="shared" si="32"/>
        <v>0</v>
      </c>
      <c r="V139" s="278">
        <f t="shared" si="32"/>
        <v>0</v>
      </c>
      <c r="W139" s="278">
        <f t="shared" si="32"/>
        <v>0</v>
      </c>
      <c r="X139" s="278">
        <f t="shared" si="32"/>
        <v>0</v>
      </c>
      <c r="Y139" s="279">
        <f>Y102-Y101</f>
        <v>0</v>
      </c>
      <c r="AA139" s="24"/>
      <c r="AB139" s="24"/>
      <c r="AC139" s="24"/>
    </row>
    <row r="140" spans="1:29">
      <c r="A140" s="24"/>
      <c r="B140" s="24"/>
      <c r="C140" s="24" t="s">
        <v>765</v>
      </c>
      <c r="D140" s="24"/>
      <c r="E140" s="278">
        <f t="shared" si="32"/>
        <v>0</v>
      </c>
      <c r="F140" s="278">
        <f t="shared" si="32"/>
        <v>0</v>
      </c>
      <c r="G140" s="278">
        <f t="shared" si="32"/>
        <v>0</v>
      </c>
      <c r="H140" s="278">
        <f t="shared" si="32"/>
        <v>0</v>
      </c>
      <c r="I140" s="278">
        <f t="shared" si="32"/>
        <v>0</v>
      </c>
      <c r="J140" s="278">
        <f t="shared" si="32"/>
        <v>0</v>
      </c>
      <c r="K140" s="278">
        <f t="shared" si="32"/>
        <v>0</v>
      </c>
      <c r="L140" s="278">
        <f t="shared" si="32"/>
        <v>0</v>
      </c>
      <c r="M140" s="278">
        <f t="shared" si="32"/>
        <v>0</v>
      </c>
      <c r="N140" s="278">
        <f t="shared" si="32"/>
        <v>0</v>
      </c>
      <c r="O140" s="278">
        <f t="shared" si="32"/>
        <v>0</v>
      </c>
      <c r="P140" s="278">
        <f t="shared" si="32"/>
        <v>0</v>
      </c>
      <c r="Q140" s="278">
        <f t="shared" si="32"/>
        <v>0</v>
      </c>
      <c r="R140" s="278">
        <f t="shared" si="32"/>
        <v>0</v>
      </c>
      <c r="S140" s="278">
        <f t="shared" si="32"/>
        <v>0</v>
      </c>
      <c r="T140" s="278">
        <f t="shared" si="32"/>
        <v>0</v>
      </c>
      <c r="U140" s="278">
        <f t="shared" si="32"/>
        <v>0</v>
      </c>
      <c r="V140" s="278">
        <f t="shared" si="32"/>
        <v>0</v>
      </c>
      <c r="W140" s="278">
        <f t="shared" si="32"/>
        <v>0</v>
      </c>
      <c r="X140" s="278">
        <f t="shared" si="32"/>
        <v>0</v>
      </c>
      <c r="Y140" s="279">
        <f>Y103-Y102</f>
        <v>0</v>
      </c>
      <c r="AA140" s="24"/>
      <c r="AB140" s="24"/>
      <c r="AC140" s="24"/>
    </row>
    <row r="141" spans="1:29">
      <c r="A141" s="24"/>
      <c r="B141" s="24"/>
      <c r="C141" s="24" t="s">
        <v>768</v>
      </c>
      <c r="D141" s="24"/>
      <c r="E141" s="278">
        <f t="shared" si="32"/>
        <v>0</v>
      </c>
      <c r="F141" s="278">
        <f t="shared" si="32"/>
        <v>0</v>
      </c>
      <c r="G141" s="278">
        <f t="shared" si="32"/>
        <v>0</v>
      </c>
      <c r="H141" s="278">
        <f t="shared" si="32"/>
        <v>0</v>
      </c>
      <c r="I141" s="278">
        <f t="shared" si="32"/>
        <v>0</v>
      </c>
      <c r="J141" s="278">
        <f t="shared" si="32"/>
        <v>0</v>
      </c>
      <c r="K141" s="278">
        <f t="shared" si="32"/>
        <v>0</v>
      </c>
      <c r="L141" s="278">
        <f t="shared" si="32"/>
        <v>0</v>
      </c>
      <c r="M141" s="278">
        <f t="shared" si="32"/>
        <v>0</v>
      </c>
      <c r="N141" s="278">
        <f t="shared" si="32"/>
        <v>0</v>
      </c>
      <c r="O141" s="278">
        <f t="shared" si="32"/>
        <v>0</v>
      </c>
      <c r="P141" s="278">
        <f t="shared" si="32"/>
        <v>0</v>
      </c>
      <c r="Q141" s="278">
        <f t="shared" si="32"/>
        <v>0</v>
      </c>
      <c r="R141" s="278">
        <f t="shared" si="32"/>
        <v>0</v>
      </c>
      <c r="S141" s="278">
        <f t="shared" si="32"/>
        <v>0</v>
      </c>
      <c r="T141" s="278">
        <f t="shared" si="32"/>
        <v>0</v>
      </c>
      <c r="U141" s="278">
        <f t="shared" si="32"/>
        <v>0</v>
      </c>
      <c r="V141" s="278">
        <f t="shared" si="32"/>
        <v>0</v>
      </c>
      <c r="W141" s="278">
        <f t="shared" si="32"/>
        <v>0</v>
      </c>
      <c r="X141" s="278">
        <f t="shared" si="32"/>
        <v>0</v>
      </c>
      <c r="Y141" s="279">
        <f>Y104-Y103</f>
        <v>0</v>
      </c>
      <c r="AA141" s="24"/>
      <c r="AB141" s="24"/>
      <c r="AC141" s="24"/>
    </row>
    <row r="142" spans="1:29">
      <c r="A142" s="24"/>
      <c r="B142" s="24"/>
      <c r="C142" s="24" t="s">
        <v>771</v>
      </c>
      <c r="D142" s="24"/>
      <c r="E142" s="278">
        <f t="shared" si="32"/>
        <v>0</v>
      </c>
      <c r="F142" s="278">
        <f t="shared" si="32"/>
        <v>0</v>
      </c>
      <c r="G142" s="278">
        <f t="shared" si="32"/>
        <v>0</v>
      </c>
      <c r="H142" s="278">
        <f t="shared" si="32"/>
        <v>0</v>
      </c>
      <c r="I142" s="278">
        <f t="shared" si="32"/>
        <v>0</v>
      </c>
      <c r="J142" s="278">
        <f t="shared" si="32"/>
        <v>0</v>
      </c>
      <c r="K142" s="278">
        <f t="shared" si="32"/>
        <v>0</v>
      </c>
      <c r="L142" s="278">
        <f t="shared" si="32"/>
        <v>0</v>
      </c>
      <c r="M142" s="278">
        <f t="shared" si="32"/>
        <v>0</v>
      </c>
      <c r="N142" s="278">
        <f t="shared" si="32"/>
        <v>0</v>
      </c>
      <c r="O142" s="278">
        <f t="shared" si="32"/>
        <v>0</v>
      </c>
      <c r="P142" s="278">
        <f t="shared" si="32"/>
        <v>0</v>
      </c>
      <c r="Q142" s="278">
        <f t="shared" si="32"/>
        <v>0</v>
      </c>
      <c r="R142" s="278">
        <f t="shared" si="32"/>
        <v>0</v>
      </c>
      <c r="S142" s="278">
        <f t="shared" si="32"/>
        <v>0</v>
      </c>
      <c r="T142" s="278">
        <f t="shared" ref="T142:X142" si="33">T105-T104</f>
        <v>0</v>
      </c>
      <c r="U142" s="278">
        <f t="shared" si="33"/>
        <v>0</v>
      </c>
      <c r="V142" s="278">
        <f t="shared" si="33"/>
        <v>0</v>
      </c>
      <c r="W142" s="278">
        <f t="shared" si="33"/>
        <v>0</v>
      </c>
      <c r="X142" s="278">
        <f t="shared" si="33"/>
        <v>0</v>
      </c>
      <c r="Y142" s="279">
        <f>Y105-Y104</f>
        <v>0</v>
      </c>
      <c r="AA142" s="24"/>
      <c r="AB142" s="24"/>
      <c r="AC142" s="24"/>
    </row>
    <row r="143" spans="1:29">
      <c r="A143" s="24"/>
      <c r="B143" s="24"/>
      <c r="C143" s="24" t="s">
        <v>774</v>
      </c>
      <c r="D143" s="24"/>
      <c r="E143" s="278">
        <f t="shared" ref="E143:X147" si="34">E106-E105</f>
        <v>0</v>
      </c>
      <c r="F143" s="278">
        <f t="shared" si="34"/>
        <v>0</v>
      </c>
      <c r="G143" s="278">
        <f t="shared" si="34"/>
        <v>0</v>
      </c>
      <c r="H143" s="278">
        <f t="shared" si="34"/>
        <v>0</v>
      </c>
      <c r="I143" s="278">
        <f t="shared" si="34"/>
        <v>0</v>
      </c>
      <c r="J143" s="278">
        <f t="shared" si="34"/>
        <v>0</v>
      </c>
      <c r="K143" s="278">
        <f t="shared" si="34"/>
        <v>0</v>
      </c>
      <c r="L143" s="278">
        <f t="shared" si="34"/>
        <v>0</v>
      </c>
      <c r="M143" s="278">
        <f t="shared" si="34"/>
        <v>0</v>
      </c>
      <c r="N143" s="278">
        <f t="shared" si="34"/>
        <v>0</v>
      </c>
      <c r="O143" s="278">
        <f t="shared" si="34"/>
        <v>0</v>
      </c>
      <c r="P143" s="278">
        <f t="shared" si="34"/>
        <v>0</v>
      </c>
      <c r="Q143" s="278">
        <f t="shared" si="34"/>
        <v>0</v>
      </c>
      <c r="R143" s="278">
        <f t="shared" si="34"/>
        <v>0</v>
      </c>
      <c r="S143" s="278">
        <f t="shared" si="34"/>
        <v>0</v>
      </c>
      <c r="T143" s="278">
        <f t="shared" si="34"/>
        <v>0</v>
      </c>
      <c r="U143" s="278">
        <f t="shared" si="34"/>
        <v>0</v>
      </c>
      <c r="V143" s="278">
        <f t="shared" si="34"/>
        <v>0</v>
      </c>
      <c r="W143" s="278">
        <f t="shared" si="34"/>
        <v>0</v>
      </c>
      <c r="X143" s="278">
        <f t="shared" si="34"/>
        <v>0</v>
      </c>
      <c r="Y143" s="279">
        <f>Y106-Y105</f>
        <v>0</v>
      </c>
      <c r="AA143" s="24"/>
      <c r="AB143" s="24"/>
      <c r="AC143" s="24"/>
    </row>
    <row r="144" spans="1:29">
      <c r="A144" s="24"/>
      <c r="B144" s="24"/>
      <c r="C144" s="24" t="s">
        <v>777</v>
      </c>
      <c r="D144" s="24"/>
      <c r="E144" s="278">
        <f t="shared" si="34"/>
        <v>0</v>
      </c>
      <c r="F144" s="278">
        <f t="shared" si="34"/>
        <v>0</v>
      </c>
      <c r="G144" s="278">
        <f t="shared" si="34"/>
        <v>0</v>
      </c>
      <c r="H144" s="278">
        <f t="shared" si="34"/>
        <v>0</v>
      </c>
      <c r="I144" s="278">
        <f t="shared" si="34"/>
        <v>0</v>
      </c>
      <c r="J144" s="278">
        <f t="shared" si="34"/>
        <v>0</v>
      </c>
      <c r="K144" s="278">
        <f t="shared" si="34"/>
        <v>0</v>
      </c>
      <c r="L144" s="278">
        <f t="shared" si="34"/>
        <v>0</v>
      </c>
      <c r="M144" s="278">
        <f t="shared" si="34"/>
        <v>0</v>
      </c>
      <c r="N144" s="278">
        <f t="shared" si="34"/>
        <v>0</v>
      </c>
      <c r="O144" s="278">
        <f t="shared" si="34"/>
        <v>0</v>
      </c>
      <c r="P144" s="278">
        <f t="shared" si="34"/>
        <v>0</v>
      </c>
      <c r="Q144" s="278">
        <f t="shared" si="34"/>
        <v>0</v>
      </c>
      <c r="R144" s="278">
        <f t="shared" si="34"/>
        <v>0</v>
      </c>
      <c r="S144" s="278">
        <f t="shared" si="34"/>
        <v>0</v>
      </c>
      <c r="T144" s="278">
        <f t="shared" si="34"/>
        <v>0</v>
      </c>
      <c r="U144" s="278">
        <f t="shared" si="34"/>
        <v>0</v>
      </c>
      <c r="V144" s="278">
        <f t="shared" si="34"/>
        <v>0</v>
      </c>
      <c r="W144" s="278">
        <f t="shared" si="34"/>
        <v>0</v>
      </c>
      <c r="X144" s="278">
        <f t="shared" si="34"/>
        <v>0</v>
      </c>
      <c r="Y144" s="279">
        <f>Y107-Y106</f>
        <v>0</v>
      </c>
      <c r="AA144" s="24"/>
      <c r="AB144" s="24"/>
      <c r="AC144" s="24"/>
    </row>
    <row r="145" spans="1:29">
      <c r="A145" s="24"/>
      <c r="B145" s="24"/>
      <c r="C145" s="24" t="s">
        <v>780</v>
      </c>
      <c r="D145" s="24"/>
      <c r="E145" s="278">
        <f t="shared" si="34"/>
        <v>0</v>
      </c>
      <c r="F145" s="278">
        <f t="shared" si="34"/>
        <v>0</v>
      </c>
      <c r="G145" s="278">
        <f t="shared" si="34"/>
        <v>0</v>
      </c>
      <c r="H145" s="278">
        <f t="shared" si="34"/>
        <v>0</v>
      </c>
      <c r="I145" s="278">
        <f t="shared" si="34"/>
        <v>0</v>
      </c>
      <c r="J145" s="278">
        <f t="shared" si="34"/>
        <v>0</v>
      </c>
      <c r="K145" s="278">
        <f t="shared" si="34"/>
        <v>0</v>
      </c>
      <c r="L145" s="278">
        <f t="shared" si="34"/>
        <v>0</v>
      </c>
      <c r="M145" s="278">
        <f t="shared" si="34"/>
        <v>0</v>
      </c>
      <c r="N145" s="278">
        <f t="shared" si="34"/>
        <v>0</v>
      </c>
      <c r="O145" s="278">
        <f t="shared" si="34"/>
        <v>0</v>
      </c>
      <c r="P145" s="278">
        <f t="shared" si="34"/>
        <v>0</v>
      </c>
      <c r="Q145" s="278">
        <f t="shared" si="34"/>
        <v>0</v>
      </c>
      <c r="R145" s="278">
        <f t="shared" si="34"/>
        <v>0</v>
      </c>
      <c r="S145" s="278">
        <f t="shared" si="34"/>
        <v>0</v>
      </c>
      <c r="T145" s="278">
        <f t="shared" si="34"/>
        <v>0</v>
      </c>
      <c r="U145" s="278">
        <f t="shared" si="34"/>
        <v>0</v>
      </c>
      <c r="V145" s="278">
        <f t="shared" si="34"/>
        <v>0</v>
      </c>
      <c r="W145" s="278">
        <f t="shared" si="34"/>
        <v>0</v>
      </c>
      <c r="X145" s="278">
        <f t="shared" si="34"/>
        <v>0</v>
      </c>
      <c r="Y145" s="279">
        <f>Y108-Y107</f>
        <v>0</v>
      </c>
      <c r="AA145" s="24"/>
      <c r="AB145" s="24"/>
      <c r="AC145" s="24"/>
    </row>
    <row r="146" spans="1:29">
      <c r="A146" s="24"/>
      <c r="B146" s="24"/>
      <c r="C146" s="24" t="s">
        <v>783</v>
      </c>
      <c r="D146" s="24"/>
      <c r="E146" s="278">
        <f t="shared" si="34"/>
        <v>0</v>
      </c>
      <c r="F146" s="278">
        <f t="shared" si="34"/>
        <v>0</v>
      </c>
      <c r="G146" s="278">
        <f t="shared" si="34"/>
        <v>0</v>
      </c>
      <c r="H146" s="278">
        <f t="shared" si="34"/>
        <v>0</v>
      </c>
      <c r="I146" s="278">
        <f t="shared" si="34"/>
        <v>0</v>
      </c>
      <c r="J146" s="278">
        <f t="shared" si="34"/>
        <v>0</v>
      </c>
      <c r="K146" s="278">
        <f t="shared" si="34"/>
        <v>0</v>
      </c>
      <c r="L146" s="278">
        <f t="shared" si="34"/>
        <v>0</v>
      </c>
      <c r="M146" s="278">
        <f t="shared" si="34"/>
        <v>0</v>
      </c>
      <c r="N146" s="278">
        <f t="shared" si="34"/>
        <v>0</v>
      </c>
      <c r="O146" s="278">
        <f t="shared" si="34"/>
        <v>0</v>
      </c>
      <c r="P146" s="278">
        <f t="shared" si="34"/>
        <v>0</v>
      </c>
      <c r="Q146" s="278">
        <f t="shared" si="34"/>
        <v>0</v>
      </c>
      <c r="R146" s="278">
        <f t="shared" si="34"/>
        <v>0</v>
      </c>
      <c r="S146" s="278">
        <f t="shared" si="34"/>
        <v>0</v>
      </c>
      <c r="T146" s="278">
        <f t="shared" si="34"/>
        <v>0</v>
      </c>
      <c r="U146" s="278">
        <f t="shared" si="34"/>
        <v>0</v>
      </c>
      <c r="V146" s="278">
        <f t="shared" si="34"/>
        <v>0</v>
      </c>
      <c r="W146" s="278">
        <f t="shared" si="34"/>
        <v>0</v>
      </c>
      <c r="X146" s="278">
        <f t="shared" si="34"/>
        <v>0</v>
      </c>
      <c r="Y146" s="279">
        <f>Y109-Y108</f>
        <v>0</v>
      </c>
      <c r="AA146" s="24"/>
      <c r="AB146" s="24"/>
      <c r="AC146" s="24"/>
    </row>
    <row r="147" spans="1:29">
      <c r="A147" s="24"/>
      <c r="B147" s="24"/>
      <c r="C147" s="24" t="s">
        <v>786</v>
      </c>
      <c r="D147" s="24"/>
      <c r="E147" s="278">
        <f t="shared" si="34"/>
        <v>0</v>
      </c>
      <c r="F147" s="278">
        <f t="shared" si="34"/>
        <v>0</v>
      </c>
      <c r="G147" s="278">
        <f t="shared" si="34"/>
        <v>0</v>
      </c>
      <c r="H147" s="278">
        <f t="shared" si="34"/>
        <v>0</v>
      </c>
      <c r="I147" s="278">
        <f t="shared" si="34"/>
        <v>0</v>
      </c>
      <c r="J147" s="278">
        <f t="shared" si="34"/>
        <v>0</v>
      </c>
      <c r="K147" s="278">
        <f t="shared" si="34"/>
        <v>0</v>
      </c>
      <c r="L147" s="278">
        <f t="shared" si="34"/>
        <v>0</v>
      </c>
      <c r="M147" s="278">
        <f t="shared" si="34"/>
        <v>0</v>
      </c>
      <c r="N147" s="278">
        <f t="shared" si="34"/>
        <v>0</v>
      </c>
      <c r="O147" s="278">
        <f t="shared" si="34"/>
        <v>0</v>
      </c>
      <c r="P147" s="278">
        <f t="shared" si="34"/>
        <v>0</v>
      </c>
      <c r="Q147" s="278">
        <f t="shared" si="34"/>
        <v>0</v>
      </c>
      <c r="R147" s="278">
        <f t="shared" si="34"/>
        <v>0</v>
      </c>
      <c r="S147" s="278">
        <f t="shared" si="34"/>
        <v>0</v>
      </c>
      <c r="T147" s="278">
        <f t="shared" si="34"/>
        <v>0</v>
      </c>
      <c r="U147" s="278">
        <f t="shared" si="34"/>
        <v>0</v>
      </c>
      <c r="V147" s="278">
        <f t="shared" si="34"/>
        <v>0</v>
      </c>
      <c r="W147" s="278">
        <f t="shared" si="34"/>
        <v>0</v>
      </c>
      <c r="X147" s="278">
        <f t="shared" si="34"/>
        <v>0</v>
      </c>
      <c r="Y147" s="279">
        <f>Y110-Y109</f>
        <v>0</v>
      </c>
      <c r="AA147" s="24"/>
      <c r="AB147" s="24"/>
      <c r="AC147" s="24"/>
    </row>
    <row r="148" spans="1:29">
      <c r="A148" s="24"/>
      <c r="B148" s="24"/>
      <c r="C148" s="24"/>
      <c r="D148" s="24"/>
      <c r="E148" s="273"/>
      <c r="F148" s="24"/>
      <c r="G148" s="24"/>
      <c r="H148" s="24"/>
      <c r="I148" s="24"/>
      <c r="J148" s="24"/>
      <c r="K148" s="24"/>
      <c r="L148" s="24"/>
      <c r="M148" s="24"/>
      <c r="N148" s="24"/>
      <c r="O148" s="24"/>
      <c r="P148" s="24"/>
      <c r="Q148" s="24"/>
      <c r="R148" s="24"/>
      <c r="S148" s="24"/>
      <c r="T148" s="24"/>
      <c r="U148" s="24"/>
      <c r="V148" s="24"/>
      <c r="W148" s="24"/>
      <c r="X148" s="24"/>
      <c r="Y148" s="24"/>
      <c r="AA148" s="24"/>
      <c r="AB148" s="24"/>
      <c r="AC148" s="24"/>
    </row>
    <row r="149" spans="1:29" ht="15">
      <c r="A149" s="24"/>
      <c r="B149" s="24"/>
      <c r="C149" s="280" t="s">
        <v>791</v>
      </c>
      <c r="D149" s="281">
        <f t="shared" ref="D149:X149" si="35">SUM(D116:D147)</f>
        <v>0</v>
      </c>
      <c r="E149" s="281">
        <f t="shared" si="35"/>
        <v>0.35571548630254074</v>
      </c>
      <c r="F149" s="281">
        <f t="shared" si="35"/>
        <v>0.54682532152525598</v>
      </c>
      <c r="G149" s="281">
        <f t="shared" si="35"/>
        <v>0.63709165988040117</v>
      </c>
      <c r="H149" s="281">
        <f t="shared" si="35"/>
        <v>0.76122455223049001</v>
      </c>
      <c r="I149" s="281">
        <f t="shared" si="35"/>
        <v>0.73445094097606833</v>
      </c>
      <c r="J149" s="281">
        <f t="shared" si="35"/>
        <v>0.7294247525453551</v>
      </c>
      <c r="K149" s="281">
        <f t="shared" si="35"/>
        <v>0.84947025869471304</v>
      </c>
      <c r="L149" s="281">
        <f t="shared" si="35"/>
        <v>0.88405505039230359</v>
      </c>
      <c r="M149" s="281">
        <f t="shared" si="35"/>
        <v>0.98388943114942562</v>
      </c>
      <c r="N149" s="281">
        <f t="shared" si="35"/>
        <v>1.07828409112174</v>
      </c>
      <c r="O149" s="281">
        <f t="shared" si="35"/>
        <v>1.1691163767586661</v>
      </c>
      <c r="P149" s="281">
        <f t="shared" si="35"/>
        <v>1.335860180297411</v>
      </c>
      <c r="Q149" s="281">
        <f t="shared" si="35"/>
        <v>1.460365300948044</v>
      </c>
      <c r="R149" s="281">
        <f t="shared" si="35"/>
        <v>1.4065254628924899</v>
      </c>
      <c r="S149" s="281">
        <f t="shared" si="35"/>
        <v>1.4863411504621453</v>
      </c>
      <c r="T149" s="281">
        <f t="shared" si="35"/>
        <v>1.4436661071663466</v>
      </c>
      <c r="U149" s="281">
        <f t="shared" si="35"/>
        <v>1.4164898052117194</v>
      </c>
      <c r="V149" s="281">
        <f t="shared" si="35"/>
        <v>1.3461804107063973</v>
      </c>
      <c r="W149" s="281">
        <f t="shared" si="35"/>
        <v>1.318758379102777</v>
      </c>
      <c r="X149" s="281">
        <f t="shared" si="35"/>
        <v>1.3336303430569174</v>
      </c>
      <c r="Y149" s="281"/>
      <c r="AA149" s="24"/>
      <c r="AB149" s="24"/>
      <c r="AC149" s="24"/>
    </row>
    <row r="150" spans="1:29" ht="15">
      <c r="A150" s="24"/>
      <c r="B150" s="24"/>
      <c r="C150" s="280" t="s">
        <v>792</v>
      </c>
      <c r="D150" s="281">
        <f>D149</f>
        <v>0</v>
      </c>
      <c r="E150" s="281">
        <f t="shared" ref="E150:X150" si="36">D150+E149</f>
        <v>0.35571548630254074</v>
      </c>
      <c r="F150" s="281">
        <f t="shared" si="36"/>
        <v>0.90254080782779678</v>
      </c>
      <c r="G150" s="281">
        <f t="shared" si="36"/>
        <v>1.5396324677081981</v>
      </c>
      <c r="H150" s="281">
        <f t="shared" si="36"/>
        <v>2.3008570199386882</v>
      </c>
      <c r="I150" s="281">
        <f t="shared" si="36"/>
        <v>3.0353079609147566</v>
      </c>
      <c r="J150" s="281">
        <f t="shared" si="36"/>
        <v>3.7647327134601118</v>
      </c>
      <c r="K150" s="281">
        <f t="shared" si="36"/>
        <v>4.6142029721548248</v>
      </c>
      <c r="L150" s="281">
        <f t="shared" si="36"/>
        <v>5.4982580225471285</v>
      </c>
      <c r="M150" s="281">
        <f t="shared" si="36"/>
        <v>6.4821474536965544</v>
      </c>
      <c r="N150" s="281">
        <f t="shared" si="36"/>
        <v>7.5604315448182948</v>
      </c>
      <c r="O150" s="281">
        <f t="shared" si="36"/>
        <v>8.7295479215769607</v>
      </c>
      <c r="P150" s="281">
        <f t="shared" si="36"/>
        <v>10.065408101874372</v>
      </c>
      <c r="Q150" s="281">
        <f t="shared" si="36"/>
        <v>11.525773402822416</v>
      </c>
      <c r="R150" s="281">
        <f t="shared" si="36"/>
        <v>12.932298865714905</v>
      </c>
      <c r="S150" s="281">
        <f t="shared" si="36"/>
        <v>14.418640016177051</v>
      </c>
      <c r="T150" s="281">
        <f t="shared" si="36"/>
        <v>15.862306123343398</v>
      </c>
      <c r="U150" s="281">
        <f t="shared" si="36"/>
        <v>17.278795928555116</v>
      </c>
      <c r="V150" s="281">
        <f t="shared" si="36"/>
        <v>18.624976339261515</v>
      </c>
      <c r="W150" s="281">
        <f t="shared" si="36"/>
        <v>19.943734718364293</v>
      </c>
      <c r="X150" s="281">
        <f t="shared" si="36"/>
        <v>21.277365061421211</v>
      </c>
      <c r="Y150" s="281">
        <f>SUM(Y116:Y147)</f>
        <v>21.277365061421204</v>
      </c>
      <c r="AA150" s="24"/>
      <c r="AB150" s="24"/>
      <c r="AC150" s="24"/>
    </row>
    <row r="151" spans="1:29">
      <c r="A151" s="24"/>
      <c r="B151" s="24"/>
      <c r="C151" s="235"/>
      <c r="D151" s="235"/>
      <c r="E151" s="282"/>
      <c r="F151" s="282"/>
      <c r="G151" s="282"/>
      <c r="H151" s="282"/>
      <c r="I151" s="282"/>
      <c r="J151" s="282"/>
      <c r="K151" s="282"/>
      <c r="L151" s="282"/>
      <c r="M151" s="282"/>
      <c r="N151" s="282"/>
      <c r="O151" s="282"/>
      <c r="P151" s="282"/>
      <c r="Q151" s="282"/>
      <c r="R151" s="282"/>
      <c r="S151" s="282"/>
      <c r="T151" s="282"/>
      <c r="U151" s="282"/>
      <c r="V151" s="282"/>
      <c r="W151" s="282"/>
      <c r="X151" s="282"/>
      <c r="Y151" s="24"/>
      <c r="AA151" s="24"/>
      <c r="AB151" s="24"/>
      <c r="AC151" s="24"/>
    </row>
    <row r="152" spans="1:29">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AA152" s="24"/>
      <c r="AB152" s="24"/>
      <c r="AC152" s="24"/>
    </row>
    <row r="153" spans="1:29">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AA153" s="24"/>
      <c r="AB153" s="24"/>
      <c r="AC153" s="24"/>
    </row>
    <row r="154" spans="1:29">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AA154" s="24"/>
      <c r="AB154" s="24"/>
      <c r="AC154" s="24"/>
    </row>
    <row r="155" spans="1:29" ht="15">
      <c r="A155" s="283" t="s">
        <v>793</v>
      </c>
      <c r="B155" s="250"/>
      <c r="C155" s="263" t="s">
        <v>794</v>
      </c>
      <c r="D155" s="24"/>
      <c r="E155" s="24"/>
      <c r="F155" s="24"/>
      <c r="G155" s="24"/>
      <c r="H155" s="284"/>
      <c r="I155" s="24"/>
      <c r="J155" s="24"/>
      <c r="K155" s="24"/>
      <c r="L155" s="284"/>
      <c r="M155" s="24"/>
      <c r="N155" s="24"/>
      <c r="O155" s="24"/>
      <c r="P155" s="284"/>
      <c r="Q155" s="24"/>
      <c r="R155" s="24"/>
      <c r="S155" s="24"/>
      <c r="T155" s="284"/>
      <c r="U155" s="24"/>
      <c r="V155" s="24"/>
      <c r="W155" s="24"/>
      <c r="X155" s="284"/>
      <c r="Y155" s="24"/>
      <c r="AA155" s="24"/>
      <c r="AB155" s="24"/>
      <c r="AC155" s="24"/>
    </row>
    <row r="156" spans="1:29">
      <c r="A156" s="285" t="s">
        <v>795</v>
      </c>
      <c r="B156" s="286">
        <f ca="1">1/VLOOKUP($C$11,[1]TURN!TURN,MATCH($C$12,[1]!BLDGTYPE,0),FALSE)</f>
        <v>5</v>
      </c>
      <c r="C156" s="24" t="s">
        <v>796</v>
      </c>
      <c r="D156" s="24"/>
      <c r="E156" s="243">
        <f>E11</f>
        <v>2016</v>
      </c>
      <c r="F156" s="243">
        <f t="shared" ref="F156:X156" si="37">F11</f>
        <v>2017</v>
      </c>
      <c r="G156" s="243">
        <f t="shared" si="37"/>
        <v>2018</v>
      </c>
      <c r="H156" s="243">
        <f t="shared" si="37"/>
        <v>2019</v>
      </c>
      <c r="I156" s="243">
        <f t="shared" si="37"/>
        <v>2020</v>
      </c>
      <c r="J156" s="243">
        <f t="shared" si="37"/>
        <v>2021</v>
      </c>
      <c r="K156" s="243">
        <f t="shared" si="37"/>
        <v>2022</v>
      </c>
      <c r="L156" s="243">
        <f t="shared" si="37"/>
        <v>2023</v>
      </c>
      <c r="M156" s="243">
        <f t="shared" si="37"/>
        <v>2024</v>
      </c>
      <c r="N156" s="243">
        <f t="shared" si="37"/>
        <v>2025</v>
      </c>
      <c r="O156" s="243">
        <f t="shared" si="37"/>
        <v>2026</v>
      </c>
      <c r="P156" s="243">
        <f t="shared" si="37"/>
        <v>2027</v>
      </c>
      <c r="Q156" s="243">
        <f t="shared" si="37"/>
        <v>2028</v>
      </c>
      <c r="R156" s="243">
        <f t="shared" si="37"/>
        <v>2029</v>
      </c>
      <c r="S156" s="243">
        <f t="shared" si="37"/>
        <v>2030</v>
      </c>
      <c r="T156" s="243">
        <f t="shared" si="37"/>
        <v>2031</v>
      </c>
      <c r="U156" s="243">
        <f t="shared" si="37"/>
        <v>2032</v>
      </c>
      <c r="V156" s="243">
        <f t="shared" si="37"/>
        <v>2033</v>
      </c>
      <c r="W156" s="243">
        <f t="shared" si="37"/>
        <v>2034</v>
      </c>
      <c r="X156" s="243">
        <f t="shared" si="37"/>
        <v>2035</v>
      </c>
      <c r="Y156" s="251" t="s">
        <v>699</v>
      </c>
      <c r="AA156" s="24"/>
      <c r="AB156" s="24"/>
      <c r="AC156" s="24"/>
    </row>
    <row r="157" spans="1:29">
      <c r="A157" s="24"/>
      <c r="B157" s="24"/>
      <c r="C157" s="24" t="s">
        <v>414</v>
      </c>
      <c r="D157" s="24"/>
      <c r="E157" s="352">
        <f>E$32-E50/$A38</f>
        <v>46.375704996402163</v>
      </c>
      <c r="F157" s="352">
        <f t="shared" ref="F157:X157" si="38">F$32-F50/$A38</f>
        <v>32.850709111795133</v>
      </c>
      <c r="G157" s="352">
        <f t="shared" si="38"/>
        <v>23.651020153943552</v>
      </c>
      <c r="H157" s="352">
        <f t="shared" si="38"/>
        <v>19.789539907817272</v>
      </c>
      <c r="I157" s="352">
        <f t="shared" si="38"/>
        <v>14.387131398327707</v>
      </c>
      <c r="J157" s="352">
        <f t="shared" si="38"/>
        <v>11.326692305619716</v>
      </c>
      <c r="K157" s="352">
        <f t="shared" si="38"/>
        <v>10.870893197789634</v>
      </c>
      <c r="L157" s="352">
        <f t="shared" si="38"/>
        <v>9.6241068344987184</v>
      </c>
      <c r="M157" s="352">
        <f t="shared" si="38"/>
        <v>9.358584516158384</v>
      </c>
      <c r="N157" s="352">
        <f t="shared" si="38"/>
        <v>9.1691532443562664</v>
      </c>
      <c r="O157" s="352">
        <f t="shared" si="38"/>
        <v>9.0640994452009167</v>
      </c>
      <c r="P157" s="352">
        <f t="shared" si="38"/>
        <v>9.6025798504351485</v>
      </c>
      <c r="Q157" s="352">
        <f t="shared" si="38"/>
        <v>9.8721858982919102</v>
      </c>
      <c r="R157" s="352">
        <f t="shared" si="38"/>
        <v>9.0486126798781328</v>
      </c>
      <c r="S157" s="352">
        <f t="shared" si="38"/>
        <v>9.1897433757430917</v>
      </c>
      <c r="T157" s="352">
        <f t="shared" si="38"/>
        <v>8.6476421262536576</v>
      </c>
      <c r="U157" s="352">
        <f t="shared" si="38"/>
        <v>8.2742283409395014</v>
      </c>
      <c r="V157" s="352">
        <f t="shared" si="38"/>
        <v>7.7087681749181201</v>
      </c>
      <c r="W157" s="352">
        <f t="shared" si="38"/>
        <v>7.4343368806139196</v>
      </c>
      <c r="X157" s="352">
        <f t="shared" si="38"/>
        <v>7.4261189493149971</v>
      </c>
      <c r="Y157" s="254">
        <f>SUM(E157:X157)</f>
        <v>273.67185138829791</v>
      </c>
      <c r="AA157" s="24" t="s">
        <v>797</v>
      </c>
      <c r="AB157" s="24"/>
      <c r="AC157" s="24"/>
    </row>
    <row r="158" spans="1:29">
      <c r="A158" s="24"/>
      <c r="B158" s="24"/>
      <c r="C158" s="24" t="s">
        <v>415</v>
      </c>
      <c r="D158" s="24"/>
      <c r="E158" s="352">
        <f t="shared" ref="E158:E164" si="39">E$32-E51/$A39</f>
        <v>46.375704996402163</v>
      </c>
      <c r="F158" s="352">
        <f t="shared" ref="F158:X158" si="40">F$32-F51/$A39</f>
        <v>32.850709111795133</v>
      </c>
      <c r="G158" s="352">
        <f t="shared" si="40"/>
        <v>23.651020153943556</v>
      </c>
      <c r="H158" s="352">
        <f t="shared" si="40"/>
        <v>19.789539907817272</v>
      </c>
      <c r="I158" s="352">
        <f t="shared" si="40"/>
        <v>14.387131398327714</v>
      </c>
      <c r="J158" s="352">
        <f t="shared" si="40"/>
        <v>11.326692305619719</v>
      </c>
      <c r="K158" s="352">
        <f t="shared" si="40"/>
        <v>10.870893197789631</v>
      </c>
      <c r="L158" s="352">
        <f t="shared" si="40"/>
        <v>9.624106834498722</v>
      </c>
      <c r="M158" s="352">
        <f t="shared" si="40"/>
        <v>9.358584516158384</v>
      </c>
      <c r="N158" s="352">
        <f t="shared" si="40"/>
        <v>9.1691532443562664</v>
      </c>
      <c r="O158" s="352">
        <f t="shared" si="40"/>
        <v>9.0640994452009167</v>
      </c>
      <c r="P158" s="352">
        <f t="shared" si="40"/>
        <v>9.6025798504351414</v>
      </c>
      <c r="Q158" s="352">
        <f t="shared" si="40"/>
        <v>9.8721858982919102</v>
      </c>
      <c r="R158" s="352">
        <f t="shared" si="40"/>
        <v>9.0486126798781328</v>
      </c>
      <c r="S158" s="352">
        <f t="shared" si="40"/>
        <v>9.1897433757430775</v>
      </c>
      <c r="T158" s="352">
        <f t="shared" si="40"/>
        <v>8.6476421262536647</v>
      </c>
      <c r="U158" s="352">
        <f t="shared" si="40"/>
        <v>8.2742283409395085</v>
      </c>
      <c r="V158" s="352">
        <f t="shared" si="40"/>
        <v>7.7087681749181201</v>
      </c>
      <c r="W158" s="352">
        <f t="shared" si="40"/>
        <v>7.4343368806139196</v>
      </c>
      <c r="X158" s="352">
        <f t="shared" si="40"/>
        <v>7.4261189493149971</v>
      </c>
      <c r="Y158" s="254"/>
      <c r="AA158" s="24"/>
      <c r="AB158" s="24"/>
      <c r="AC158" s="24"/>
    </row>
    <row r="159" spans="1:29">
      <c r="A159" s="24"/>
      <c r="B159" s="24"/>
      <c r="C159" s="24" t="s">
        <v>416</v>
      </c>
      <c r="D159" s="24"/>
      <c r="E159" s="352">
        <f t="shared" si="39"/>
        <v>46.375704996402163</v>
      </c>
      <c r="F159" s="352">
        <f t="shared" ref="F159:X159" si="41">F$32-F52/$A40</f>
        <v>32.850709111795133</v>
      </c>
      <c r="G159" s="352">
        <f t="shared" si="41"/>
        <v>23.651020153943556</v>
      </c>
      <c r="H159" s="352">
        <f t="shared" si="41"/>
        <v>19.789539907817272</v>
      </c>
      <c r="I159" s="352">
        <f t="shared" si="41"/>
        <v>14.387131398327714</v>
      </c>
      <c r="J159" s="352">
        <f t="shared" si="41"/>
        <v>11.326692305619719</v>
      </c>
      <c r="K159" s="352">
        <f t="shared" si="41"/>
        <v>10.870893197789631</v>
      </c>
      <c r="L159" s="352">
        <f t="shared" si="41"/>
        <v>9.624106834498722</v>
      </c>
      <c r="M159" s="352">
        <f t="shared" si="41"/>
        <v>9.358584516158384</v>
      </c>
      <c r="N159" s="352">
        <f t="shared" si="41"/>
        <v>9.1691532443562664</v>
      </c>
      <c r="O159" s="352">
        <f t="shared" si="41"/>
        <v>9.0640994452009167</v>
      </c>
      <c r="P159" s="352">
        <f t="shared" si="41"/>
        <v>9.6025798504351414</v>
      </c>
      <c r="Q159" s="352">
        <f t="shared" si="41"/>
        <v>9.8721858982919102</v>
      </c>
      <c r="R159" s="352">
        <f t="shared" si="41"/>
        <v>9.0486126798781328</v>
      </c>
      <c r="S159" s="352">
        <f t="shared" si="41"/>
        <v>9.1897433757430775</v>
      </c>
      <c r="T159" s="352">
        <f t="shared" si="41"/>
        <v>8.6476421262536647</v>
      </c>
      <c r="U159" s="352">
        <f t="shared" si="41"/>
        <v>8.2742283409395085</v>
      </c>
      <c r="V159" s="352">
        <f t="shared" si="41"/>
        <v>7.7087681749181201</v>
      </c>
      <c r="W159" s="352">
        <f t="shared" si="41"/>
        <v>7.4343368806139196</v>
      </c>
      <c r="X159" s="352">
        <f t="shared" si="41"/>
        <v>7.4261189493149971</v>
      </c>
      <c r="Y159" s="254"/>
      <c r="AA159" s="24"/>
      <c r="AB159" s="24"/>
      <c r="AC159" s="24"/>
    </row>
    <row r="160" spans="1:29">
      <c r="A160" s="24"/>
      <c r="B160" s="24"/>
      <c r="C160" s="24" t="s">
        <v>417</v>
      </c>
      <c r="D160" s="24"/>
      <c r="E160" s="352">
        <f t="shared" si="39"/>
        <v>46.375704996402163</v>
      </c>
      <c r="F160" s="352">
        <f t="shared" ref="F160:X160" si="42">F$32-F53/$A41</f>
        <v>32.850709111795133</v>
      </c>
      <c r="G160" s="352">
        <f t="shared" si="42"/>
        <v>23.651020153943556</v>
      </c>
      <c r="H160" s="352">
        <f t="shared" si="42"/>
        <v>19.789539907817272</v>
      </c>
      <c r="I160" s="352">
        <f t="shared" si="42"/>
        <v>14.387131398327714</v>
      </c>
      <c r="J160" s="352">
        <f t="shared" si="42"/>
        <v>11.326692305619719</v>
      </c>
      <c r="K160" s="352">
        <f t="shared" si="42"/>
        <v>10.870893197789631</v>
      </c>
      <c r="L160" s="352">
        <f t="shared" si="42"/>
        <v>9.624106834498722</v>
      </c>
      <c r="M160" s="352">
        <f t="shared" si="42"/>
        <v>9.358584516158384</v>
      </c>
      <c r="N160" s="352">
        <f t="shared" si="42"/>
        <v>9.1691532443562664</v>
      </c>
      <c r="O160" s="352">
        <f t="shared" si="42"/>
        <v>9.0640994452009167</v>
      </c>
      <c r="P160" s="352">
        <f t="shared" si="42"/>
        <v>9.6025798504351414</v>
      </c>
      <c r="Q160" s="352">
        <f t="shared" si="42"/>
        <v>9.8721858982919102</v>
      </c>
      <c r="R160" s="352">
        <f t="shared" si="42"/>
        <v>9.0486126798781328</v>
      </c>
      <c r="S160" s="352">
        <f t="shared" si="42"/>
        <v>9.1897433757430775</v>
      </c>
      <c r="T160" s="352">
        <f t="shared" si="42"/>
        <v>8.6476421262536647</v>
      </c>
      <c r="U160" s="352">
        <f t="shared" si="42"/>
        <v>8.2742283409395085</v>
      </c>
      <c r="V160" s="352">
        <f t="shared" si="42"/>
        <v>7.7087681749181201</v>
      </c>
      <c r="W160" s="352">
        <f t="shared" si="42"/>
        <v>7.4343368806139196</v>
      </c>
      <c r="X160" s="352">
        <f t="shared" si="42"/>
        <v>7.4261189493149971</v>
      </c>
      <c r="Y160" s="254"/>
      <c r="AA160" s="24"/>
      <c r="AB160" s="24"/>
      <c r="AC160" s="24"/>
    </row>
    <row r="161" spans="1:29">
      <c r="A161" s="24"/>
      <c r="B161" s="24"/>
      <c r="C161" s="24" t="s">
        <v>419</v>
      </c>
      <c r="D161" s="24"/>
      <c r="E161" s="352">
        <f t="shared" si="39"/>
        <v>46.375704996402163</v>
      </c>
      <c r="F161" s="352">
        <f t="shared" ref="F161:X161" si="43">F$32-F54/$A42</f>
        <v>32.850709111795133</v>
      </c>
      <c r="G161" s="352">
        <f t="shared" si="43"/>
        <v>23.651020153943556</v>
      </c>
      <c r="H161" s="352">
        <f t="shared" si="43"/>
        <v>19.789539907817272</v>
      </c>
      <c r="I161" s="352">
        <f t="shared" si="43"/>
        <v>14.387131398327714</v>
      </c>
      <c r="J161" s="352">
        <f t="shared" si="43"/>
        <v>11.326692305619719</v>
      </c>
      <c r="K161" s="352">
        <f t="shared" si="43"/>
        <v>10.870893197789631</v>
      </c>
      <c r="L161" s="352">
        <f t="shared" si="43"/>
        <v>9.624106834498722</v>
      </c>
      <c r="M161" s="352">
        <f t="shared" si="43"/>
        <v>9.358584516158384</v>
      </c>
      <c r="N161" s="352">
        <f t="shared" si="43"/>
        <v>9.1691532443562664</v>
      </c>
      <c r="O161" s="352">
        <f t="shared" si="43"/>
        <v>9.0640994452009167</v>
      </c>
      <c r="P161" s="352">
        <f t="shared" si="43"/>
        <v>9.6025798504351414</v>
      </c>
      <c r="Q161" s="352">
        <f t="shared" si="43"/>
        <v>9.8721858982919102</v>
      </c>
      <c r="R161" s="352">
        <f t="shared" si="43"/>
        <v>9.0486126798781328</v>
      </c>
      <c r="S161" s="352">
        <f t="shared" si="43"/>
        <v>9.1897433757430775</v>
      </c>
      <c r="T161" s="352">
        <f t="shared" si="43"/>
        <v>8.6476421262536647</v>
      </c>
      <c r="U161" s="352">
        <f t="shared" si="43"/>
        <v>8.2742283409395085</v>
      </c>
      <c r="V161" s="352">
        <f t="shared" si="43"/>
        <v>7.7087681749181201</v>
      </c>
      <c r="W161" s="352">
        <f t="shared" si="43"/>
        <v>7.4343368806139196</v>
      </c>
      <c r="X161" s="352">
        <f t="shared" si="43"/>
        <v>7.4261189493149971</v>
      </c>
      <c r="Y161" s="254"/>
      <c r="AA161" s="24"/>
      <c r="AB161" s="24"/>
      <c r="AC161" s="24"/>
    </row>
    <row r="162" spans="1:29">
      <c r="A162" s="24"/>
      <c r="B162" s="24"/>
      <c r="C162" s="24" t="s">
        <v>421</v>
      </c>
      <c r="D162" s="24"/>
      <c r="E162" s="352">
        <f t="shared" si="39"/>
        <v>46.375704996402163</v>
      </c>
      <c r="F162" s="352">
        <f t="shared" ref="F162:X162" si="44">F$32-F55/$A43</f>
        <v>32.850709111795133</v>
      </c>
      <c r="G162" s="352">
        <f t="shared" si="44"/>
        <v>23.651020153943556</v>
      </c>
      <c r="H162" s="352">
        <f t="shared" si="44"/>
        <v>19.789539907817272</v>
      </c>
      <c r="I162" s="352">
        <f t="shared" si="44"/>
        <v>14.387131398327714</v>
      </c>
      <c r="J162" s="352">
        <f t="shared" si="44"/>
        <v>11.326692305619719</v>
      </c>
      <c r="K162" s="352">
        <f t="shared" si="44"/>
        <v>10.870893197789631</v>
      </c>
      <c r="L162" s="352">
        <f t="shared" si="44"/>
        <v>9.624106834498722</v>
      </c>
      <c r="M162" s="352">
        <f t="shared" si="44"/>
        <v>9.358584516158384</v>
      </c>
      <c r="N162" s="352">
        <f t="shared" si="44"/>
        <v>9.1691532443562664</v>
      </c>
      <c r="O162" s="352">
        <f t="shared" si="44"/>
        <v>9.0640994452009167</v>
      </c>
      <c r="P162" s="352">
        <f t="shared" si="44"/>
        <v>9.6025798504351414</v>
      </c>
      <c r="Q162" s="352">
        <f t="shared" si="44"/>
        <v>9.8721858982919102</v>
      </c>
      <c r="R162" s="352">
        <f t="shared" si="44"/>
        <v>9.0486126798781328</v>
      </c>
      <c r="S162" s="352">
        <f t="shared" si="44"/>
        <v>9.1897433757430775</v>
      </c>
      <c r="T162" s="352">
        <f t="shared" si="44"/>
        <v>8.6476421262536647</v>
      </c>
      <c r="U162" s="352">
        <f t="shared" si="44"/>
        <v>8.2742283409395085</v>
      </c>
      <c r="V162" s="352">
        <f t="shared" si="44"/>
        <v>7.7087681749181201</v>
      </c>
      <c r="W162" s="352">
        <f t="shared" si="44"/>
        <v>7.4343368806139196</v>
      </c>
      <c r="X162" s="352">
        <f t="shared" si="44"/>
        <v>7.4261189493149971</v>
      </c>
      <c r="Y162" s="254"/>
      <c r="AA162" s="24"/>
      <c r="AB162" s="24"/>
      <c r="AC162" s="24"/>
    </row>
    <row r="163" spans="1:29">
      <c r="A163" s="24"/>
      <c r="B163" s="24"/>
      <c r="C163" s="24" t="s">
        <v>424</v>
      </c>
      <c r="D163" s="24"/>
      <c r="E163" s="352">
        <f t="shared" si="39"/>
        <v>46.375704996402163</v>
      </c>
      <c r="F163" s="352">
        <f t="shared" ref="F163:X163" si="45">F$32-F56/$A44</f>
        <v>32.850709111795133</v>
      </c>
      <c r="G163" s="352">
        <f t="shared" si="45"/>
        <v>23.651020153943552</v>
      </c>
      <c r="H163" s="352">
        <f t="shared" si="45"/>
        <v>19.789539907817272</v>
      </c>
      <c r="I163" s="352">
        <f t="shared" si="45"/>
        <v>14.387131398327707</v>
      </c>
      <c r="J163" s="352">
        <f t="shared" si="45"/>
        <v>11.326692305619716</v>
      </c>
      <c r="K163" s="352">
        <f t="shared" si="45"/>
        <v>10.870893197789634</v>
      </c>
      <c r="L163" s="352">
        <f t="shared" si="45"/>
        <v>9.6241068344987184</v>
      </c>
      <c r="M163" s="352">
        <f t="shared" si="45"/>
        <v>9.358584516158384</v>
      </c>
      <c r="N163" s="352">
        <f t="shared" si="45"/>
        <v>9.1691532443562664</v>
      </c>
      <c r="O163" s="352">
        <f t="shared" si="45"/>
        <v>9.0640994452009167</v>
      </c>
      <c r="P163" s="352">
        <f t="shared" si="45"/>
        <v>9.6025798504351485</v>
      </c>
      <c r="Q163" s="352">
        <f t="shared" si="45"/>
        <v>9.8721858982919102</v>
      </c>
      <c r="R163" s="352">
        <f t="shared" si="45"/>
        <v>9.0486126798781328</v>
      </c>
      <c r="S163" s="352">
        <f t="shared" si="45"/>
        <v>9.1897433757430917</v>
      </c>
      <c r="T163" s="352">
        <f t="shared" si="45"/>
        <v>8.6476421262536576</v>
      </c>
      <c r="U163" s="352">
        <f t="shared" si="45"/>
        <v>8.2742283409395014</v>
      </c>
      <c r="V163" s="352">
        <f t="shared" si="45"/>
        <v>7.7087681749181201</v>
      </c>
      <c r="W163" s="352">
        <f t="shared" si="45"/>
        <v>7.4343368806139196</v>
      </c>
      <c r="X163" s="352">
        <f t="shared" si="45"/>
        <v>7.4261189493149971</v>
      </c>
      <c r="Y163" s="254"/>
      <c r="AA163" s="24"/>
      <c r="AB163" s="24"/>
      <c r="AC163" s="24"/>
    </row>
    <row r="164" spans="1:29">
      <c r="A164" s="24"/>
      <c r="B164" s="24"/>
      <c r="C164" s="24" t="s">
        <v>425</v>
      </c>
      <c r="D164" s="24"/>
      <c r="E164" s="352">
        <f t="shared" si="39"/>
        <v>46.375704996402163</v>
      </c>
      <c r="F164" s="352">
        <f t="shared" ref="F164:X164" si="46">F$32-F57/$A45</f>
        <v>32.850709111795133</v>
      </c>
      <c r="G164" s="352">
        <f t="shared" si="46"/>
        <v>23.651020153943552</v>
      </c>
      <c r="H164" s="352">
        <f t="shared" si="46"/>
        <v>19.789539907817272</v>
      </c>
      <c r="I164" s="352">
        <f t="shared" si="46"/>
        <v>14.387131398327707</v>
      </c>
      <c r="J164" s="352">
        <f t="shared" si="46"/>
        <v>11.326692305619716</v>
      </c>
      <c r="K164" s="352">
        <f t="shared" si="46"/>
        <v>10.870893197789634</v>
      </c>
      <c r="L164" s="352">
        <f t="shared" si="46"/>
        <v>9.6241068344987184</v>
      </c>
      <c r="M164" s="352">
        <f t="shared" si="46"/>
        <v>9.358584516158384</v>
      </c>
      <c r="N164" s="352">
        <f t="shared" si="46"/>
        <v>9.1691532443562664</v>
      </c>
      <c r="O164" s="352">
        <f t="shared" si="46"/>
        <v>9.0640994452009167</v>
      </c>
      <c r="P164" s="352">
        <f t="shared" si="46"/>
        <v>9.6025798504351485</v>
      </c>
      <c r="Q164" s="352">
        <f t="shared" si="46"/>
        <v>9.8721858982919102</v>
      </c>
      <c r="R164" s="352">
        <f t="shared" si="46"/>
        <v>9.0486126798781328</v>
      </c>
      <c r="S164" s="352">
        <f t="shared" si="46"/>
        <v>9.1897433757430917</v>
      </c>
      <c r="T164" s="352">
        <f t="shared" si="46"/>
        <v>8.6476421262536576</v>
      </c>
      <c r="U164" s="352">
        <f t="shared" si="46"/>
        <v>8.2742283409395014</v>
      </c>
      <c r="V164" s="352">
        <f t="shared" si="46"/>
        <v>7.7087681749181201</v>
      </c>
      <c r="W164" s="352">
        <f t="shared" si="46"/>
        <v>7.4343368806139196</v>
      </c>
      <c r="X164" s="352">
        <f t="shared" si="46"/>
        <v>7.4261189493149971</v>
      </c>
      <c r="Y164" s="254"/>
      <c r="AA164" s="24"/>
      <c r="AB164" s="24"/>
      <c r="AC164" s="24"/>
    </row>
    <row r="165" spans="1:29">
      <c r="A165" s="24"/>
      <c r="B165" s="24"/>
      <c r="C165" s="24"/>
      <c r="D165" s="24"/>
      <c r="E165" s="256"/>
      <c r="F165" s="256"/>
      <c r="G165" s="256"/>
      <c r="H165" s="256"/>
      <c r="I165" s="256"/>
      <c r="J165" s="256"/>
      <c r="K165" s="256"/>
      <c r="L165" s="256"/>
      <c r="M165" s="256"/>
      <c r="N165" s="256"/>
      <c r="O165" s="256"/>
      <c r="P165" s="256"/>
      <c r="Q165" s="256"/>
      <c r="R165" s="256"/>
      <c r="S165" s="256"/>
      <c r="T165" s="256"/>
      <c r="U165" s="256"/>
      <c r="V165" s="256"/>
      <c r="W165" s="256"/>
      <c r="X165" s="256"/>
      <c r="Y165" s="254"/>
      <c r="AA165" s="24"/>
      <c r="AB165" s="24"/>
      <c r="AC165" s="24"/>
    </row>
    <row r="166" spans="1:29">
      <c r="A166" s="24"/>
      <c r="B166" s="24"/>
      <c r="C166" s="24"/>
      <c r="D166" s="24"/>
      <c r="E166" s="256"/>
      <c r="F166" s="256"/>
      <c r="G166" s="256"/>
      <c r="H166" s="256"/>
      <c r="I166" s="256"/>
      <c r="J166" s="256"/>
      <c r="K166" s="256"/>
      <c r="L166" s="256"/>
      <c r="M166" s="256"/>
      <c r="N166" s="256"/>
      <c r="O166" s="256"/>
      <c r="P166" s="256"/>
      <c r="Q166" s="256"/>
      <c r="R166" s="256"/>
      <c r="S166" s="256"/>
      <c r="T166" s="256"/>
      <c r="U166" s="256"/>
      <c r="V166" s="256"/>
      <c r="W166" s="256"/>
      <c r="X166" s="256"/>
      <c r="Y166" s="254"/>
      <c r="AA166" s="24"/>
      <c r="AB166" s="24"/>
      <c r="AC166" s="24"/>
    </row>
    <row r="167" spans="1:29">
      <c r="A167" s="24"/>
      <c r="B167" s="24"/>
      <c r="C167" s="24" t="s">
        <v>798</v>
      </c>
      <c r="D167" s="24"/>
      <c r="E167" s="256">
        <f>E157</f>
        <v>46.375704996402163</v>
      </c>
      <c r="F167" s="256">
        <f t="shared" ref="F167:X167" si="47">F157</f>
        <v>32.850709111795133</v>
      </c>
      <c r="G167" s="256">
        <f t="shared" si="47"/>
        <v>23.651020153943552</v>
      </c>
      <c r="H167" s="256">
        <f t="shared" si="47"/>
        <v>19.789539907817272</v>
      </c>
      <c r="I167" s="256">
        <f t="shared" si="47"/>
        <v>14.387131398327707</v>
      </c>
      <c r="J167" s="256">
        <f t="shared" si="47"/>
        <v>11.326692305619716</v>
      </c>
      <c r="K167" s="256">
        <f t="shared" si="47"/>
        <v>10.870893197789634</v>
      </c>
      <c r="L167" s="256">
        <f t="shared" si="47"/>
        <v>9.6241068344987184</v>
      </c>
      <c r="M167" s="256">
        <f t="shared" si="47"/>
        <v>9.358584516158384</v>
      </c>
      <c r="N167" s="256">
        <f t="shared" si="47"/>
        <v>9.1691532443562664</v>
      </c>
      <c r="O167" s="256">
        <f t="shared" si="47"/>
        <v>9.0640994452009167</v>
      </c>
      <c r="P167" s="256">
        <f t="shared" si="47"/>
        <v>9.6025798504351485</v>
      </c>
      <c r="Q167" s="256">
        <f t="shared" si="47"/>
        <v>9.8721858982919102</v>
      </c>
      <c r="R167" s="256">
        <f t="shared" si="47"/>
        <v>9.0486126798781328</v>
      </c>
      <c r="S167" s="256">
        <f t="shared" si="47"/>
        <v>9.1897433757430917</v>
      </c>
      <c r="T167" s="256">
        <f t="shared" si="47"/>
        <v>8.6476421262536576</v>
      </c>
      <c r="U167" s="256">
        <f t="shared" si="47"/>
        <v>8.2742283409395014</v>
      </c>
      <c r="V167" s="256">
        <f t="shared" si="47"/>
        <v>7.7087681749181201</v>
      </c>
      <c r="W167" s="256">
        <f t="shared" si="47"/>
        <v>7.4343368806139196</v>
      </c>
      <c r="X167" s="256">
        <f t="shared" si="47"/>
        <v>7.4261189493149971</v>
      </c>
      <c r="Y167" s="254">
        <f>SUM(E167:X167)</f>
        <v>273.67185138829791</v>
      </c>
      <c r="AA167" s="24"/>
      <c r="AB167" s="24"/>
      <c r="AC167" s="24"/>
    </row>
    <row r="168" spans="1:29">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AA168" s="24"/>
      <c r="AB168" s="24"/>
      <c r="AC168" s="24"/>
    </row>
    <row r="169" spans="1:29">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AA169" s="24"/>
      <c r="AB169" s="24"/>
      <c r="AC169" s="24"/>
    </row>
    <row r="170" spans="1:29">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AA170" s="24"/>
      <c r="AB170" s="24"/>
      <c r="AC170" s="24"/>
    </row>
    <row r="171" spans="1:29">
      <c r="A171" s="24"/>
      <c r="B171" s="24"/>
      <c r="C171" s="287" t="s">
        <v>799</v>
      </c>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AA171" s="287"/>
      <c r="AB171" s="287"/>
      <c r="AC171" s="287"/>
    </row>
    <row r="172" spans="1:29">
      <c r="A172" s="24"/>
      <c r="B172" s="24"/>
      <c r="C172" s="287" t="s">
        <v>800</v>
      </c>
      <c r="D172" s="287"/>
      <c r="E172" s="288">
        <f>E157</f>
        <v>46.375704996402163</v>
      </c>
      <c r="F172" s="288">
        <f t="shared" ref="F172:X172" si="48">F157</f>
        <v>32.850709111795133</v>
      </c>
      <c r="G172" s="288">
        <f t="shared" si="48"/>
        <v>23.651020153943552</v>
      </c>
      <c r="H172" s="288">
        <f t="shared" si="48"/>
        <v>19.789539907817272</v>
      </c>
      <c r="I172" s="288">
        <f t="shared" si="48"/>
        <v>14.387131398327707</v>
      </c>
      <c r="J172" s="288">
        <f t="shared" si="48"/>
        <v>11.326692305619716</v>
      </c>
      <c r="K172" s="288">
        <f t="shared" si="48"/>
        <v>10.870893197789634</v>
      </c>
      <c r="L172" s="288">
        <f t="shared" si="48"/>
        <v>9.6241068344987184</v>
      </c>
      <c r="M172" s="288">
        <f t="shared" si="48"/>
        <v>9.358584516158384</v>
      </c>
      <c r="N172" s="288">
        <f t="shared" si="48"/>
        <v>9.1691532443562664</v>
      </c>
      <c r="O172" s="288">
        <f t="shared" si="48"/>
        <v>9.0640994452009167</v>
      </c>
      <c r="P172" s="288">
        <f t="shared" si="48"/>
        <v>9.6025798504351485</v>
      </c>
      <c r="Q172" s="288">
        <f t="shared" si="48"/>
        <v>9.8721858982919102</v>
      </c>
      <c r="R172" s="288">
        <f t="shared" si="48"/>
        <v>9.0486126798781328</v>
      </c>
      <c r="S172" s="288">
        <f t="shared" si="48"/>
        <v>9.1897433757430917</v>
      </c>
      <c r="T172" s="288">
        <f t="shared" si="48"/>
        <v>8.6476421262536576</v>
      </c>
      <c r="U172" s="288">
        <f t="shared" si="48"/>
        <v>8.2742283409395014</v>
      </c>
      <c r="V172" s="288">
        <f t="shared" si="48"/>
        <v>7.7087681749181201</v>
      </c>
      <c r="W172" s="288">
        <f t="shared" si="48"/>
        <v>7.4343368806139196</v>
      </c>
      <c r="X172" s="288">
        <f t="shared" si="48"/>
        <v>7.4261189493149971</v>
      </c>
      <c r="Y172" s="289">
        <f>SUM(E172:X172)</f>
        <v>273.67185138829791</v>
      </c>
      <c r="AA172" s="287"/>
      <c r="AB172" s="287"/>
      <c r="AC172" s="287"/>
    </row>
    <row r="173" spans="1:29">
      <c r="A173" s="24"/>
      <c r="B173" s="24"/>
      <c r="C173" s="287" t="s">
        <v>801</v>
      </c>
      <c r="D173" s="287"/>
      <c r="E173" s="288">
        <f t="shared" ref="E173:X173" si="49">E57+E172</f>
        <v>53.892719487246282</v>
      </c>
      <c r="F173" s="288">
        <f t="shared" si="49"/>
        <v>44.406275355458227</v>
      </c>
      <c r="G173" s="288">
        <f t="shared" si="49"/>
        <v>37.114103499276951</v>
      </c>
      <c r="H173" s="288">
        <f t="shared" si="49"/>
        <v>35.875811690306278</v>
      </c>
      <c r="I173" s="288">
        <f t="shared" si="49"/>
        <v>29.907620605917678</v>
      </c>
      <c r="J173" s="288">
        <f t="shared" si="49"/>
        <v>26.740967607090209</v>
      </c>
      <c r="K173" s="288">
        <f t="shared" si="49"/>
        <v>28.821981890954717</v>
      </c>
      <c r="L173" s="288">
        <f t="shared" si="49"/>
        <v>28.306044732616609</v>
      </c>
      <c r="M173" s="288">
        <f t="shared" si="49"/>
        <v>30.150232324958836</v>
      </c>
      <c r="N173" s="288">
        <f t="shared" si="49"/>
        <v>31.955558251516909</v>
      </c>
      <c r="O173" s="288">
        <f t="shared" si="49"/>
        <v>33.769981207412208</v>
      </c>
      <c r="P173" s="288">
        <f t="shared" si="49"/>
        <v>37.832107997817218</v>
      </c>
      <c r="Q173" s="288">
        <f t="shared" si="49"/>
        <v>40.732768447728034</v>
      </c>
      <c r="R173" s="288">
        <f t="shared" si="49"/>
        <v>38.771446499128004</v>
      </c>
      <c r="S173" s="288">
        <f t="shared" si="49"/>
        <v>40.599250120859054</v>
      </c>
      <c r="T173" s="288">
        <f t="shared" si="49"/>
        <v>39.155335677386049</v>
      </c>
      <c r="U173" s="288">
        <f t="shared" si="49"/>
        <v>38.207629617861642</v>
      </c>
      <c r="V173" s="288">
        <f t="shared" si="49"/>
        <v>36.156384441936389</v>
      </c>
      <c r="W173" s="288">
        <f t="shared" si="49"/>
        <v>35.302468090415758</v>
      </c>
      <c r="X173" s="288">
        <f t="shared" si="49"/>
        <v>35.608525957768748</v>
      </c>
      <c r="Y173" s="289">
        <f>SUM(E173:X173)</f>
        <v>723.3072135036557</v>
      </c>
      <c r="AA173" s="287" t="s">
        <v>802</v>
      </c>
      <c r="AB173" s="287"/>
      <c r="AC173" s="287"/>
    </row>
    <row r="174" spans="1:29">
      <c r="A174" s="24"/>
      <c r="B174" s="24"/>
      <c r="C174" s="287" t="s">
        <v>803</v>
      </c>
      <c r="D174" s="287"/>
      <c r="E174" s="288">
        <f t="shared" ref="E174:X174" si="50">E32-E173</f>
        <v>3.2215776389331907</v>
      </c>
      <c r="F174" s="288">
        <f t="shared" si="50"/>
        <v>4.9523855329984698</v>
      </c>
      <c r="G174" s="288">
        <f t="shared" si="50"/>
        <v>5.7698928622857437</v>
      </c>
      <c r="H174" s="288">
        <f t="shared" si="50"/>
        <v>6.8941164782095825</v>
      </c>
      <c r="I174" s="288">
        <f t="shared" si="50"/>
        <v>6.651638231824279</v>
      </c>
      <c r="J174" s="288">
        <f t="shared" si="50"/>
        <v>6.606117986344497</v>
      </c>
      <c r="K174" s="288">
        <f t="shared" si="50"/>
        <v>7.6933237256421805</v>
      </c>
      <c r="L174" s="288">
        <f t="shared" si="50"/>
        <v>8.0065448134790991</v>
      </c>
      <c r="M174" s="288">
        <f t="shared" si="50"/>
        <v>8.9107062037716247</v>
      </c>
      <c r="N174" s="288">
        <f t="shared" si="50"/>
        <v>9.7656021459259925</v>
      </c>
      <c r="O174" s="288">
        <f t="shared" si="50"/>
        <v>10.588235040947701</v>
      </c>
      <c r="P174" s="288">
        <f t="shared" si="50"/>
        <v>12.098369206020884</v>
      </c>
      <c r="Q174" s="288">
        <f t="shared" si="50"/>
        <v>13.225963949758345</v>
      </c>
      <c r="R174" s="288">
        <f t="shared" si="50"/>
        <v>12.738357351107098</v>
      </c>
      <c r="S174" s="288">
        <f t="shared" si="50"/>
        <v>13.461217176478272</v>
      </c>
      <c r="T174" s="288">
        <f t="shared" si="50"/>
        <v>13.07472580762817</v>
      </c>
      <c r="U174" s="288">
        <f t="shared" si="50"/>
        <v>12.828600547252357</v>
      </c>
      <c r="V174" s="288">
        <f t="shared" si="50"/>
        <v>12.191835543007834</v>
      </c>
      <c r="W174" s="288">
        <f t="shared" si="50"/>
        <v>11.943484804200793</v>
      </c>
      <c r="X174" s="288">
        <f t="shared" si="50"/>
        <v>12.078174432194466</v>
      </c>
      <c r="Y174" s="289">
        <f>SUM(E174:X174)</f>
        <v>192.70086947801062</v>
      </c>
      <c r="AA174" s="287"/>
      <c r="AB174" s="287"/>
      <c r="AC174" s="287"/>
    </row>
    <row r="175" spans="1:29">
      <c r="A175" s="24"/>
      <c r="B175" s="24"/>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AA175" s="287"/>
      <c r="AB175" s="287"/>
      <c r="AC175" s="287"/>
    </row>
    <row r="176" spans="1:29">
      <c r="A176" s="24"/>
      <c r="B176" s="24"/>
      <c r="C176" s="287" t="s">
        <v>804</v>
      </c>
      <c r="D176" s="287"/>
      <c r="E176" s="288">
        <f>E173*$Z$12</f>
        <v>45.808811564159342</v>
      </c>
      <c r="F176" s="288">
        <f t="shared" ref="F176:X176" si="51">F173*$Z$12</f>
        <v>37.745334052139491</v>
      </c>
      <c r="G176" s="288">
        <f t="shared" si="51"/>
        <v>31.546987974385406</v>
      </c>
      <c r="H176" s="288">
        <f t="shared" si="51"/>
        <v>30.494439936760337</v>
      </c>
      <c r="I176" s="288">
        <f t="shared" si="51"/>
        <v>25.421477515030027</v>
      </c>
      <c r="J176" s="288">
        <f t="shared" si="51"/>
        <v>22.729822466026675</v>
      </c>
      <c r="K176" s="288">
        <f t="shared" si="51"/>
        <v>24.49868460731151</v>
      </c>
      <c r="L176" s="288">
        <f t="shared" si="51"/>
        <v>24.060138022724118</v>
      </c>
      <c r="M176" s="288">
        <f t="shared" si="51"/>
        <v>25.627697476215008</v>
      </c>
      <c r="N176" s="288">
        <f t="shared" si="51"/>
        <v>27.162224513789372</v>
      </c>
      <c r="O176" s="288">
        <f t="shared" si="51"/>
        <v>28.704484026300374</v>
      </c>
      <c r="P176" s="288">
        <f t="shared" si="51"/>
        <v>32.157291798144634</v>
      </c>
      <c r="Q176" s="288">
        <f t="shared" si="51"/>
        <v>34.622853180568825</v>
      </c>
      <c r="R176" s="288">
        <f t="shared" si="51"/>
        <v>32.9557295242588</v>
      </c>
      <c r="S176" s="288">
        <f t="shared" si="51"/>
        <v>34.509362602730192</v>
      </c>
      <c r="T176" s="288">
        <f t="shared" si="51"/>
        <v>33.282035325778139</v>
      </c>
      <c r="U176" s="288">
        <f t="shared" si="51"/>
        <v>32.476485175182397</v>
      </c>
      <c r="V176" s="288">
        <f t="shared" si="51"/>
        <v>30.732926775645929</v>
      </c>
      <c r="W176" s="288">
        <f t="shared" si="51"/>
        <v>30.007097876853393</v>
      </c>
      <c r="X176" s="288">
        <f t="shared" si="51"/>
        <v>30.267247064103437</v>
      </c>
      <c r="Y176" s="289">
        <f>SUM(E176:X176)</f>
        <v>614.81113147810743</v>
      </c>
      <c r="AA176" s="287" t="s">
        <v>701</v>
      </c>
      <c r="AB176" s="287"/>
      <c r="AC176" s="287"/>
    </row>
    <row r="177" spans="1:29">
      <c r="A177" s="24"/>
      <c r="B177" s="24"/>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8">
        <f>Y157+Y57</f>
        <v>723.3072135036557</v>
      </c>
      <c r="AA177" s="287" t="s">
        <v>805</v>
      </c>
      <c r="AB177" s="287"/>
      <c r="AC177" s="287"/>
    </row>
    <row r="180" spans="1:29">
      <c r="Y180">
        <f>Y176/Y177</f>
        <v>0.85000000000000009</v>
      </c>
    </row>
  </sheetData>
  <mergeCells count="1">
    <mergeCell ref="B1:S5"/>
  </mergeCells>
  <dataValidations disablePrompts="1" count="1">
    <dataValidation type="list" allowBlank="1" showInputMessage="1" showErrorMessage="1" sqref="D8">
      <formula1>"ID, MT, OR, WA, Region"</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codeName="Sheet2"/>
  <dimension ref="A1:Z204"/>
  <sheetViews>
    <sheetView topLeftCell="A85" workbookViewId="0">
      <selection activeCell="D90" sqref="D90:D97"/>
    </sheetView>
  </sheetViews>
  <sheetFormatPr defaultRowHeight="12.75"/>
  <cols>
    <col min="1" max="1" width="45.5703125" customWidth="1"/>
    <col min="2" max="2" width="18.7109375" customWidth="1"/>
    <col min="3" max="3" width="20.42578125" customWidth="1"/>
    <col min="4" max="4" width="42" customWidth="1"/>
    <col min="5" max="5" width="11" customWidth="1"/>
    <col min="10" max="10" width="9.28515625" bestFit="1" customWidth="1"/>
    <col min="24" max="24" width="10" customWidth="1"/>
    <col min="25" max="25" width="12" customWidth="1"/>
  </cols>
  <sheetData>
    <row r="1" spans="1:26">
      <c r="A1" s="234" t="s">
        <v>691</v>
      </c>
      <c r="B1" s="372" t="s">
        <v>978</v>
      </c>
      <c r="C1" s="373"/>
      <c r="D1" s="373"/>
      <c r="E1" s="373"/>
      <c r="F1" s="373"/>
      <c r="G1" s="373"/>
      <c r="H1" s="373"/>
      <c r="I1" s="373"/>
      <c r="J1" s="373"/>
      <c r="K1" s="373"/>
      <c r="L1" s="373"/>
      <c r="M1" s="373"/>
      <c r="N1" s="373"/>
      <c r="O1" s="373"/>
      <c r="P1" s="373"/>
      <c r="Q1" s="373"/>
      <c r="R1" s="373"/>
      <c r="S1" s="374"/>
      <c r="T1" s="235"/>
      <c r="U1" s="235"/>
      <c r="V1" s="235"/>
      <c r="W1" s="235"/>
      <c r="X1" s="24"/>
      <c r="Y1" s="24"/>
      <c r="Z1" s="24"/>
    </row>
    <row r="2" spans="1:26">
      <c r="A2" s="236"/>
      <c r="B2" s="375"/>
      <c r="C2" s="376"/>
      <c r="D2" s="376"/>
      <c r="E2" s="376"/>
      <c r="F2" s="376"/>
      <c r="G2" s="376"/>
      <c r="H2" s="376"/>
      <c r="I2" s="376"/>
      <c r="J2" s="376"/>
      <c r="K2" s="376"/>
      <c r="L2" s="376"/>
      <c r="M2" s="376"/>
      <c r="N2" s="376"/>
      <c r="O2" s="376"/>
      <c r="P2" s="376"/>
      <c r="Q2" s="376"/>
      <c r="R2" s="376"/>
      <c r="S2" s="377"/>
      <c r="T2" s="237"/>
      <c r="U2" s="237"/>
      <c r="V2" s="237"/>
      <c r="W2" s="237"/>
      <c r="X2" s="24"/>
      <c r="Y2" s="24"/>
      <c r="Z2" s="24"/>
    </row>
    <row r="3" spans="1:26">
      <c r="A3" s="236"/>
      <c r="B3" s="375"/>
      <c r="C3" s="376"/>
      <c r="D3" s="376"/>
      <c r="E3" s="376"/>
      <c r="F3" s="376"/>
      <c r="G3" s="376"/>
      <c r="H3" s="376"/>
      <c r="I3" s="376"/>
      <c r="J3" s="376"/>
      <c r="K3" s="376"/>
      <c r="L3" s="376"/>
      <c r="M3" s="376"/>
      <c r="N3" s="376"/>
      <c r="O3" s="376"/>
      <c r="P3" s="376"/>
      <c r="Q3" s="376"/>
      <c r="R3" s="376"/>
      <c r="S3" s="377"/>
      <c r="T3" s="237"/>
      <c r="U3" s="237"/>
      <c r="V3" s="237"/>
      <c r="W3" s="237"/>
      <c r="X3" s="24"/>
      <c r="Y3" s="24"/>
      <c r="Z3" s="24"/>
    </row>
    <row r="4" spans="1:26">
      <c r="A4" s="236"/>
      <c r="B4" s="375"/>
      <c r="C4" s="376"/>
      <c r="D4" s="376"/>
      <c r="E4" s="376"/>
      <c r="F4" s="376"/>
      <c r="G4" s="376"/>
      <c r="H4" s="376"/>
      <c r="I4" s="376"/>
      <c r="J4" s="376"/>
      <c r="K4" s="376"/>
      <c r="L4" s="376"/>
      <c r="M4" s="376"/>
      <c r="N4" s="376"/>
      <c r="O4" s="376"/>
      <c r="P4" s="376"/>
      <c r="Q4" s="376"/>
      <c r="R4" s="376"/>
      <c r="S4" s="377"/>
      <c r="T4" s="237"/>
      <c r="U4" s="237"/>
      <c r="V4" s="237"/>
      <c r="W4" s="237"/>
      <c r="X4" s="24"/>
      <c r="Y4" s="24"/>
      <c r="Z4" s="24"/>
    </row>
    <row r="5" spans="1:26">
      <c r="A5" s="238" t="s">
        <v>692</v>
      </c>
      <c r="B5" s="375"/>
      <c r="C5" s="376"/>
      <c r="D5" s="378"/>
      <c r="E5" s="378"/>
      <c r="F5" s="378"/>
      <c r="G5" s="378"/>
      <c r="H5" s="378"/>
      <c r="I5" s="378"/>
      <c r="J5" s="378"/>
      <c r="K5" s="378"/>
      <c r="L5" s="378"/>
      <c r="M5" s="378"/>
      <c r="N5" s="378"/>
      <c r="O5" s="378"/>
      <c r="P5" s="378"/>
      <c r="Q5" s="378"/>
      <c r="R5" s="378"/>
      <c r="S5" s="379"/>
      <c r="T5" s="237"/>
      <c r="U5" s="237"/>
      <c r="V5" s="237"/>
      <c r="W5" s="237"/>
      <c r="X5" s="24"/>
      <c r="Y5" s="24"/>
      <c r="Z5" s="24"/>
    </row>
    <row r="6" spans="1:26">
      <c r="A6" s="291" t="s">
        <v>830</v>
      </c>
      <c r="B6" s="239"/>
      <c r="C6" s="239"/>
      <c r="D6" s="240"/>
      <c r="E6" s="241"/>
      <c r="F6" s="241"/>
      <c r="G6" s="241"/>
      <c r="H6" s="241"/>
      <c r="I6" s="241"/>
      <c r="J6" s="241"/>
      <c r="K6" s="241"/>
      <c r="L6" s="241"/>
      <c r="M6" s="241"/>
      <c r="N6" s="241"/>
      <c r="O6" s="241"/>
      <c r="P6" s="241"/>
      <c r="Q6" s="241"/>
      <c r="R6" s="241"/>
      <c r="S6" s="242"/>
      <c r="T6" s="237"/>
      <c r="U6" s="237"/>
      <c r="V6" s="237"/>
      <c r="W6" s="237"/>
      <c r="X6" s="24"/>
      <c r="Y6" s="24"/>
      <c r="Z6" s="24"/>
    </row>
    <row r="7" spans="1:26">
      <c r="A7" s="238" t="s">
        <v>831</v>
      </c>
      <c r="B7" s="243" t="s">
        <v>693</v>
      </c>
      <c r="C7" s="244" t="s">
        <v>303</v>
      </c>
      <c r="D7" s="244" t="s">
        <v>950</v>
      </c>
      <c r="E7" s="24"/>
      <c r="F7" s="24"/>
      <c r="G7" s="24"/>
      <c r="H7" s="24"/>
      <c r="I7" s="24"/>
      <c r="J7" s="24"/>
      <c r="K7" s="24"/>
      <c r="L7" s="24"/>
      <c r="M7" s="24"/>
      <c r="N7" s="24"/>
      <c r="O7" s="24"/>
      <c r="P7" s="24"/>
      <c r="Q7" s="24"/>
      <c r="R7" s="24"/>
      <c r="S7" s="24"/>
      <c r="T7" s="24"/>
      <c r="U7" s="24"/>
      <c r="V7" s="24"/>
      <c r="W7" s="24"/>
      <c r="X7" s="24"/>
      <c r="Y7" s="24"/>
      <c r="Z7" s="24"/>
    </row>
    <row r="8" spans="1:26">
      <c r="A8" s="292" t="s">
        <v>922</v>
      </c>
      <c r="B8" s="243" t="s">
        <v>694</v>
      </c>
      <c r="C8" s="244" t="str">
        <f>[1]MLIST!$D$67</f>
        <v>Exterior Building Lighting-NR</v>
      </c>
      <c r="D8" s="244" t="s">
        <v>695</v>
      </c>
      <c r="E8" s="245"/>
      <c r="F8" s="24"/>
      <c r="G8" s="24"/>
      <c r="H8" s="24"/>
      <c r="I8" s="24"/>
      <c r="J8" s="24"/>
      <c r="K8" s="24"/>
      <c r="L8" s="24"/>
      <c r="M8" s="24"/>
      <c r="N8" s="24"/>
      <c r="O8" s="24"/>
      <c r="P8" s="24"/>
      <c r="Q8" s="24"/>
      <c r="R8" s="24"/>
      <c r="S8" s="24"/>
      <c r="T8" s="24"/>
      <c r="U8" s="24"/>
      <c r="V8" s="24"/>
      <c r="W8" s="24"/>
      <c r="X8" s="24"/>
      <c r="Y8" s="24"/>
      <c r="Z8" s="24"/>
    </row>
    <row r="9" spans="1:26">
      <c r="A9" s="24"/>
      <c r="B9" s="246" t="s">
        <v>696</v>
      </c>
      <c r="C9" s="244">
        <f>[1]FILES!$H$4</f>
        <v>2035</v>
      </c>
      <c r="D9" s="244"/>
      <c r="E9" s="247"/>
      <c r="F9" s="24"/>
      <c r="G9" s="24"/>
      <c r="H9" s="24"/>
      <c r="I9" s="24"/>
      <c r="J9" s="24"/>
      <c r="K9" s="24"/>
      <c r="L9" s="24"/>
      <c r="M9" s="24"/>
      <c r="N9" s="24"/>
      <c r="O9" s="24"/>
      <c r="P9" s="24"/>
      <c r="Q9" s="24"/>
      <c r="R9" s="24"/>
      <c r="S9" s="24"/>
      <c r="T9" s="24"/>
      <c r="U9" s="24"/>
      <c r="V9" s="24"/>
      <c r="W9" s="24"/>
      <c r="X9" s="24"/>
      <c r="Y9" s="24"/>
      <c r="Z9" s="24"/>
    </row>
    <row r="10" spans="1:26">
      <c r="A10" s="24"/>
      <c r="B10" s="243" t="s">
        <v>697</v>
      </c>
      <c r="C10" s="248">
        <f ca="1">Z204</f>
        <v>126.15931523421077</v>
      </c>
      <c r="D10" s="24"/>
      <c r="E10" s="24">
        <v>1</v>
      </c>
      <c r="F10" s="24">
        <f>E10+1</f>
        <v>2</v>
      </c>
      <c r="G10" s="24">
        <f t="shared" ref="G10:V11" si="0">F10+1</f>
        <v>3</v>
      </c>
      <c r="H10" s="24">
        <f t="shared" si="0"/>
        <v>4</v>
      </c>
      <c r="I10" s="24">
        <f t="shared" si="0"/>
        <v>5</v>
      </c>
      <c r="J10" s="24">
        <f t="shared" si="0"/>
        <v>6</v>
      </c>
      <c r="K10" s="24">
        <f t="shared" si="0"/>
        <v>7</v>
      </c>
      <c r="L10" s="24">
        <f t="shared" si="0"/>
        <v>8</v>
      </c>
      <c r="M10" s="24">
        <f t="shared" si="0"/>
        <v>9</v>
      </c>
      <c r="N10" s="24">
        <f t="shared" si="0"/>
        <v>10</v>
      </c>
      <c r="O10" s="24">
        <f t="shared" si="0"/>
        <v>11</v>
      </c>
      <c r="P10" s="24">
        <f t="shared" si="0"/>
        <v>12</v>
      </c>
      <c r="Q10" s="24">
        <f t="shared" si="0"/>
        <v>13</v>
      </c>
      <c r="R10" s="24">
        <f t="shared" si="0"/>
        <v>14</v>
      </c>
      <c r="S10" s="24">
        <f t="shared" si="0"/>
        <v>15</v>
      </c>
      <c r="T10" s="24">
        <f t="shared" si="0"/>
        <v>16</v>
      </c>
      <c r="U10" s="24">
        <f t="shared" si="0"/>
        <v>17</v>
      </c>
      <c r="V10" s="24">
        <f t="shared" si="0"/>
        <v>18</v>
      </c>
      <c r="W10" s="24">
        <f t="shared" ref="W10:X11" si="1">V10+1</f>
        <v>19</v>
      </c>
      <c r="X10" s="24">
        <f t="shared" si="1"/>
        <v>20</v>
      </c>
      <c r="Y10" s="24"/>
      <c r="Z10" s="24"/>
    </row>
    <row r="11" spans="1:26" ht="15">
      <c r="A11" s="283" t="s">
        <v>923</v>
      </c>
      <c r="B11" s="250"/>
      <c r="C11" s="243" t="str">
        <f>$C$8</f>
        <v>Exterior Building Lighting-NR</v>
      </c>
      <c r="D11" s="243"/>
      <c r="E11" s="243">
        <f>C9-20+1</f>
        <v>2016</v>
      </c>
      <c r="F11" s="243">
        <f>E11+1</f>
        <v>2017</v>
      </c>
      <c r="G11" s="243">
        <f t="shared" si="0"/>
        <v>2018</v>
      </c>
      <c r="H11" s="243">
        <f t="shared" si="0"/>
        <v>2019</v>
      </c>
      <c r="I11" s="243">
        <f t="shared" si="0"/>
        <v>2020</v>
      </c>
      <c r="J11" s="243">
        <f t="shared" si="0"/>
        <v>2021</v>
      </c>
      <c r="K11" s="243">
        <f t="shared" si="0"/>
        <v>2022</v>
      </c>
      <c r="L11" s="243">
        <f t="shared" si="0"/>
        <v>2023</v>
      </c>
      <c r="M11" s="243">
        <f t="shared" si="0"/>
        <v>2024</v>
      </c>
      <c r="N11" s="243">
        <f t="shared" si="0"/>
        <v>2025</v>
      </c>
      <c r="O11" s="243">
        <f t="shared" si="0"/>
        <v>2026</v>
      </c>
      <c r="P11" s="243">
        <f t="shared" si="0"/>
        <v>2027</v>
      </c>
      <c r="Q11" s="243">
        <f t="shared" si="0"/>
        <v>2028</v>
      </c>
      <c r="R11" s="243">
        <f t="shared" si="0"/>
        <v>2029</v>
      </c>
      <c r="S11" s="243">
        <f t="shared" si="0"/>
        <v>2030</v>
      </c>
      <c r="T11" s="243">
        <f t="shared" si="0"/>
        <v>2031</v>
      </c>
      <c r="U11" s="243">
        <f t="shared" si="0"/>
        <v>2032</v>
      </c>
      <c r="V11" s="243">
        <f t="shared" si="0"/>
        <v>2033</v>
      </c>
      <c r="W11" s="243">
        <f t="shared" si="1"/>
        <v>2034</v>
      </c>
      <c r="X11" s="243">
        <f t="shared" si="1"/>
        <v>2035</v>
      </c>
      <c r="Y11" s="251" t="s">
        <v>698</v>
      </c>
      <c r="Z11" s="251" t="s">
        <v>699</v>
      </c>
    </row>
    <row r="12" spans="1:26">
      <c r="A12" s="243"/>
      <c r="B12" s="243"/>
      <c r="C12" s="342" t="s">
        <v>871</v>
      </c>
      <c r="D12" s="243"/>
      <c r="E12" s="243" t="str">
        <f>CONCATENATE("Floor_",E11)</f>
        <v>Floor_2016</v>
      </c>
      <c r="F12" s="243" t="str">
        <f t="shared" ref="F12:X12" si="2">CONCATENATE("Floor_",F11)</f>
        <v>Floor_2017</v>
      </c>
      <c r="G12" s="243" t="str">
        <f t="shared" si="2"/>
        <v>Floor_2018</v>
      </c>
      <c r="H12" s="243" t="str">
        <f t="shared" si="2"/>
        <v>Floor_2019</v>
      </c>
      <c r="I12" s="243" t="str">
        <f t="shared" si="2"/>
        <v>Floor_2020</v>
      </c>
      <c r="J12" s="243" t="str">
        <f t="shared" si="2"/>
        <v>Floor_2021</v>
      </c>
      <c r="K12" s="243" t="str">
        <f t="shared" si="2"/>
        <v>Floor_2022</v>
      </c>
      <c r="L12" s="243" t="str">
        <f t="shared" si="2"/>
        <v>Floor_2023</v>
      </c>
      <c r="M12" s="243" t="str">
        <f t="shared" si="2"/>
        <v>Floor_2024</v>
      </c>
      <c r="N12" s="243" t="str">
        <f t="shared" si="2"/>
        <v>Floor_2025</v>
      </c>
      <c r="O12" s="243" t="str">
        <f t="shared" si="2"/>
        <v>Floor_2026</v>
      </c>
      <c r="P12" s="243" t="str">
        <f t="shared" si="2"/>
        <v>Floor_2027</v>
      </c>
      <c r="Q12" s="243" t="str">
        <f t="shared" si="2"/>
        <v>Floor_2028</v>
      </c>
      <c r="R12" s="243" t="str">
        <f t="shared" si="2"/>
        <v>Floor_2029</v>
      </c>
      <c r="S12" s="243" t="str">
        <f t="shared" si="2"/>
        <v>Floor_2030</v>
      </c>
      <c r="T12" s="243" t="str">
        <f t="shared" si="2"/>
        <v>Floor_2031</v>
      </c>
      <c r="U12" s="243" t="str">
        <f t="shared" si="2"/>
        <v>Floor_2032</v>
      </c>
      <c r="V12" s="243" t="str">
        <f t="shared" si="2"/>
        <v>Floor_2033</v>
      </c>
      <c r="W12" s="243" t="str">
        <f t="shared" si="2"/>
        <v>Floor_2034</v>
      </c>
      <c r="X12" s="243" t="str">
        <f t="shared" si="2"/>
        <v>Floor_2035</v>
      </c>
      <c r="Y12" s="251"/>
      <c r="Z12" s="252">
        <v>0.85</v>
      </c>
    </row>
    <row r="13" spans="1:26">
      <c r="B13" s="24" t="s">
        <v>806</v>
      </c>
      <c r="C13" s="24" t="s">
        <v>807</v>
      </c>
      <c r="D13" s="24">
        <v>1</v>
      </c>
      <c r="E13" s="253">
        <f>INDEX([2]!ComRegionExistBase,$D13,E$10)</f>
        <v>295.32776918347713</v>
      </c>
      <c r="F13" s="253">
        <f>INDEX([2]!ComRegionExistBase,$D13,F$10)</f>
        <v>294.44178587592666</v>
      </c>
      <c r="G13" s="253">
        <f>INDEX([2]!ComRegionExistBase,$D13,G$10)</f>
        <v>293.55846051829889</v>
      </c>
      <c r="H13" s="253">
        <f>INDEX([2]!ComRegionExistBase,$D13,H$10)</f>
        <v>292.67778513674403</v>
      </c>
      <c r="I13" s="253">
        <f>INDEX([2]!ComRegionExistBase,$D13,I$10)</f>
        <v>291.79975178133378</v>
      </c>
      <c r="J13" s="253">
        <f>INDEX([2]!ComRegionExistBase,$D13,J$10)</f>
        <v>290.92435252598978</v>
      </c>
      <c r="K13" s="253">
        <f>INDEX([2]!ComRegionExistBase,$D13,K$10)</f>
        <v>290.05157946841183</v>
      </c>
      <c r="L13" s="253">
        <f>INDEX([2]!ComRegionExistBase,$D13,L$10)</f>
        <v>289.1814247300066</v>
      </c>
      <c r="M13" s="253">
        <f>INDEX([2]!ComRegionExistBase,$D13,M$10)</f>
        <v>288.31388045581656</v>
      </c>
      <c r="N13" s="253">
        <f>INDEX([2]!ComRegionExistBase,$D13,N$10)</f>
        <v>287.44893881444909</v>
      </c>
      <c r="O13" s="253">
        <f>INDEX([2]!ComRegionExistBase,$D13,O$10)</f>
        <v>286.58659199800576</v>
      </c>
      <c r="P13" s="253">
        <f>INDEX([2]!ComRegionExistBase,$D13,P$10)</f>
        <v>285.72683222201175</v>
      </c>
      <c r="Q13" s="253">
        <f>INDEX([2]!ComRegionExistBase,$D13,Q$10)</f>
        <v>284.86965172534576</v>
      </c>
      <c r="R13" s="253">
        <f>INDEX([2]!ComRegionExistBase,$D13,R$10)</f>
        <v>284.01504277016966</v>
      </c>
      <c r="S13" s="253">
        <f>INDEX([2]!ComRegionExistBase,$D13,S$10)</f>
        <v>283.16299764185914</v>
      </c>
      <c r="T13" s="253">
        <f>INDEX([2]!ComRegionExistBase,$D13,T$10)</f>
        <v>282.31350864893358</v>
      </c>
      <c r="U13" s="253">
        <f>INDEX([2]!ComRegionExistBase,$D13,U$10)</f>
        <v>281.46656812298681</v>
      </c>
      <c r="V13" s="253">
        <f>INDEX([2]!ComRegionExistBase,$D13,V$10)</f>
        <v>280.62216841861789</v>
      </c>
      <c r="W13" s="253">
        <f>INDEX([2]!ComRegionExistBase,$D13,W$10)</f>
        <v>279.780301913362</v>
      </c>
      <c r="X13" s="253">
        <f>INDEX([2]!ComRegionExistBase,$D13,X$10)</f>
        <v>278.94096100762192</v>
      </c>
      <c r="Y13" s="253"/>
      <c r="Z13" s="198"/>
    </row>
    <row r="14" spans="1:26">
      <c r="B14" s="24" t="s">
        <v>806</v>
      </c>
      <c r="C14" s="24" t="s">
        <v>808</v>
      </c>
      <c r="D14" s="24">
        <v>2</v>
      </c>
      <c r="E14" s="253">
        <f>INDEX([2]!ComRegionExistBase,$D14,E$10)</f>
        <v>152.01591386685044</v>
      </c>
      <c r="F14" s="253">
        <f>INDEX([2]!ComRegionExistBase,$D14,F$10)</f>
        <v>151.55986612524987</v>
      </c>
      <c r="G14" s="253">
        <f>INDEX([2]!ComRegionExistBase,$D14,G$10)</f>
        <v>151.10518652687412</v>
      </c>
      <c r="H14" s="253">
        <f>INDEX([2]!ComRegionExistBase,$D14,H$10)</f>
        <v>150.65187096729346</v>
      </c>
      <c r="I14" s="253">
        <f>INDEX([2]!ComRegionExistBase,$D14,I$10)</f>
        <v>150.19991535439161</v>
      </c>
      <c r="J14" s="253">
        <f>INDEX([2]!ComRegionExistBase,$D14,J$10)</f>
        <v>149.74931560832843</v>
      </c>
      <c r="K14" s="253">
        <f>INDEX([2]!ComRegionExistBase,$D14,K$10)</f>
        <v>149.30006766150345</v>
      </c>
      <c r="L14" s="253">
        <f>INDEX([2]!ComRegionExistBase,$D14,L$10)</f>
        <v>148.85216745851892</v>
      </c>
      <c r="M14" s="253">
        <f>INDEX([2]!ComRegionExistBase,$D14,M$10)</f>
        <v>148.40561095614336</v>
      </c>
      <c r="N14" s="253">
        <f>INDEX([2]!ComRegionExistBase,$D14,N$10)</f>
        <v>147.96039412327491</v>
      </c>
      <c r="O14" s="253">
        <f>INDEX([2]!ComRegionExistBase,$D14,O$10)</f>
        <v>147.5165129409051</v>
      </c>
      <c r="P14" s="253">
        <f>INDEX([2]!ComRegionExistBase,$D14,P$10)</f>
        <v>147.0739634020824</v>
      </c>
      <c r="Q14" s="253">
        <f>INDEX([2]!ComRegionExistBase,$D14,Q$10)</f>
        <v>146.63274151187616</v>
      </c>
      <c r="R14" s="253">
        <f>INDEX([2]!ComRegionExistBase,$D14,R$10)</f>
        <v>146.19284328734051</v>
      </c>
      <c r="S14" s="253">
        <f>INDEX([2]!ComRegionExistBase,$D14,S$10)</f>
        <v>145.7542647574785</v>
      </c>
      <c r="T14" s="253">
        <f>INDEX([2]!ComRegionExistBase,$D14,T$10)</f>
        <v>145.31700196320602</v>
      </c>
      <c r="U14" s="253">
        <f>INDEX([2]!ComRegionExistBase,$D14,U$10)</f>
        <v>144.8810509573164</v>
      </c>
      <c r="V14" s="253">
        <f>INDEX([2]!ComRegionExistBase,$D14,V$10)</f>
        <v>144.4464078044445</v>
      </c>
      <c r="W14" s="253">
        <f>INDEX([2]!ComRegionExistBase,$D14,W$10)</f>
        <v>144.01306858103112</v>
      </c>
      <c r="X14" s="253">
        <f>INDEX([2]!ComRegionExistBase,$D14,X$10)</f>
        <v>143.58102937528807</v>
      </c>
      <c r="Y14" s="253"/>
      <c r="Z14" s="198"/>
    </row>
    <row r="15" spans="1:26">
      <c r="B15" s="24" t="s">
        <v>806</v>
      </c>
      <c r="C15" s="24" t="s">
        <v>809</v>
      </c>
      <c r="D15" s="24">
        <v>3</v>
      </c>
      <c r="E15" s="253">
        <f>INDEX([2]!ComRegionExistBase,$D15,E$10)</f>
        <v>139.8090937652878</v>
      </c>
      <c r="F15" s="253">
        <f>INDEX([2]!ComRegionExistBase,$D15,F$10)</f>
        <v>139.3896664839919</v>
      </c>
      <c r="G15" s="253">
        <f>INDEX([2]!ComRegionExistBase,$D15,G$10)</f>
        <v>138.97149748453992</v>
      </c>
      <c r="H15" s="253">
        <f>INDEX([2]!ComRegionExistBase,$D15,H$10)</f>
        <v>138.55458299208632</v>
      </c>
      <c r="I15" s="253">
        <f>INDEX([2]!ComRegionExistBase,$D15,I$10)</f>
        <v>138.13891924311005</v>
      </c>
      <c r="J15" s="253">
        <f>INDEX([2]!ComRegionExistBase,$D15,J$10)</f>
        <v>137.72450248538073</v>
      </c>
      <c r="K15" s="253">
        <f>INDEX([2]!ComRegionExistBase,$D15,K$10)</f>
        <v>137.31132897792457</v>
      </c>
      <c r="L15" s="253">
        <f>INDEX([2]!ComRegionExistBase,$D15,L$10)</f>
        <v>136.8993949909908</v>
      </c>
      <c r="M15" s="253">
        <f>INDEX([2]!ComRegionExistBase,$D15,M$10)</f>
        <v>136.48869680601783</v>
      </c>
      <c r="N15" s="253">
        <f>INDEX([2]!ComRegionExistBase,$D15,N$10)</f>
        <v>136.07923071559978</v>
      </c>
      <c r="O15" s="253">
        <f>INDEX([2]!ComRegionExistBase,$D15,O$10)</f>
        <v>135.67099302345298</v>
      </c>
      <c r="P15" s="253">
        <f>INDEX([2]!ComRegionExistBase,$D15,P$10)</f>
        <v>135.26398004438261</v>
      </c>
      <c r="Q15" s="253">
        <f>INDEX([2]!ComRegionExistBase,$D15,Q$10)</f>
        <v>134.85818810424951</v>
      </c>
      <c r="R15" s="253">
        <f>INDEX([2]!ComRegionExistBase,$D15,R$10)</f>
        <v>134.45361353993673</v>
      </c>
      <c r="S15" s="253">
        <f>INDEX([2]!ComRegionExistBase,$D15,S$10)</f>
        <v>134.0502526993169</v>
      </c>
      <c r="T15" s="253">
        <f>INDEX([2]!ComRegionExistBase,$D15,T$10)</f>
        <v>133.64810194121895</v>
      </c>
      <c r="U15" s="253">
        <f>INDEX([2]!ComRegionExistBase,$D15,U$10)</f>
        <v>133.2471576353953</v>
      </c>
      <c r="V15" s="253">
        <f>INDEX([2]!ComRegionExistBase,$D15,V$10)</f>
        <v>132.84741616248911</v>
      </c>
      <c r="W15" s="253">
        <f>INDEX([2]!ComRegionExistBase,$D15,W$10)</f>
        <v>132.44887391400164</v>
      </c>
      <c r="X15" s="253">
        <f>INDEX([2]!ComRegionExistBase,$D15,X$10)</f>
        <v>132.05152729225964</v>
      </c>
      <c r="Y15" s="253"/>
      <c r="Z15" s="198"/>
    </row>
    <row r="16" spans="1:26">
      <c r="B16" s="24" t="s">
        <v>810</v>
      </c>
      <c r="C16" s="24" t="s">
        <v>811</v>
      </c>
      <c r="D16" s="284">
        <v>4</v>
      </c>
      <c r="E16" s="253">
        <f>INDEX([2]!ComRegionExistBase,$D16,E$10)</f>
        <v>145.31748571570353</v>
      </c>
      <c r="F16" s="253">
        <f>INDEX([2]!ComRegionExistBase,$D16,F$10)</f>
        <v>144.6490252814113</v>
      </c>
      <c r="G16" s="253">
        <f>INDEX([2]!ComRegionExistBase,$D16,G$10)</f>
        <v>143.98363976511678</v>
      </c>
      <c r="H16" s="253">
        <f>INDEX([2]!ComRegionExistBase,$D16,H$10)</f>
        <v>143.32131502219721</v>
      </c>
      <c r="I16" s="253">
        <f>INDEX([2]!ComRegionExistBase,$D16,I$10)</f>
        <v>142.66203697309513</v>
      </c>
      <c r="J16" s="253">
        <f>INDEX([2]!ComRegionExistBase,$D16,J$10)</f>
        <v>142.00579160301888</v>
      </c>
      <c r="K16" s="253">
        <f>INDEX([2]!ComRegionExistBase,$D16,K$10)</f>
        <v>141.35256496164499</v>
      </c>
      <c r="L16" s="253">
        <f>INDEX([2]!ComRegionExistBase,$D16,L$10)</f>
        <v>140.70234316282142</v>
      </c>
      <c r="M16" s="253">
        <f>INDEX([2]!ComRegionExistBase,$D16,M$10)</f>
        <v>140.05511238427243</v>
      </c>
      <c r="N16" s="253">
        <f>INDEX([2]!ComRegionExistBase,$D16,N$10)</f>
        <v>139.41085886730474</v>
      </c>
      <c r="O16" s="253">
        <f>INDEX([2]!ComRegionExistBase,$D16,O$10)</f>
        <v>138.76956891651517</v>
      </c>
      <c r="P16" s="253">
        <f>INDEX([2]!ComRegionExistBase,$D16,P$10)</f>
        <v>138.13122889949918</v>
      </c>
      <c r="Q16" s="253">
        <f>INDEX([2]!ComRegionExistBase,$D16,Q$10)</f>
        <v>137.49582524656148</v>
      </c>
      <c r="R16" s="253">
        <f>INDEX([2]!ComRegionExistBase,$D16,R$10)</f>
        <v>136.86334445042729</v>
      </c>
      <c r="S16" s="253">
        <f>INDEX([2]!ComRegionExistBase,$D16,S$10)</f>
        <v>136.23377306595532</v>
      </c>
      <c r="T16" s="253">
        <f>INDEX([2]!ComRegionExistBase,$D16,T$10)</f>
        <v>135.6070977098519</v>
      </c>
      <c r="U16" s="253">
        <f>INDEX([2]!ComRegionExistBase,$D16,U$10)</f>
        <v>134.98330506038658</v>
      </c>
      <c r="V16" s="253">
        <f>INDEX([2]!ComRegionExistBase,$D16,V$10)</f>
        <v>134.36238185710877</v>
      </c>
      <c r="W16" s="253">
        <f>INDEX([2]!ComRegionExistBase,$D16,W$10)</f>
        <v>133.74431490056608</v>
      </c>
      <c r="X16" s="253">
        <f>INDEX([2]!ComRegionExistBase,$D16,X$10)</f>
        <v>133.12909105202345</v>
      </c>
      <c r="Y16" s="253"/>
      <c r="Z16" s="198"/>
    </row>
    <row r="17" spans="1:26">
      <c r="B17" s="24" t="s">
        <v>810</v>
      </c>
      <c r="C17" s="24" t="s">
        <v>812</v>
      </c>
      <c r="D17" s="284">
        <v>5</v>
      </c>
      <c r="E17" s="253">
        <f>INDEX([2]!ComRegionExistBase,$D17,E$10)</f>
        <v>222.59784606545909</v>
      </c>
      <c r="F17" s="253">
        <f>INDEX([2]!ComRegionExistBase,$D17,F$10)</f>
        <v>221.57389597355794</v>
      </c>
      <c r="G17" s="253">
        <f>INDEX([2]!ComRegionExistBase,$D17,G$10)</f>
        <v>220.55465605207957</v>
      </c>
      <c r="H17" s="253">
        <f>INDEX([2]!ComRegionExistBase,$D17,H$10)</f>
        <v>219.54010463423998</v>
      </c>
      <c r="I17" s="253">
        <f>INDEX([2]!ComRegionExistBase,$D17,I$10)</f>
        <v>218.53022015292248</v>
      </c>
      <c r="J17" s="253">
        <f>INDEX([2]!ComRegionExistBase,$D17,J$10)</f>
        <v>217.52498114021907</v>
      </c>
      <c r="K17" s="253">
        <f>INDEX([2]!ComRegionExistBase,$D17,K$10)</f>
        <v>216.524366226974</v>
      </c>
      <c r="L17" s="253">
        <f>INDEX([2]!ComRegionExistBase,$D17,L$10)</f>
        <v>215.52835414232993</v>
      </c>
      <c r="M17" s="253">
        <f>INDEX([2]!ComRegionExistBase,$D17,M$10)</f>
        <v>214.53692371327523</v>
      </c>
      <c r="N17" s="253">
        <f>INDEX([2]!ComRegionExistBase,$D17,N$10)</f>
        <v>213.55005386419413</v>
      </c>
      <c r="O17" s="253">
        <f>INDEX([2]!ComRegionExistBase,$D17,O$10)</f>
        <v>212.56772361641885</v>
      </c>
      <c r="P17" s="253">
        <f>INDEX([2]!ComRegionExistBase,$D17,P$10)</f>
        <v>211.58991208778329</v>
      </c>
      <c r="Q17" s="253">
        <f>INDEX([2]!ComRegionExistBase,$D17,Q$10)</f>
        <v>210.61659849217949</v>
      </c>
      <c r="R17" s="253">
        <f>INDEX([2]!ComRegionExistBase,$D17,R$10)</f>
        <v>209.64776213911549</v>
      </c>
      <c r="S17" s="253">
        <f>INDEX([2]!ComRegionExistBase,$D17,S$10)</f>
        <v>208.68338243327554</v>
      </c>
      <c r="T17" s="253">
        <f>INDEX([2]!ComRegionExistBase,$D17,T$10)</f>
        <v>207.72343887408246</v>
      </c>
      <c r="U17" s="253">
        <f>INDEX([2]!ComRegionExistBase,$D17,U$10)</f>
        <v>206.76791105526164</v>
      </c>
      <c r="V17" s="253">
        <f>INDEX([2]!ComRegionExistBase,$D17,V$10)</f>
        <v>205.81677866440742</v>
      </c>
      <c r="W17" s="253">
        <f>INDEX([2]!ComRegionExistBase,$D17,W$10)</f>
        <v>204.87002148255115</v>
      </c>
      <c r="X17" s="253">
        <f>INDEX([2]!ComRegionExistBase,$D17,X$10)</f>
        <v>203.92761938373141</v>
      </c>
      <c r="Y17" s="253"/>
      <c r="Z17" s="198"/>
    </row>
    <row r="18" spans="1:26">
      <c r="B18" s="24" t="s">
        <v>810</v>
      </c>
      <c r="C18" s="24" t="s">
        <v>813</v>
      </c>
      <c r="D18" s="24">
        <v>6</v>
      </c>
      <c r="E18" s="253">
        <f>INDEX([2]!ComRegionExistBase,$D18,E$10)</f>
        <v>99.800466695311329</v>
      </c>
      <c r="F18" s="253">
        <f>INDEX([2]!ComRegionExistBase,$D18,F$10)</f>
        <v>99.341384548512892</v>
      </c>
      <c r="G18" s="253">
        <f>INDEX([2]!ComRegionExistBase,$D18,G$10)</f>
        <v>98.884414179589726</v>
      </c>
      <c r="H18" s="253">
        <f>INDEX([2]!ComRegionExistBase,$D18,H$10)</f>
        <v>98.429545874363612</v>
      </c>
      <c r="I18" s="253">
        <f>INDEX([2]!ComRegionExistBase,$D18,I$10)</f>
        <v>97.976769963341553</v>
      </c>
      <c r="J18" s="253">
        <f>INDEX([2]!ComRegionExistBase,$D18,J$10)</f>
        <v>97.526076821510159</v>
      </c>
      <c r="K18" s="253">
        <f>INDEX([2]!ComRegionExistBase,$D18,K$10)</f>
        <v>97.077456868131208</v>
      </c>
      <c r="L18" s="253">
        <f>INDEX([2]!ComRegionExistBase,$D18,L$10)</f>
        <v>96.630900566537804</v>
      </c>
      <c r="M18" s="253">
        <f>INDEX([2]!ComRegionExistBase,$D18,M$10)</f>
        <v>96.186398423931706</v>
      </c>
      <c r="N18" s="253">
        <f>INDEX([2]!ComRegionExistBase,$D18,N$10)</f>
        <v>95.743940991181645</v>
      </c>
      <c r="O18" s="253">
        <f>INDEX([2]!ComRegionExistBase,$D18,O$10)</f>
        <v>95.303518862622184</v>
      </c>
      <c r="P18" s="253">
        <f>INDEX([2]!ComRegionExistBase,$D18,P$10)</f>
        <v>94.865122675854124</v>
      </c>
      <c r="Q18" s="253">
        <f>INDEX([2]!ComRegionExistBase,$D18,Q$10)</f>
        <v>94.428743111545188</v>
      </c>
      <c r="R18" s="253">
        <f>INDEX([2]!ComRegionExistBase,$D18,R$10)</f>
        <v>93.994370893232059</v>
      </c>
      <c r="S18" s="253">
        <f>INDEX([2]!ComRegionExistBase,$D18,S$10)</f>
        <v>93.561996787123206</v>
      </c>
      <c r="T18" s="253">
        <f>INDEX([2]!ComRegionExistBase,$D18,T$10)</f>
        <v>93.131611601902435</v>
      </c>
      <c r="U18" s="253">
        <f>INDEX([2]!ComRegionExistBase,$D18,U$10)</f>
        <v>92.70320618853367</v>
      </c>
      <c r="V18" s="253">
        <f>INDEX([2]!ComRegionExistBase,$D18,V$10)</f>
        <v>92.276771440066412</v>
      </c>
      <c r="W18" s="253">
        <f>INDEX([2]!ComRegionExistBase,$D18,W$10)</f>
        <v>91.852298291442111</v>
      </c>
      <c r="X18" s="253">
        <f>INDEX([2]!ComRegionExistBase,$D18,X$10)</f>
        <v>91.429777719301455</v>
      </c>
      <c r="Y18" s="253"/>
      <c r="Z18" s="198"/>
    </row>
    <row r="19" spans="1:26">
      <c r="B19" s="24" t="s">
        <v>810</v>
      </c>
      <c r="C19" s="24" t="s">
        <v>814</v>
      </c>
      <c r="D19" s="24">
        <v>7</v>
      </c>
      <c r="E19" s="253">
        <f>INDEX([2]!ComRegionExistBase,$D19,E$10)</f>
        <v>115.92460375407767</v>
      </c>
      <c r="F19" s="253">
        <f>INDEX([2]!ComRegionExistBase,$D19,F$10)</f>
        <v>115.39135057680888</v>
      </c>
      <c r="G19" s="253">
        <f>INDEX([2]!ComRegionExistBase,$D19,G$10)</f>
        <v>114.86055036415554</v>
      </c>
      <c r="H19" s="253">
        <f>INDEX([2]!ComRegionExistBase,$D19,H$10)</f>
        <v>114.33219183248042</v>
      </c>
      <c r="I19" s="253">
        <f>INDEX([2]!ComRegionExistBase,$D19,I$10)</f>
        <v>113.80626375005102</v>
      </c>
      <c r="J19" s="253">
        <f>INDEX([2]!ComRegionExistBase,$D19,J$10)</f>
        <v>113.28275493680079</v>
      </c>
      <c r="K19" s="253">
        <f>INDEX([2]!ComRegionExistBase,$D19,K$10)</f>
        <v>112.76165426409149</v>
      </c>
      <c r="L19" s="253">
        <f>INDEX([2]!ComRegionExistBase,$D19,L$10)</f>
        <v>112.24295065447666</v>
      </c>
      <c r="M19" s="253">
        <f>INDEX([2]!ComRegionExistBase,$D19,M$10)</f>
        <v>111.72663308146606</v>
      </c>
      <c r="N19" s="253">
        <f>INDEX([2]!ComRegionExistBase,$D19,N$10)</f>
        <v>111.21269056929131</v>
      </c>
      <c r="O19" s="253">
        <f>INDEX([2]!ComRegionExistBase,$D19,O$10)</f>
        <v>110.70111219267257</v>
      </c>
      <c r="P19" s="253">
        <f>INDEX([2]!ComRegionExistBase,$D19,P$10)</f>
        <v>110.19188707658627</v>
      </c>
      <c r="Q19" s="253">
        <f>INDEX([2]!ComRegionExistBase,$D19,Q$10)</f>
        <v>109.68500439603396</v>
      </c>
      <c r="R19" s="253">
        <f>INDEX([2]!ComRegionExistBase,$D19,R$10)</f>
        <v>109.18045337581221</v>
      </c>
      <c r="S19" s="253">
        <f>INDEX([2]!ComRegionExistBase,$D19,S$10)</f>
        <v>108.67822329028347</v>
      </c>
      <c r="T19" s="253">
        <f>INDEX([2]!ComRegionExistBase,$D19,T$10)</f>
        <v>108.17830346314815</v>
      </c>
      <c r="U19" s="253">
        <f>INDEX([2]!ComRegionExistBase,$D19,U$10)</f>
        <v>107.68068326721767</v>
      </c>
      <c r="V19" s="253">
        <f>INDEX([2]!ComRegionExistBase,$D19,V$10)</f>
        <v>107.18535212418847</v>
      </c>
      <c r="W19" s="253">
        <f>INDEX([2]!ComRegionExistBase,$D19,W$10)</f>
        <v>106.69229950441719</v>
      </c>
      <c r="X19" s="253">
        <f>INDEX([2]!ComRegionExistBase,$D19,X$10)</f>
        <v>106.20151492669685</v>
      </c>
      <c r="Y19" s="253"/>
      <c r="Z19" s="198"/>
    </row>
    <row r="20" spans="1:26">
      <c r="B20" s="24" t="s">
        <v>815</v>
      </c>
      <c r="C20" s="24" t="s">
        <v>103</v>
      </c>
      <c r="D20" s="24">
        <v>8</v>
      </c>
      <c r="E20" s="253">
        <f>INDEX([2]!ComRegionExistBase,$D20,E$10)</f>
        <v>262.07534540648163</v>
      </c>
      <c r="F20" s="253">
        <f>INDEX([2]!ComRegionExistBase,$D20,F$10)</f>
        <v>261.00083649031507</v>
      </c>
      <c r="G20" s="253">
        <f>INDEX([2]!ComRegionExistBase,$D20,G$10)</f>
        <v>259.93073306070477</v>
      </c>
      <c r="H20" s="253">
        <f>INDEX([2]!ComRegionExistBase,$D20,H$10)</f>
        <v>258.86501705515593</v>
      </c>
      <c r="I20" s="253">
        <f>INDEX([2]!ComRegionExistBase,$D20,I$10)</f>
        <v>257.80367048522976</v>
      </c>
      <c r="J20" s="253">
        <f>INDEX([2]!ComRegionExistBase,$D20,J$10)</f>
        <v>256.74667543624031</v>
      </c>
      <c r="K20" s="253">
        <f>INDEX([2]!ComRegionExistBase,$D20,K$10)</f>
        <v>255.69401406695175</v>
      </c>
      <c r="L20" s="253">
        <f>INDEX([2]!ComRegionExistBase,$D20,L$10)</f>
        <v>254.64566860927721</v>
      </c>
      <c r="M20" s="253">
        <f>INDEX([2]!ComRegionExistBase,$D20,M$10)</f>
        <v>253.60162136797919</v>
      </c>
      <c r="N20" s="253">
        <f>INDEX([2]!ComRegionExistBase,$D20,N$10)</f>
        <v>252.56185472037046</v>
      </c>
      <c r="O20" s="253">
        <f>INDEX([2]!ComRegionExistBase,$D20,O$10)</f>
        <v>251.52635111601697</v>
      </c>
      <c r="P20" s="253">
        <f>INDEX([2]!ComRegionExistBase,$D20,P$10)</f>
        <v>250.49509307644126</v>
      </c>
      <c r="Q20" s="253">
        <f>INDEX([2]!ComRegionExistBase,$D20,Q$10)</f>
        <v>249.46806319482789</v>
      </c>
      <c r="R20" s="253">
        <f>INDEX([2]!ComRegionExistBase,$D20,R$10)</f>
        <v>248.44524413572907</v>
      </c>
      <c r="S20" s="253">
        <f>INDEX([2]!ComRegionExistBase,$D20,S$10)</f>
        <v>247.42661863477261</v>
      </c>
      <c r="T20" s="253">
        <f>INDEX([2]!ComRegionExistBase,$D20,T$10)</f>
        <v>246.41216949837002</v>
      </c>
      <c r="U20" s="253">
        <f>INDEX([2]!ComRegionExistBase,$D20,U$10)</f>
        <v>245.40187960342669</v>
      </c>
      <c r="V20" s="253">
        <f>INDEX([2]!ComRegionExistBase,$D20,V$10)</f>
        <v>244.39573189705266</v>
      </c>
      <c r="W20" s="253">
        <f>INDEX([2]!ComRegionExistBase,$D20,W$10)</f>
        <v>243.39370939627474</v>
      </c>
      <c r="X20" s="253">
        <f>INDEX([2]!ComRegionExistBase,$D20,X$10)</f>
        <v>242.39579518775</v>
      </c>
      <c r="Y20" s="253"/>
      <c r="Z20" s="198"/>
    </row>
    <row r="21" spans="1:26">
      <c r="B21" s="24" t="s">
        <v>816</v>
      </c>
      <c r="C21" s="24" t="s">
        <v>817</v>
      </c>
      <c r="D21" s="284">
        <v>9</v>
      </c>
      <c r="E21" s="253">
        <f>INDEX([2]!ComRegionExistBase,$D21,E$10)</f>
        <v>131.13568898994578</v>
      </c>
      <c r="F21" s="253">
        <f>INDEX([2]!ComRegionExistBase,$D21,F$10)</f>
        <v>130.598032665087</v>
      </c>
      <c r="G21" s="253">
        <f>INDEX([2]!ComRegionExistBase,$D21,G$10)</f>
        <v>130.06258073116015</v>
      </c>
      <c r="H21" s="253">
        <f>INDEX([2]!ComRegionExistBase,$D21,H$10)</f>
        <v>129.52932415016238</v>
      </c>
      <c r="I21" s="253">
        <f>INDEX([2]!ComRegionExistBase,$D21,I$10)</f>
        <v>128.99825392114673</v>
      </c>
      <c r="J21" s="253">
        <f>INDEX([2]!ComRegionExistBase,$D21,J$10)</f>
        <v>128.46936108007003</v>
      </c>
      <c r="K21" s="253">
        <f>INDEX([2]!ComRegionExistBase,$D21,K$10)</f>
        <v>127.94263669964174</v>
      </c>
      <c r="L21" s="253">
        <f>INDEX([2]!ComRegionExistBase,$D21,L$10)</f>
        <v>127.41807188917321</v>
      </c>
      <c r="M21" s="253">
        <f>INDEX([2]!ComRegionExistBase,$D21,M$10)</f>
        <v>126.89565779442758</v>
      </c>
      <c r="N21" s="253">
        <f>INDEX([2]!ComRegionExistBase,$D21,N$10)</f>
        <v>126.37538559747043</v>
      </c>
      <c r="O21" s="253">
        <f>INDEX([2]!ComRegionExistBase,$D21,O$10)</f>
        <v>125.8572465165208</v>
      </c>
      <c r="P21" s="253">
        <f>INDEX([2]!ComRegionExistBase,$D21,P$10)</f>
        <v>125.34123180580308</v>
      </c>
      <c r="Q21" s="253">
        <f>INDEX([2]!ComRegionExistBase,$D21,Q$10)</f>
        <v>124.82733275539928</v>
      </c>
      <c r="R21" s="253">
        <f>INDEX([2]!ComRegionExistBase,$D21,R$10)</f>
        <v>124.31554069110216</v>
      </c>
      <c r="S21" s="253">
        <f>INDEX([2]!ComRegionExistBase,$D21,S$10)</f>
        <v>123.80584697426863</v>
      </c>
      <c r="T21" s="253">
        <f>INDEX([2]!ComRegionExistBase,$D21,T$10)</f>
        <v>123.29824300167412</v>
      </c>
      <c r="U21" s="253">
        <f>INDEX([2]!ComRegionExistBase,$D21,U$10)</f>
        <v>122.79272020536726</v>
      </c>
      <c r="V21" s="253">
        <f>INDEX([2]!ComRegionExistBase,$D21,V$10)</f>
        <v>122.28927005252525</v>
      </c>
      <c r="W21" s="253">
        <f>INDEX([2]!ComRegionExistBase,$D21,W$10)</f>
        <v>121.78788404530991</v>
      </c>
      <c r="X21" s="253">
        <f>INDEX([2]!ComRegionExistBase,$D21,X$10)</f>
        <v>121.28855372072414</v>
      </c>
      <c r="Y21" s="253"/>
      <c r="Z21" s="198"/>
    </row>
    <row r="22" spans="1:26">
      <c r="B22" s="24" t="s">
        <v>818</v>
      </c>
      <c r="C22" s="24" t="s">
        <v>108</v>
      </c>
      <c r="D22" s="284">
        <v>10</v>
      </c>
      <c r="E22" s="253">
        <f>INDEX([2]!ComRegionExistBase,$D22,E$10)</f>
        <v>388.53904086795518</v>
      </c>
      <c r="F22" s="253">
        <f>INDEX([2]!ComRegionExistBase,$D22,F$10)</f>
        <v>387.10144641674378</v>
      </c>
      <c r="G22" s="253">
        <f>INDEX([2]!ComRegionExistBase,$D22,G$10)</f>
        <v>385.66917106500182</v>
      </c>
      <c r="H22" s="253">
        <f>INDEX([2]!ComRegionExistBase,$D22,H$10)</f>
        <v>384.24219513206134</v>
      </c>
      <c r="I22" s="253">
        <f>INDEX([2]!ComRegionExistBase,$D22,I$10)</f>
        <v>382.82049901007264</v>
      </c>
      <c r="J22" s="253">
        <f>INDEX([2]!ComRegionExistBase,$D22,J$10)</f>
        <v>381.40406316373543</v>
      </c>
      <c r="K22" s="253">
        <f>INDEX([2]!ComRegionExistBase,$D22,K$10)</f>
        <v>379.99286813002959</v>
      </c>
      <c r="L22" s="253">
        <f>INDEX([2]!ComRegionExistBase,$D22,L$10)</f>
        <v>378.58689451794845</v>
      </c>
      <c r="M22" s="253">
        <f>INDEX([2]!ComRegionExistBase,$D22,M$10)</f>
        <v>377.18612300823202</v>
      </c>
      <c r="N22" s="253">
        <f>INDEX([2]!ComRegionExistBase,$D22,N$10)</f>
        <v>375.79053435310158</v>
      </c>
      <c r="O22" s="253">
        <f>INDEX([2]!ComRegionExistBase,$D22,O$10)</f>
        <v>374.40010937599504</v>
      </c>
      <c r="P22" s="253">
        <f>INDEX([2]!ComRegionExistBase,$D22,P$10)</f>
        <v>373.01482897130381</v>
      </c>
      <c r="Q22" s="253">
        <f>INDEX([2]!ComRegionExistBase,$D22,Q$10)</f>
        <v>371.63467410410999</v>
      </c>
      <c r="R22" s="253">
        <f>INDEX([2]!ComRegionExistBase,$D22,R$10)</f>
        <v>370.25962580992484</v>
      </c>
      <c r="S22" s="253">
        <f>INDEX([2]!ComRegionExistBase,$D22,S$10)</f>
        <v>368.88966519442806</v>
      </c>
      <c r="T22" s="253">
        <f>INDEX([2]!ComRegionExistBase,$D22,T$10)</f>
        <v>367.52477343320868</v>
      </c>
      <c r="U22" s="253">
        <f>INDEX([2]!ComRegionExistBase,$D22,U$10)</f>
        <v>366.16493177150574</v>
      </c>
      <c r="V22" s="253">
        <f>INDEX([2]!ComRegionExistBase,$D22,V$10)</f>
        <v>364.81012152395118</v>
      </c>
      <c r="W22" s="253">
        <f>INDEX([2]!ComRegionExistBase,$D22,W$10)</f>
        <v>363.46032407431255</v>
      </c>
      <c r="X22" s="253">
        <f>INDEX([2]!ComRegionExistBase,$D22,X$10)</f>
        <v>362.11552087523751</v>
      </c>
      <c r="Y22" s="253"/>
      <c r="Z22" s="198"/>
    </row>
    <row r="23" spans="1:26">
      <c r="B23" s="24" t="s">
        <v>819</v>
      </c>
      <c r="C23" s="24" t="s">
        <v>820</v>
      </c>
      <c r="D23" s="24">
        <v>11</v>
      </c>
      <c r="E23" s="253">
        <f>INDEX([2]!ComRegionExistBase,$D23,E$10)</f>
        <v>59.370531105967878</v>
      </c>
      <c r="F23" s="253">
        <f>INDEX([2]!ComRegionExistBase,$D23,F$10)</f>
        <v>58.836196326014168</v>
      </c>
      <c r="G23" s="253">
        <f>INDEX([2]!ComRegionExistBase,$D23,G$10)</f>
        <v>58.306670559080032</v>
      </c>
      <c r="H23" s="253">
        <f>INDEX([2]!ComRegionExistBase,$D23,H$10)</f>
        <v>57.781910524048321</v>
      </c>
      <c r="I23" s="253">
        <f>INDEX([2]!ComRegionExistBase,$D23,I$10)</f>
        <v>57.261873329331884</v>
      </c>
      <c r="J23" s="253">
        <f>INDEX([2]!ComRegionExistBase,$D23,J$10)</f>
        <v>56.74651646936789</v>
      </c>
      <c r="K23" s="253">
        <f>INDEX([2]!ComRegionExistBase,$D23,K$10)</f>
        <v>56.235797821143585</v>
      </c>
      <c r="L23" s="253">
        <f>INDEX([2]!ComRegionExistBase,$D23,L$10)</f>
        <v>55.729675640753292</v>
      </c>
      <c r="M23" s="253">
        <f>INDEX([2]!ComRegionExistBase,$D23,M$10)</f>
        <v>55.228108559986509</v>
      </c>
      <c r="N23" s="253">
        <f>INDEX([2]!ComRegionExistBase,$D23,N$10)</f>
        <v>54.731055582946638</v>
      </c>
      <c r="O23" s="253">
        <f>INDEX([2]!ComRegionExistBase,$D23,O$10)</f>
        <v>54.23847608270011</v>
      </c>
      <c r="P23" s="253">
        <f>INDEX([2]!ComRegionExistBase,$D23,P$10)</f>
        <v>53.7503297979558</v>
      </c>
      <c r="Q23" s="253">
        <f>INDEX([2]!ComRegionExistBase,$D23,Q$10)</f>
        <v>53.266576829774195</v>
      </c>
      <c r="R23" s="253">
        <f>INDEX([2]!ComRegionExistBase,$D23,R$10)</f>
        <v>52.787177638306233</v>
      </c>
      <c r="S23" s="253">
        <f>INDEX([2]!ComRegionExistBase,$D23,S$10)</f>
        <v>52.312093039561482</v>
      </c>
      <c r="T23" s="253">
        <f>INDEX([2]!ComRegionExistBase,$D23,T$10)</f>
        <v>51.841284202205422</v>
      </c>
      <c r="U23" s="253">
        <f>INDEX([2]!ComRegionExistBase,$D23,U$10)</f>
        <v>51.374712644385568</v>
      </c>
      <c r="V23" s="253">
        <f>INDEX([2]!ComRegionExistBase,$D23,V$10)</f>
        <v>50.912340230586103</v>
      </c>
      <c r="W23" s="253">
        <f>INDEX([2]!ComRegionExistBase,$D23,W$10)</f>
        <v>50.454129168510818</v>
      </c>
      <c r="X23" s="253">
        <f>INDEX([2]!ComRegionExistBase,$D23,X$10)</f>
        <v>50.000042005994224</v>
      </c>
      <c r="Y23" s="253"/>
      <c r="Z23" s="198"/>
    </row>
    <row r="24" spans="1:26">
      <c r="B24" s="24" t="s">
        <v>821</v>
      </c>
      <c r="C24" s="24" t="s">
        <v>822</v>
      </c>
      <c r="D24" s="24">
        <v>12</v>
      </c>
      <c r="E24" s="253">
        <f>INDEX([2]!ComRegionExistBase,$D24,E$10)</f>
        <v>24.999651305130403</v>
      </c>
      <c r="F24" s="253">
        <f>INDEX([2]!ComRegionExistBase,$D24,F$10)</f>
        <v>24.881652950970185</v>
      </c>
      <c r="G24" s="253">
        <f>INDEX([2]!ComRegionExistBase,$D24,G$10)</f>
        <v>24.764211549041608</v>
      </c>
      <c r="H24" s="253">
        <f>INDEX([2]!ComRegionExistBase,$D24,H$10)</f>
        <v>24.647324470530133</v>
      </c>
      <c r="I24" s="253">
        <f>INDEX([2]!ComRegionExistBase,$D24,I$10)</f>
        <v>24.530989099029235</v>
      </c>
      <c r="J24" s="253">
        <f>INDEX([2]!ComRegionExistBase,$D24,J$10)</f>
        <v>24.415202830481817</v>
      </c>
      <c r="K24" s="253">
        <f>INDEX([2]!ComRegionExistBase,$D24,K$10)</f>
        <v>24.299963073121944</v>
      </c>
      <c r="L24" s="253">
        <f>INDEX([2]!ComRegionExistBase,$D24,L$10)</f>
        <v>24.185267247416814</v>
      </c>
      <c r="M24" s="253">
        <f>INDEX([2]!ComRegionExistBase,$D24,M$10)</f>
        <v>24.071112786009007</v>
      </c>
      <c r="N24" s="253">
        <f>INDEX([2]!ComRegionExistBase,$D24,N$10)</f>
        <v>23.957497133659047</v>
      </c>
      <c r="O24" s="253">
        <f>INDEX([2]!ComRegionExistBase,$D24,O$10)</f>
        <v>23.844417747188178</v>
      </c>
      <c r="P24" s="253">
        <f>INDEX([2]!ComRegionExistBase,$D24,P$10)</f>
        <v>23.731872095421448</v>
      </c>
      <c r="Q24" s="253">
        <f>INDEX([2]!ComRegionExistBase,$D24,Q$10)</f>
        <v>23.619857659131061</v>
      </c>
      <c r="R24" s="253">
        <f>INDEX([2]!ComRegionExistBase,$D24,R$10)</f>
        <v>23.508371930979962</v>
      </c>
      <c r="S24" s="253">
        <f>INDEX([2]!ComRegionExistBase,$D24,S$10)</f>
        <v>23.397412415465737</v>
      </c>
      <c r="T24" s="253">
        <f>INDEX([2]!ComRegionExistBase,$D24,T$10)</f>
        <v>23.286976628864743</v>
      </c>
      <c r="U24" s="253">
        <f>INDEX([2]!ComRegionExistBase,$D24,U$10)</f>
        <v>23.177062099176499</v>
      </c>
      <c r="V24" s="253">
        <f>INDEX([2]!ComRegionExistBase,$D24,V$10)</f>
        <v>23.067666366068391</v>
      </c>
      <c r="W24" s="253">
        <f>INDEX([2]!ComRegionExistBase,$D24,W$10)</f>
        <v>22.958786980820545</v>
      </c>
      <c r="X24" s="253">
        <f>INDEX([2]!ComRegionExistBase,$D24,X$10)</f>
        <v>22.850421506271072</v>
      </c>
      <c r="Y24" s="253"/>
      <c r="Z24" s="198"/>
    </row>
    <row r="25" spans="1:26">
      <c r="B25" s="24" t="s">
        <v>823</v>
      </c>
      <c r="C25" s="24" t="s">
        <v>118</v>
      </c>
      <c r="D25" s="24">
        <v>13</v>
      </c>
      <c r="E25" s="253">
        <f>INDEX([2]!ComRegionExistBase,$D25,E$10)</f>
        <v>123.18546526916165</v>
      </c>
      <c r="F25" s="253">
        <f>INDEX([2]!ComRegionExistBase,$D25,F$10)</f>
        <v>122.60402987309122</v>
      </c>
      <c r="G25" s="253">
        <f>INDEX([2]!ComRegionExistBase,$D25,G$10)</f>
        <v>122.02533885209023</v>
      </c>
      <c r="H25" s="253">
        <f>INDEX([2]!ComRegionExistBase,$D25,H$10)</f>
        <v>121.44937925270838</v>
      </c>
      <c r="I25" s="253">
        <f>INDEX([2]!ComRegionExistBase,$D25,I$10)</f>
        <v>120.87613818263561</v>
      </c>
      <c r="J25" s="253">
        <f>INDEX([2]!ComRegionExistBase,$D25,J$10)</f>
        <v>120.30560281041356</v>
      </c>
      <c r="K25" s="253">
        <f>INDEX([2]!ComRegionExistBase,$D25,K$10)</f>
        <v>119.73776036514843</v>
      </c>
      <c r="L25" s="253">
        <f>INDEX([2]!ComRegionExistBase,$D25,L$10)</f>
        <v>119.17259813622491</v>
      </c>
      <c r="M25" s="253">
        <f>INDEX([2]!ComRegionExistBase,$D25,M$10)</f>
        <v>118.61010347302195</v>
      </c>
      <c r="N25" s="253">
        <f>INDEX([2]!ComRegionExistBase,$D25,N$10)</f>
        <v>118.05026378462928</v>
      </c>
      <c r="O25" s="253">
        <f>INDEX([2]!ComRegionExistBase,$D25,O$10)</f>
        <v>117.49306653956585</v>
      </c>
      <c r="P25" s="253">
        <f>INDEX([2]!ComRegionExistBase,$D25,P$10)</f>
        <v>116.9384992654991</v>
      </c>
      <c r="Q25" s="253">
        <f>INDEX([2]!ComRegionExistBase,$D25,Q$10)</f>
        <v>116.38654954896595</v>
      </c>
      <c r="R25" s="253">
        <f>INDEX([2]!ComRegionExistBase,$D25,R$10)</f>
        <v>115.83720503509484</v>
      </c>
      <c r="S25" s="253">
        <f>INDEX([2]!ComRegionExistBase,$D25,S$10)</f>
        <v>115.2904534273292</v>
      </c>
      <c r="T25" s="253">
        <f>INDEX([2]!ComRegionExistBase,$D25,T$10)</f>
        <v>114.74628248715221</v>
      </c>
      <c r="U25" s="253">
        <f>INDEX([2]!ComRegionExistBase,$D25,U$10)</f>
        <v>114.20468003381286</v>
      </c>
      <c r="V25" s="253">
        <f>INDEX([2]!ComRegionExistBase,$D25,V$10)</f>
        <v>113.66563394405327</v>
      </c>
      <c r="W25" s="253">
        <f>INDEX([2]!ComRegionExistBase,$D25,W$10)</f>
        <v>113.12913215183734</v>
      </c>
      <c r="X25" s="253">
        <f>INDEX([2]!ComRegionExistBase,$D25,X$10)</f>
        <v>112.59516264808069</v>
      </c>
      <c r="Y25" s="253"/>
      <c r="Z25" s="198"/>
    </row>
    <row r="26" spans="1:26">
      <c r="B26" s="24" t="s">
        <v>824</v>
      </c>
      <c r="C26" s="24" t="s">
        <v>122</v>
      </c>
      <c r="D26" s="284">
        <v>14</v>
      </c>
      <c r="E26" s="253">
        <f>INDEX([2]!ComRegionExistBase,$D26,E$10)</f>
        <v>173.75626356504489</v>
      </c>
      <c r="F26" s="253">
        <f>INDEX([2]!ComRegionExistBase,$D26,F$10)</f>
        <v>173.3392485324888</v>
      </c>
      <c r="G26" s="253">
        <f>INDEX([2]!ComRegionExistBase,$D26,G$10)</f>
        <v>172.92323433601084</v>
      </c>
      <c r="H26" s="253">
        <f>INDEX([2]!ComRegionExistBase,$D26,H$10)</f>
        <v>172.50821857360444</v>
      </c>
      <c r="I26" s="253">
        <f>INDEX([2]!ComRegionExistBase,$D26,I$10)</f>
        <v>172.09419884902775</v>
      </c>
      <c r="J26" s="253">
        <f>INDEX([2]!ComRegionExistBase,$D26,J$10)</f>
        <v>171.6811727717901</v>
      </c>
      <c r="K26" s="253">
        <f>INDEX([2]!ComRegionExistBase,$D26,K$10)</f>
        <v>171.26913795713781</v>
      </c>
      <c r="L26" s="253">
        <f>INDEX([2]!ComRegionExistBase,$D26,L$10)</f>
        <v>170.85809202604071</v>
      </c>
      <c r="M26" s="253">
        <f>INDEX([2]!ComRegionExistBase,$D26,M$10)</f>
        <v>170.44803260517821</v>
      </c>
      <c r="N26" s="253">
        <f>INDEX([2]!ComRegionExistBase,$D26,N$10)</f>
        <v>170.03895732692578</v>
      </c>
      <c r="O26" s="253">
        <f>INDEX([2]!ComRegionExistBase,$D26,O$10)</f>
        <v>169.63086382934119</v>
      </c>
      <c r="P26" s="253">
        <f>INDEX([2]!ComRegionExistBase,$D26,P$10)</f>
        <v>169.2237497561508</v>
      </c>
      <c r="Q26" s="253">
        <f>INDEX([2]!ComRegionExistBase,$D26,Q$10)</f>
        <v>168.817612756736</v>
      </c>
      <c r="R26" s="253">
        <f>INDEX([2]!ComRegionExistBase,$D26,R$10)</f>
        <v>168.41245048611989</v>
      </c>
      <c r="S26" s="253">
        <f>INDEX([2]!ComRegionExistBase,$D26,S$10)</f>
        <v>168.00826060495319</v>
      </c>
      <c r="T26" s="253">
        <f>INDEX([2]!ComRegionExistBase,$D26,T$10)</f>
        <v>167.60504077950128</v>
      </c>
      <c r="U26" s="253">
        <f>INDEX([2]!ComRegionExistBase,$D26,U$10)</f>
        <v>167.20278868163052</v>
      </c>
      <c r="V26" s="253">
        <f>INDEX([2]!ComRegionExistBase,$D26,V$10)</f>
        <v>166.80150198879463</v>
      </c>
      <c r="W26" s="253">
        <f>INDEX([2]!ComRegionExistBase,$D26,W$10)</f>
        <v>166.40117838402151</v>
      </c>
      <c r="X26" s="253">
        <f>INDEX([2]!ComRegionExistBase,$D26,X$10)</f>
        <v>166.00181555589987</v>
      </c>
      <c r="Y26" s="253"/>
      <c r="Z26" s="198"/>
    </row>
    <row r="27" spans="1:26">
      <c r="B27" s="24" t="s">
        <v>825</v>
      </c>
      <c r="C27" s="24" t="s">
        <v>826</v>
      </c>
      <c r="D27" s="284">
        <v>15</v>
      </c>
      <c r="E27" s="253">
        <f>INDEX([2]!ComRegionExistBase,$D27,E$10)</f>
        <v>102.60715800935309</v>
      </c>
      <c r="F27" s="253">
        <f>INDEX([2]!ComRegionExistBase,$D27,F$10)</f>
        <v>102.39168297753343</v>
      </c>
      <c r="G27" s="253">
        <f>INDEX([2]!ComRegionExistBase,$D27,G$10)</f>
        <v>102.17666044328062</v>
      </c>
      <c r="H27" s="253">
        <f>INDEX([2]!ComRegionExistBase,$D27,H$10)</f>
        <v>101.96208945634974</v>
      </c>
      <c r="I27" s="253">
        <f>INDEX([2]!ComRegionExistBase,$D27,I$10)</f>
        <v>101.7479690684914</v>
      </c>
      <c r="J27" s="253">
        <f>INDEX([2]!ComRegionExistBase,$D27,J$10)</f>
        <v>101.53429833344757</v>
      </c>
      <c r="K27" s="253">
        <f>INDEX([2]!ComRegionExistBase,$D27,K$10)</f>
        <v>101.32107630694733</v>
      </c>
      <c r="L27" s="253">
        <f>INDEX([2]!ComRegionExistBase,$D27,L$10)</f>
        <v>101.10830204670275</v>
      </c>
      <c r="M27" s="253">
        <f>INDEX([2]!ComRegionExistBase,$D27,M$10)</f>
        <v>100.89597461240467</v>
      </c>
      <c r="N27" s="253">
        <f>INDEX([2]!ComRegionExistBase,$D27,N$10)</f>
        <v>100.68409306571861</v>
      </c>
      <c r="O27" s="253">
        <f>INDEX([2]!ComRegionExistBase,$D27,O$10)</f>
        <v>100.47265647028061</v>
      </c>
      <c r="P27" s="253">
        <f>INDEX([2]!ComRegionExistBase,$D27,P$10)</f>
        <v>100.26166389169303</v>
      </c>
      <c r="Q27" s="253">
        <f>INDEX([2]!ComRegionExistBase,$D27,Q$10)</f>
        <v>100.05111439752048</v>
      </c>
      <c r="R27" s="253">
        <f>INDEX([2]!ComRegionExistBase,$D27,R$10)</f>
        <v>99.84100705728568</v>
      </c>
      <c r="S27" s="253">
        <f>INDEX([2]!ComRegionExistBase,$D27,S$10)</f>
        <v>99.631340942465386</v>
      </c>
      <c r="T27" s="253">
        <f>INDEX([2]!ComRegionExistBase,$D27,T$10)</f>
        <v>99.422115126486204</v>
      </c>
      <c r="U27" s="253">
        <f>INDEX([2]!ComRegionExistBase,$D27,U$10)</f>
        <v>99.213328684720594</v>
      </c>
      <c r="V27" s="253">
        <f>INDEX([2]!ComRegionExistBase,$D27,V$10)</f>
        <v>99.004980694482683</v>
      </c>
      <c r="W27" s="253">
        <f>INDEX([2]!ComRegionExistBase,$D27,W$10)</f>
        <v>98.797070235024265</v>
      </c>
      <c r="X27" s="253">
        <f>INDEX([2]!ComRegionExistBase,$D27,X$10)</f>
        <v>98.58959638753069</v>
      </c>
      <c r="Y27" s="253"/>
      <c r="Z27" s="198"/>
    </row>
    <row r="28" spans="1:26">
      <c r="B28" s="24" t="s">
        <v>827</v>
      </c>
      <c r="C28" s="24" t="s">
        <v>125</v>
      </c>
      <c r="D28" s="24">
        <v>16</v>
      </c>
      <c r="E28" s="253">
        <f>INDEX([2]!ComRegionExistBase,$D28,E$10)</f>
        <v>172.7988115869812</v>
      </c>
      <c r="F28" s="253">
        <f>INDEX([2]!ComRegionExistBase,$D28,F$10)</f>
        <v>172.38409443917243</v>
      </c>
      <c r="G28" s="253">
        <f>INDEX([2]!ComRegionExistBase,$D28,G$10)</f>
        <v>171.97037261251842</v>
      </c>
      <c r="H28" s="253">
        <f>INDEX([2]!ComRegionExistBase,$D28,H$10)</f>
        <v>171.55764371824836</v>
      </c>
      <c r="I28" s="253">
        <f>INDEX([2]!ComRegionExistBase,$D28,I$10)</f>
        <v>171.14590537332458</v>
      </c>
      <c r="J28" s="253">
        <f>INDEX([2]!ComRegionExistBase,$D28,J$10)</f>
        <v>170.73515520042861</v>
      </c>
      <c r="K28" s="253">
        <f>INDEX([2]!ComRegionExistBase,$D28,K$10)</f>
        <v>170.32539082794759</v>
      </c>
      <c r="L28" s="253">
        <f>INDEX([2]!ComRegionExistBase,$D28,L$10)</f>
        <v>169.91660988996051</v>
      </c>
      <c r="M28" s="253">
        <f>INDEX([2]!ComRegionExistBase,$D28,M$10)</f>
        <v>169.50881002622461</v>
      </c>
      <c r="N28" s="253">
        <f>INDEX([2]!ComRegionExistBase,$D28,N$10)</f>
        <v>169.10198888216169</v>
      </c>
      <c r="O28" s="253">
        <f>INDEX([2]!ComRegionExistBase,$D28,O$10)</f>
        <v>168.69614410884452</v>
      </c>
      <c r="P28" s="253">
        <f>INDEX([2]!ComRegionExistBase,$D28,P$10)</f>
        <v>168.29127336298328</v>
      </c>
      <c r="Q28" s="253">
        <f>INDEX([2]!ComRegionExistBase,$D28,Q$10)</f>
        <v>167.88737430691214</v>
      </c>
      <c r="R28" s="253">
        <f>INDEX([2]!ComRegionExistBase,$D28,R$10)</f>
        <v>167.48444460857556</v>
      </c>
      <c r="S28" s="253">
        <f>INDEX([2]!ComRegionExistBase,$D28,S$10)</f>
        <v>167.08248194151497</v>
      </c>
      <c r="T28" s="253">
        <f>INDEX([2]!ComRegionExistBase,$D28,T$10)</f>
        <v>166.68148398485533</v>
      </c>
      <c r="U28" s="253">
        <f>INDEX([2]!ComRegionExistBase,$D28,U$10)</f>
        <v>166.28144842329169</v>
      </c>
      <c r="V28" s="253">
        <f>INDEX([2]!ComRegionExistBase,$D28,V$10)</f>
        <v>165.88237294707582</v>
      </c>
      <c r="W28" s="253">
        <f>INDEX([2]!ComRegionExistBase,$D28,W$10)</f>
        <v>165.48425525200287</v>
      </c>
      <c r="X28" s="253">
        <f>INDEX([2]!ComRegionExistBase,$D28,X$10)</f>
        <v>165.08709303939804</v>
      </c>
      <c r="Y28" s="253"/>
      <c r="Z28" s="198"/>
    </row>
    <row r="29" spans="1:26">
      <c r="B29" s="24" t="s">
        <v>828</v>
      </c>
      <c r="C29" s="24" t="s">
        <v>127</v>
      </c>
      <c r="D29" s="24">
        <v>17</v>
      </c>
      <c r="E29" s="253">
        <f>INDEX([2]!ComRegionExistBase,$D29,E$10)</f>
        <v>240.81093419092821</v>
      </c>
      <c r="F29" s="253">
        <f>INDEX([2]!ComRegionExistBase,$D29,F$10)</f>
        <v>239.73049579952487</v>
      </c>
      <c r="G29" s="253">
        <f>INDEX([2]!ComRegionExistBase,$D29,G$10)</f>
        <v>238.65490497503768</v>
      </c>
      <c r="H29" s="253">
        <f>INDEX([2]!ComRegionExistBase,$D29,H$10)</f>
        <v>237.58413996804973</v>
      </c>
      <c r="I29" s="253">
        <f>INDEX([2]!ComRegionExistBase,$D29,I$10)</f>
        <v>236.51817912672641</v>
      </c>
      <c r="J29" s="253">
        <f>INDEX([2]!ComRegionExistBase,$D29,J$10)</f>
        <v>235.45700089637785</v>
      </c>
      <c r="K29" s="253">
        <f>INDEX([2]!ComRegionExistBase,$D29,K$10)</f>
        <v>234.40058381902278</v>
      </c>
      <c r="L29" s="253">
        <f>INDEX([2]!ComRegionExistBase,$D29,L$10)</f>
        <v>233.34890653295474</v>
      </c>
      <c r="M29" s="253">
        <f>INDEX([2]!ComRegionExistBase,$D29,M$10)</f>
        <v>232.30194777231026</v>
      </c>
      <c r="N29" s="253">
        <f>INDEX([2]!ComRegionExistBase,$D29,N$10)</f>
        <v>231.25968636663848</v>
      </c>
      <c r="O29" s="253">
        <f>INDEX([2]!ComRegionExistBase,$D29,O$10)</f>
        <v>230.22210124047351</v>
      </c>
      <c r="P29" s="253">
        <f>INDEX([2]!ComRegionExistBase,$D29,P$10)</f>
        <v>229.18917141290791</v>
      </c>
      <c r="Q29" s="253">
        <f>INDEX([2]!ComRegionExistBase,$D29,Q$10)</f>
        <v>228.16087599716866</v>
      </c>
      <c r="R29" s="253">
        <f>INDEX([2]!ComRegionExistBase,$D29,R$10)</f>
        <v>227.1371942001947</v>
      </c>
      <c r="S29" s="253">
        <f>INDEX([2]!ComRegionExistBase,$D29,S$10)</f>
        <v>226.11810532221651</v>
      </c>
      <c r="T29" s="253">
        <f>INDEX([2]!ComRegionExistBase,$D29,T$10)</f>
        <v>225.1035887563375</v>
      </c>
      <c r="U29" s="253">
        <f>INDEX([2]!ComRegionExistBase,$D29,U$10)</f>
        <v>224.09362398811743</v>
      </c>
      <c r="V29" s="253">
        <f>INDEX([2]!ComRegionExistBase,$D29,V$10)</f>
        <v>223.08819059515741</v>
      </c>
      <c r="W29" s="253">
        <f>INDEX([2]!ComRegionExistBase,$D29,W$10)</f>
        <v>222.08726824668713</v>
      </c>
      <c r="X29" s="253">
        <f>INDEX([2]!ComRegionExistBase,$D29,X$10)</f>
        <v>221.09083670315366</v>
      </c>
      <c r="Y29" s="253"/>
      <c r="Z29" s="198"/>
    </row>
    <row r="30" spans="1:26">
      <c r="B30" s="24" t="s">
        <v>829</v>
      </c>
      <c r="C30" s="24" t="s">
        <v>100</v>
      </c>
      <c r="D30" s="24">
        <v>18</v>
      </c>
      <c r="E30" s="253">
        <f>INDEX([2]!ComRegionExistBase,$D30,E$10)</f>
        <v>431.76412702890548</v>
      </c>
      <c r="F30" s="253">
        <f>INDEX([2]!ComRegionExistBase,$D30,F$10)</f>
        <v>427.87824988564535</v>
      </c>
      <c r="G30" s="253">
        <f>INDEX([2]!ComRegionExistBase,$D30,G$10)</f>
        <v>424.02734563667457</v>
      </c>
      <c r="H30" s="253">
        <f>INDEX([2]!ComRegionExistBase,$D30,H$10)</f>
        <v>420.21109952594452</v>
      </c>
      <c r="I30" s="253">
        <f>INDEX([2]!ComRegionExistBase,$D30,I$10)</f>
        <v>416.42919963021097</v>
      </c>
      <c r="J30" s="253">
        <f>INDEX([2]!ComRegionExistBase,$D30,J$10)</f>
        <v>412.68133683353904</v>
      </c>
      <c r="K30" s="253">
        <f>INDEX([2]!ComRegionExistBase,$D30,K$10)</f>
        <v>408.96720480203726</v>
      </c>
      <c r="L30" s="253">
        <f>INDEX([2]!ComRegionExistBase,$D30,L$10)</f>
        <v>405.28649995881892</v>
      </c>
      <c r="M30" s="253">
        <f>INDEX([2]!ComRegionExistBase,$D30,M$10)</f>
        <v>401.63892145918953</v>
      </c>
      <c r="N30" s="253">
        <f>INDEX([2]!ComRegionExistBase,$D30,N$10)</f>
        <v>398.02417116605687</v>
      </c>
      <c r="O30" s="253">
        <f>INDEX([2]!ComRegionExistBase,$D30,O$10)</f>
        <v>394.44195362556229</v>
      </c>
      <c r="P30" s="253">
        <f>INDEX([2]!ComRegionExistBase,$D30,P$10)</f>
        <v>390.89197604293219</v>
      </c>
      <c r="Q30" s="253">
        <f>INDEX([2]!ComRegionExistBase,$D30,Q$10)</f>
        <v>387.37394825854579</v>
      </c>
      <c r="R30" s="253">
        <f>INDEX([2]!ComRegionExistBase,$D30,R$10)</f>
        <v>383.88758272421893</v>
      </c>
      <c r="S30" s="253">
        <f>INDEX([2]!ComRegionExistBase,$D30,S$10)</f>
        <v>380.43259447970092</v>
      </c>
      <c r="T30" s="253">
        <f>INDEX([2]!ComRegionExistBase,$D30,T$10)</f>
        <v>377.00870112938355</v>
      </c>
      <c r="U30" s="253">
        <f>INDEX([2]!ComRegionExistBase,$D30,U$10)</f>
        <v>373.61562281921914</v>
      </c>
      <c r="V30" s="253">
        <f>INDEX([2]!ComRegionExistBase,$D30,V$10)</f>
        <v>370.2530822138462</v>
      </c>
      <c r="W30" s="253">
        <f>INDEX([2]!ComRegionExistBase,$D30,W$10)</f>
        <v>366.92080447392152</v>
      </c>
      <c r="X30" s="253">
        <f>INDEX([2]!ComRegionExistBase,$D30,X$10)</f>
        <v>363.61851723365623</v>
      </c>
      <c r="Y30" s="253"/>
      <c r="Z30" s="198"/>
    </row>
    <row r="31" spans="1:26">
      <c r="A31" s="24"/>
      <c r="B31" s="24"/>
      <c r="C31" s="24"/>
      <c r="D31" s="198"/>
      <c r="E31" s="253"/>
      <c r="F31" s="253"/>
      <c r="G31" s="253"/>
      <c r="H31" s="253"/>
      <c r="I31" s="253"/>
      <c r="J31" s="253"/>
      <c r="K31" s="253"/>
      <c r="L31" s="253"/>
      <c r="M31" s="253"/>
      <c r="N31" s="253"/>
      <c r="O31" s="253"/>
      <c r="P31" s="253"/>
      <c r="Q31" s="253"/>
      <c r="R31" s="253"/>
      <c r="S31" s="253"/>
      <c r="T31" s="253"/>
      <c r="U31" s="253"/>
      <c r="V31" s="253"/>
      <c r="W31" s="253"/>
      <c r="X31" s="253"/>
      <c r="Y31" s="253"/>
      <c r="Z31" s="198"/>
    </row>
    <row r="32" spans="1:26">
      <c r="A32" s="24" t="s">
        <v>951</v>
      </c>
      <c r="B32" s="24"/>
      <c r="C32" s="24" t="s">
        <v>547</v>
      </c>
      <c r="D32" s="198"/>
      <c r="E32" s="253">
        <f>SUM(E13:E30)</f>
        <v>3281.8361963720217</v>
      </c>
      <c r="F32" s="253">
        <f t="shared" ref="F32:X32" si="3">SUM(F13:F30)</f>
        <v>3267.0929412220457</v>
      </c>
      <c r="G32" s="253">
        <f t="shared" si="3"/>
        <v>3252.4296287112552</v>
      </c>
      <c r="H32" s="253">
        <f t="shared" si="3"/>
        <v>3237.8457382862684</v>
      </c>
      <c r="I32" s="253">
        <f t="shared" si="3"/>
        <v>3223.3407532934725</v>
      </c>
      <c r="J32" s="253">
        <f t="shared" si="3"/>
        <v>3208.9141609471399</v>
      </c>
      <c r="K32" s="253">
        <f t="shared" si="3"/>
        <v>3194.5654522978111</v>
      </c>
      <c r="L32" s="253">
        <f t="shared" si="3"/>
        <v>3180.294122200954</v>
      </c>
      <c r="M32" s="253">
        <f t="shared" si="3"/>
        <v>3166.0996692858862</v>
      </c>
      <c r="N32" s="253">
        <f t="shared" si="3"/>
        <v>3151.9815959249745</v>
      </c>
      <c r="O32" s="253">
        <f t="shared" si="3"/>
        <v>3137.9394082030817</v>
      </c>
      <c r="P32" s="253">
        <f t="shared" si="3"/>
        <v>3123.9726158872913</v>
      </c>
      <c r="Q32" s="253">
        <f t="shared" si="3"/>
        <v>3110.0807323968825</v>
      </c>
      <c r="R32" s="253">
        <f t="shared" si="3"/>
        <v>3096.2632747735661</v>
      </c>
      <c r="S32" s="253">
        <f t="shared" si="3"/>
        <v>3082.5197636519692</v>
      </c>
      <c r="T32" s="253">
        <f t="shared" si="3"/>
        <v>3068.8497232303826</v>
      </c>
      <c r="U32" s="253">
        <f t="shared" si="3"/>
        <v>3055.2526812417523</v>
      </c>
      <c r="V32" s="253">
        <f t="shared" si="3"/>
        <v>3041.7281689249162</v>
      </c>
      <c r="W32" s="253">
        <f t="shared" si="3"/>
        <v>3028.2757209960946</v>
      </c>
      <c r="X32" s="253">
        <f t="shared" si="3"/>
        <v>3014.8948756206191</v>
      </c>
      <c r="Y32" s="253"/>
      <c r="Z32" s="198"/>
    </row>
    <row r="33" spans="1:26">
      <c r="A33" s="24"/>
      <c r="B33" s="24"/>
      <c r="C33" s="24"/>
      <c r="D33" s="198"/>
      <c r="E33" s="253"/>
      <c r="F33" s="253"/>
      <c r="G33" s="253"/>
      <c r="H33" s="253"/>
      <c r="I33" s="253"/>
      <c r="J33" s="253"/>
      <c r="K33" s="253"/>
      <c r="L33" s="253"/>
      <c r="M33" s="253"/>
      <c r="N33" s="253"/>
      <c r="O33" s="253"/>
      <c r="P33" s="253"/>
      <c r="Q33" s="253"/>
      <c r="R33" s="253"/>
      <c r="S33" s="253"/>
      <c r="T33" s="253"/>
      <c r="U33" s="253"/>
      <c r="V33" s="253"/>
      <c r="W33" s="253"/>
      <c r="X33" s="253"/>
      <c r="Y33" s="253"/>
      <c r="Z33" s="198"/>
    </row>
    <row r="35" spans="1:26" ht="15">
      <c r="A35" s="283" t="s">
        <v>925</v>
      </c>
      <c r="B35" s="283"/>
      <c r="C35" s="24"/>
      <c r="D35" s="198"/>
      <c r="E35" s="243">
        <f t="shared" ref="E35:X35" si="4">E11</f>
        <v>2016</v>
      </c>
      <c r="F35" s="243">
        <f t="shared" si="4"/>
        <v>2017</v>
      </c>
      <c r="G35" s="243">
        <f t="shared" si="4"/>
        <v>2018</v>
      </c>
      <c r="H35" s="243">
        <f t="shared" si="4"/>
        <v>2019</v>
      </c>
      <c r="I35" s="243">
        <f t="shared" si="4"/>
        <v>2020</v>
      </c>
      <c r="J35" s="243">
        <f t="shared" si="4"/>
        <v>2021</v>
      </c>
      <c r="K35" s="243">
        <f t="shared" si="4"/>
        <v>2022</v>
      </c>
      <c r="L35" s="243">
        <f t="shared" si="4"/>
        <v>2023</v>
      </c>
      <c r="M35" s="243">
        <f t="shared" si="4"/>
        <v>2024</v>
      </c>
      <c r="N35" s="243">
        <f t="shared" si="4"/>
        <v>2025</v>
      </c>
      <c r="O35" s="243">
        <f t="shared" si="4"/>
        <v>2026</v>
      </c>
      <c r="P35" s="243">
        <f t="shared" si="4"/>
        <v>2027</v>
      </c>
      <c r="Q35" s="243">
        <f t="shared" si="4"/>
        <v>2028</v>
      </c>
      <c r="R35" s="243">
        <f t="shared" si="4"/>
        <v>2029</v>
      </c>
      <c r="S35" s="243">
        <f t="shared" si="4"/>
        <v>2030</v>
      </c>
      <c r="T35" s="243">
        <f t="shared" si="4"/>
        <v>2031</v>
      </c>
      <c r="U35" s="243">
        <f t="shared" si="4"/>
        <v>2032</v>
      </c>
      <c r="V35" s="243">
        <f t="shared" si="4"/>
        <v>2033</v>
      </c>
      <c r="W35" s="243">
        <f t="shared" si="4"/>
        <v>2034</v>
      </c>
      <c r="X35" s="243">
        <f t="shared" si="4"/>
        <v>2035</v>
      </c>
      <c r="Y35" s="251" t="s">
        <v>698</v>
      </c>
      <c r="Z35" s="251" t="s">
        <v>699</v>
      </c>
    </row>
    <row r="36" spans="1:26">
      <c r="A36" s="24"/>
      <c r="B36" s="24"/>
      <c r="C36" s="24"/>
      <c r="D36" t="s">
        <v>428</v>
      </c>
      <c r="E36" s="253">
        <f>E$32</f>
        <v>3281.8361963720217</v>
      </c>
      <c r="F36" s="253">
        <f t="shared" ref="F36:X43" si="5">F$32</f>
        <v>3267.0929412220457</v>
      </c>
      <c r="G36" s="253">
        <f t="shared" si="5"/>
        <v>3252.4296287112552</v>
      </c>
      <c r="H36" s="253">
        <f t="shared" si="5"/>
        <v>3237.8457382862684</v>
      </c>
      <c r="I36" s="253">
        <f t="shared" si="5"/>
        <v>3223.3407532934725</v>
      </c>
      <c r="J36" s="253">
        <f t="shared" si="5"/>
        <v>3208.9141609471399</v>
      </c>
      <c r="K36" s="253">
        <f t="shared" si="5"/>
        <v>3194.5654522978111</v>
      </c>
      <c r="L36" s="253">
        <f t="shared" si="5"/>
        <v>3180.294122200954</v>
      </c>
      <c r="M36" s="253">
        <f t="shared" si="5"/>
        <v>3166.0996692858862</v>
      </c>
      <c r="N36" s="253">
        <f t="shared" si="5"/>
        <v>3151.9815959249745</v>
      </c>
      <c r="O36" s="253">
        <f t="shared" si="5"/>
        <v>3137.9394082030817</v>
      </c>
      <c r="P36" s="253">
        <f t="shared" si="5"/>
        <v>3123.9726158872913</v>
      </c>
      <c r="Q36" s="253">
        <f t="shared" si="5"/>
        <v>3110.0807323968825</v>
      </c>
      <c r="R36" s="253">
        <f t="shared" si="5"/>
        <v>3096.2632747735661</v>
      </c>
      <c r="S36" s="253">
        <f t="shared" si="5"/>
        <v>3082.5197636519692</v>
      </c>
      <c r="T36" s="253">
        <f t="shared" si="5"/>
        <v>3068.8497232303826</v>
      </c>
      <c r="U36" s="253">
        <f t="shared" si="5"/>
        <v>3055.2526812417523</v>
      </c>
      <c r="V36" s="253">
        <f t="shared" si="5"/>
        <v>3041.7281689249162</v>
      </c>
      <c r="W36" s="253">
        <f t="shared" si="5"/>
        <v>3028.2757209960946</v>
      </c>
      <c r="X36" s="253">
        <f t="shared" si="5"/>
        <v>3014.8948756206191</v>
      </c>
      <c r="Y36" s="253"/>
      <c r="Z36" s="24"/>
    </row>
    <row r="37" spans="1:26">
      <c r="A37" s="24"/>
      <c r="B37" s="24"/>
      <c r="C37" s="24"/>
      <c r="D37" t="s">
        <v>429</v>
      </c>
      <c r="E37" s="253">
        <f t="shared" ref="E37:T43" si="6">E$32</f>
        <v>3281.8361963720217</v>
      </c>
      <c r="F37" s="253">
        <f t="shared" si="6"/>
        <v>3267.0929412220457</v>
      </c>
      <c r="G37" s="253">
        <f t="shared" si="6"/>
        <v>3252.4296287112552</v>
      </c>
      <c r="H37" s="253">
        <f t="shared" si="6"/>
        <v>3237.8457382862684</v>
      </c>
      <c r="I37" s="253">
        <f t="shared" si="6"/>
        <v>3223.3407532934725</v>
      </c>
      <c r="J37" s="253">
        <f t="shared" si="6"/>
        <v>3208.9141609471399</v>
      </c>
      <c r="K37" s="253">
        <f t="shared" si="6"/>
        <v>3194.5654522978111</v>
      </c>
      <c r="L37" s="253">
        <f t="shared" si="6"/>
        <v>3180.294122200954</v>
      </c>
      <c r="M37" s="253">
        <f t="shared" si="6"/>
        <v>3166.0996692858862</v>
      </c>
      <c r="N37" s="253">
        <f t="shared" si="6"/>
        <v>3151.9815959249745</v>
      </c>
      <c r="O37" s="253">
        <f t="shared" si="6"/>
        <v>3137.9394082030817</v>
      </c>
      <c r="P37" s="253">
        <f t="shared" si="6"/>
        <v>3123.9726158872913</v>
      </c>
      <c r="Q37" s="253">
        <f t="shared" si="6"/>
        <v>3110.0807323968825</v>
      </c>
      <c r="R37" s="253">
        <f t="shared" si="6"/>
        <v>3096.2632747735661</v>
      </c>
      <c r="S37" s="253">
        <f t="shared" si="6"/>
        <v>3082.5197636519692</v>
      </c>
      <c r="T37" s="253">
        <f t="shared" si="6"/>
        <v>3068.8497232303826</v>
      </c>
      <c r="U37" s="253">
        <f t="shared" si="5"/>
        <v>3055.2526812417523</v>
      </c>
      <c r="V37" s="253">
        <f t="shared" si="5"/>
        <v>3041.7281689249162</v>
      </c>
      <c r="W37" s="253">
        <f t="shared" si="5"/>
        <v>3028.2757209960946</v>
      </c>
      <c r="X37" s="253">
        <f t="shared" si="5"/>
        <v>3014.8948756206191</v>
      </c>
      <c r="Y37" s="253"/>
      <c r="Z37" s="24"/>
    </row>
    <row r="38" spans="1:26">
      <c r="A38" s="24"/>
      <c r="B38" s="24"/>
      <c r="C38" s="24"/>
      <c r="D38" t="s">
        <v>431</v>
      </c>
      <c r="E38" s="253">
        <f t="shared" si="6"/>
        <v>3281.8361963720217</v>
      </c>
      <c r="F38" s="253">
        <f t="shared" si="5"/>
        <v>3267.0929412220457</v>
      </c>
      <c r="G38" s="253">
        <f t="shared" si="5"/>
        <v>3252.4296287112552</v>
      </c>
      <c r="H38" s="253">
        <f t="shared" si="5"/>
        <v>3237.8457382862684</v>
      </c>
      <c r="I38" s="253">
        <f t="shared" si="5"/>
        <v>3223.3407532934725</v>
      </c>
      <c r="J38" s="253">
        <f t="shared" si="5"/>
        <v>3208.9141609471399</v>
      </c>
      <c r="K38" s="253">
        <f t="shared" si="5"/>
        <v>3194.5654522978111</v>
      </c>
      <c r="L38" s="253">
        <f t="shared" si="5"/>
        <v>3180.294122200954</v>
      </c>
      <c r="M38" s="253">
        <f t="shared" si="5"/>
        <v>3166.0996692858862</v>
      </c>
      <c r="N38" s="253">
        <f t="shared" si="5"/>
        <v>3151.9815959249745</v>
      </c>
      <c r="O38" s="253">
        <f t="shared" si="5"/>
        <v>3137.9394082030817</v>
      </c>
      <c r="P38" s="253">
        <f t="shared" si="5"/>
        <v>3123.9726158872913</v>
      </c>
      <c r="Q38" s="253">
        <f t="shared" si="5"/>
        <v>3110.0807323968825</v>
      </c>
      <c r="R38" s="253">
        <f t="shared" si="5"/>
        <v>3096.2632747735661</v>
      </c>
      <c r="S38" s="253">
        <f t="shared" si="5"/>
        <v>3082.5197636519692</v>
      </c>
      <c r="T38" s="253">
        <f t="shared" si="5"/>
        <v>3068.8497232303826</v>
      </c>
      <c r="U38" s="253">
        <f t="shared" si="5"/>
        <v>3055.2526812417523</v>
      </c>
      <c r="V38" s="253">
        <f t="shared" si="5"/>
        <v>3041.7281689249162</v>
      </c>
      <c r="W38" s="253">
        <f t="shared" si="5"/>
        <v>3028.2757209960946</v>
      </c>
      <c r="X38" s="253">
        <f t="shared" si="5"/>
        <v>3014.8948756206191</v>
      </c>
      <c r="Y38" s="253"/>
      <c r="Z38" s="24"/>
    </row>
    <row r="39" spans="1:26">
      <c r="A39" s="24"/>
      <c r="B39" s="24"/>
      <c r="C39" s="24"/>
      <c r="D39" t="s">
        <v>418</v>
      </c>
      <c r="E39" s="253">
        <f t="shared" si="6"/>
        <v>3281.8361963720217</v>
      </c>
      <c r="F39" s="253">
        <f t="shared" si="5"/>
        <v>3267.0929412220457</v>
      </c>
      <c r="G39" s="253">
        <f t="shared" si="5"/>
        <v>3252.4296287112552</v>
      </c>
      <c r="H39" s="253">
        <f t="shared" si="5"/>
        <v>3237.8457382862684</v>
      </c>
      <c r="I39" s="253">
        <f t="shared" si="5"/>
        <v>3223.3407532934725</v>
      </c>
      <c r="J39" s="253">
        <f t="shared" si="5"/>
        <v>3208.9141609471399</v>
      </c>
      <c r="K39" s="253">
        <f t="shared" si="5"/>
        <v>3194.5654522978111</v>
      </c>
      <c r="L39" s="253">
        <f t="shared" si="5"/>
        <v>3180.294122200954</v>
      </c>
      <c r="M39" s="253">
        <f t="shared" si="5"/>
        <v>3166.0996692858862</v>
      </c>
      <c r="N39" s="253">
        <f t="shared" si="5"/>
        <v>3151.9815959249745</v>
      </c>
      <c r="O39" s="253">
        <f t="shared" si="5"/>
        <v>3137.9394082030817</v>
      </c>
      <c r="P39" s="253">
        <f t="shared" si="5"/>
        <v>3123.9726158872913</v>
      </c>
      <c r="Q39" s="253">
        <f t="shared" si="5"/>
        <v>3110.0807323968825</v>
      </c>
      <c r="R39" s="253">
        <f t="shared" si="5"/>
        <v>3096.2632747735661</v>
      </c>
      <c r="S39" s="253">
        <f t="shared" si="5"/>
        <v>3082.5197636519692</v>
      </c>
      <c r="T39" s="253">
        <f t="shared" si="5"/>
        <v>3068.8497232303826</v>
      </c>
      <c r="U39" s="253">
        <f t="shared" si="5"/>
        <v>3055.2526812417523</v>
      </c>
      <c r="V39" s="253">
        <f t="shared" si="5"/>
        <v>3041.7281689249162</v>
      </c>
      <c r="W39" s="253">
        <f t="shared" si="5"/>
        <v>3028.2757209960946</v>
      </c>
      <c r="X39" s="253">
        <f t="shared" si="5"/>
        <v>3014.8948756206191</v>
      </c>
      <c r="Y39" s="253"/>
      <c r="Z39" s="24"/>
    </row>
    <row r="40" spans="1:26">
      <c r="A40" s="24"/>
      <c r="B40" s="24"/>
      <c r="C40" s="24"/>
      <c r="D40" t="s">
        <v>426</v>
      </c>
      <c r="E40" s="253">
        <f t="shared" si="6"/>
        <v>3281.8361963720217</v>
      </c>
      <c r="F40" s="253">
        <f t="shared" si="5"/>
        <v>3267.0929412220457</v>
      </c>
      <c r="G40" s="253">
        <f t="shared" si="5"/>
        <v>3252.4296287112552</v>
      </c>
      <c r="H40" s="253">
        <f t="shared" si="5"/>
        <v>3237.8457382862684</v>
      </c>
      <c r="I40" s="253">
        <f t="shared" si="5"/>
        <v>3223.3407532934725</v>
      </c>
      <c r="J40" s="253">
        <f t="shared" si="5"/>
        <v>3208.9141609471399</v>
      </c>
      <c r="K40" s="253">
        <f t="shared" si="5"/>
        <v>3194.5654522978111</v>
      </c>
      <c r="L40" s="253">
        <f t="shared" si="5"/>
        <v>3180.294122200954</v>
      </c>
      <c r="M40" s="253">
        <f t="shared" si="5"/>
        <v>3166.0996692858862</v>
      </c>
      <c r="N40" s="253">
        <f t="shared" si="5"/>
        <v>3151.9815959249745</v>
      </c>
      <c r="O40" s="253">
        <f t="shared" si="5"/>
        <v>3137.9394082030817</v>
      </c>
      <c r="P40" s="253">
        <f t="shared" si="5"/>
        <v>3123.9726158872913</v>
      </c>
      <c r="Q40" s="253">
        <f t="shared" si="5"/>
        <v>3110.0807323968825</v>
      </c>
      <c r="R40" s="253">
        <f t="shared" si="5"/>
        <v>3096.2632747735661</v>
      </c>
      <c r="S40" s="253">
        <f t="shared" si="5"/>
        <v>3082.5197636519692</v>
      </c>
      <c r="T40" s="253">
        <f t="shared" si="5"/>
        <v>3068.8497232303826</v>
      </c>
      <c r="U40" s="253">
        <f t="shared" si="5"/>
        <v>3055.2526812417523</v>
      </c>
      <c r="V40" s="253">
        <f t="shared" si="5"/>
        <v>3041.7281689249162</v>
      </c>
      <c r="W40" s="253">
        <f t="shared" si="5"/>
        <v>3028.2757209960946</v>
      </c>
      <c r="X40" s="253">
        <f t="shared" si="5"/>
        <v>3014.8948756206191</v>
      </c>
      <c r="Y40" s="253"/>
      <c r="Z40" s="24"/>
    </row>
    <row r="41" spans="1:26">
      <c r="A41" s="24"/>
      <c r="B41" s="24"/>
      <c r="C41" s="24"/>
      <c r="D41" t="s">
        <v>422</v>
      </c>
      <c r="E41" s="253">
        <f t="shared" si="6"/>
        <v>3281.8361963720217</v>
      </c>
      <c r="F41" s="253">
        <f t="shared" si="5"/>
        <v>3267.0929412220457</v>
      </c>
      <c r="G41" s="253">
        <f t="shared" si="5"/>
        <v>3252.4296287112552</v>
      </c>
      <c r="H41" s="253">
        <f t="shared" si="5"/>
        <v>3237.8457382862684</v>
      </c>
      <c r="I41" s="253">
        <f t="shared" si="5"/>
        <v>3223.3407532934725</v>
      </c>
      <c r="J41" s="253">
        <f t="shared" si="5"/>
        <v>3208.9141609471399</v>
      </c>
      <c r="K41" s="253">
        <f t="shared" si="5"/>
        <v>3194.5654522978111</v>
      </c>
      <c r="L41" s="253">
        <f t="shared" si="5"/>
        <v>3180.294122200954</v>
      </c>
      <c r="M41" s="253">
        <f t="shared" si="5"/>
        <v>3166.0996692858862</v>
      </c>
      <c r="N41" s="253">
        <f t="shared" si="5"/>
        <v>3151.9815959249745</v>
      </c>
      <c r="O41" s="253">
        <f t="shared" si="5"/>
        <v>3137.9394082030817</v>
      </c>
      <c r="P41" s="253">
        <f t="shared" si="5"/>
        <v>3123.9726158872913</v>
      </c>
      <c r="Q41" s="253">
        <f t="shared" si="5"/>
        <v>3110.0807323968825</v>
      </c>
      <c r="R41" s="253">
        <f t="shared" si="5"/>
        <v>3096.2632747735661</v>
      </c>
      <c r="S41" s="253">
        <f t="shared" si="5"/>
        <v>3082.5197636519692</v>
      </c>
      <c r="T41" s="253">
        <f t="shared" si="5"/>
        <v>3068.8497232303826</v>
      </c>
      <c r="U41" s="253">
        <f t="shared" si="5"/>
        <v>3055.2526812417523</v>
      </c>
      <c r="V41" s="253">
        <f t="shared" si="5"/>
        <v>3041.7281689249162</v>
      </c>
      <c r="W41" s="253">
        <f t="shared" si="5"/>
        <v>3028.2757209960946</v>
      </c>
      <c r="X41" s="253">
        <f t="shared" si="5"/>
        <v>3014.8948756206191</v>
      </c>
      <c r="Y41" s="253"/>
      <c r="Z41" s="24"/>
    </row>
    <row r="42" spans="1:26">
      <c r="A42" s="24"/>
      <c r="B42" s="24"/>
      <c r="C42" s="24"/>
      <c r="D42" t="s">
        <v>430</v>
      </c>
      <c r="E42" s="253">
        <f t="shared" si="6"/>
        <v>3281.8361963720217</v>
      </c>
      <c r="F42" s="253">
        <f t="shared" si="5"/>
        <v>3267.0929412220457</v>
      </c>
      <c r="G42" s="253">
        <f t="shared" si="5"/>
        <v>3252.4296287112552</v>
      </c>
      <c r="H42" s="253">
        <f t="shared" si="5"/>
        <v>3237.8457382862684</v>
      </c>
      <c r="I42" s="253">
        <f t="shared" si="5"/>
        <v>3223.3407532934725</v>
      </c>
      <c r="J42" s="253">
        <f t="shared" si="5"/>
        <v>3208.9141609471399</v>
      </c>
      <c r="K42" s="253">
        <f t="shared" si="5"/>
        <v>3194.5654522978111</v>
      </c>
      <c r="L42" s="253">
        <f t="shared" si="5"/>
        <v>3180.294122200954</v>
      </c>
      <c r="M42" s="253">
        <f t="shared" si="5"/>
        <v>3166.0996692858862</v>
      </c>
      <c r="N42" s="253">
        <f t="shared" si="5"/>
        <v>3151.9815959249745</v>
      </c>
      <c r="O42" s="253">
        <f t="shared" si="5"/>
        <v>3137.9394082030817</v>
      </c>
      <c r="P42" s="253">
        <f t="shared" si="5"/>
        <v>3123.9726158872913</v>
      </c>
      <c r="Q42" s="253">
        <f t="shared" si="5"/>
        <v>3110.0807323968825</v>
      </c>
      <c r="R42" s="253">
        <f t="shared" si="5"/>
        <v>3096.2632747735661</v>
      </c>
      <c r="S42" s="253">
        <f t="shared" si="5"/>
        <v>3082.5197636519692</v>
      </c>
      <c r="T42" s="253">
        <f t="shared" si="5"/>
        <v>3068.8497232303826</v>
      </c>
      <c r="U42" s="253">
        <f t="shared" si="5"/>
        <v>3055.2526812417523</v>
      </c>
      <c r="V42" s="253">
        <f t="shared" si="5"/>
        <v>3041.7281689249162</v>
      </c>
      <c r="W42" s="253">
        <f t="shared" si="5"/>
        <v>3028.2757209960946</v>
      </c>
      <c r="X42" s="253">
        <f t="shared" si="5"/>
        <v>3014.8948756206191</v>
      </c>
      <c r="Y42" s="253"/>
      <c r="Z42" s="24"/>
    </row>
    <row r="43" spans="1:26">
      <c r="A43" s="24"/>
      <c r="B43" s="24"/>
      <c r="C43" s="24"/>
      <c r="D43" t="s">
        <v>434</v>
      </c>
      <c r="E43" s="253">
        <f t="shared" si="6"/>
        <v>3281.8361963720217</v>
      </c>
      <c r="F43" s="253">
        <f t="shared" si="5"/>
        <v>3267.0929412220457</v>
      </c>
      <c r="G43" s="253">
        <f t="shared" si="5"/>
        <v>3252.4296287112552</v>
      </c>
      <c r="H43" s="253">
        <f t="shared" si="5"/>
        <v>3237.8457382862684</v>
      </c>
      <c r="I43" s="253">
        <f t="shared" si="5"/>
        <v>3223.3407532934725</v>
      </c>
      <c r="J43" s="253">
        <f t="shared" si="5"/>
        <v>3208.9141609471399</v>
      </c>
      <c r="K43" s="253">
        <f t="shared" si="5"/>
        <v>3194.5654522978111</v>
      </c>
      <c r="L43" s="253">
        <f t="shared" si="5"/>
        <v>3180.294122200954</v>
      </c>
      <c r="M43" s="253">
        <f t="shared" si="5"/>
        <v>3166.0996692858862</v>
      </c>
      <c r="N43" s="253">
        <f t="shared" si="5"/>
        <v>3151.9815959249745</v>
      </c>
      <c r="O43" s="253">
        <f t="shared" si="5"/>
        <v>3137.9394082030817</v>
      </c>
      <c r="P43" s="253">
        <f t="shared" si="5"/>
        <v>3123.9726158872913</v>
      </c>
      <c r="Q43" s="253">
        <f t="shared" si="5"/>
        <v>3110.0807323968825</v>
      </c>
      <c r="R43" s="253">
        <f t="shared" si="5"/>
        <v>3096.2632747735661</v>
      </c>
      <c r="S43" s="253">
        <f t="shared" si="5"/>
        <v>3082.5197636519692</v>
      </c>
      <c r="T43" s="253">
        <f t="shared" si="5"/>
        <v>3068.8497232303826</v>
      </c>
      <c r="U43" s="253">
        <f t="shared" si="5"/>
        <v>3055.2526812417523</v>
      </c>
      <c r="V43" s="253">
        <f t="shared" si="5"/>
        <v>3041.7281689249162</v>
      </c>
      <c r="W43" s="253">
        <f t="shared" si="5"/>
        <v>3028.2757209960946</v>
      </c>
      <c r="X43" s="253">
        <f t="shared" si="5"/>
        <v>3014.8948756206191</v>
      </c>
      <c r="Y43" s="253"/>
      <c r="Z43" s="24"/>
    </row>
    <row r="44" spans="1:26">
      <c r="A44" s="24"/>
      <c r="B44" s="24"/>
      <c r="C44" s="24"/>
      <c r="D44" s="198"/>
      <c r="E44" s="253"/>
      <c r="F44" s="253"/>
      <c r="G44" s="253"/>
      <c r="H44" s="253"/>
      <c r="I44" s="253"/>
      <c r="J44" s="253"/>
      <c r="K44" s="253"/>
      <c r="L44" s="253"/>
      <c r="M44" s="253"/>
      <c r="N44" s="253"/>
      <c r="O44" s="253"/>
      <c r="P44" s="253"/>
      <c r="Q44" s="253"/>
      <c r="R44" s="253"/>
      <c r="S44" s="253"/>
      <c r="T44" s="253"/>
      <c r="U44" s="253"/>
      <c r="V44" s="253"/>
      <c r="W44" s="253"/>
      <c r="X44" s="253"/>
      <c r="Y44" s="253"/>
      <c r="Z44" s="24"/>
    </row>
    <row r="45" spans="1:26">
      <c r="A45" s="24" t="s">
        <v>952</v>
      </c>
      <c r="B45" s="24"/>
      <c r="C45" s="24" t="s">
        <v>926</v>
      </c>
      <c r="D45" s="198"/>
      <c r="E45" s="253">
        <f>E36</f>
        <v>3281.8361963720217</v>
      </c>
      <c r="F45" s="253">
        <f t="shared" ref="F45:X45" si="7">F36</f>
        <v>3267.0929412220457</v>
      </c>
      <c r="G45" s="253">
        <f t="shared" si="7"/>
        <v>3252.4296287112552</v>
      </c>
      <c r="H45" s="253">
        <f t="shared" si="7"/>
        <v>3237.8457382862684</v>
      </c>
      <c r="I45" s="253">
        <f t="shared" si="7"/>
        <v>3223.3407532934725</v>
      </c>
      <c r="J45" s="253">
        <f t="shared" si="7"/>
        <v>3208.9141609471399</v>
      </c>
      <c r="K45" s="253">
        <f t="shared" si="7"/>
        <v>3194.5654522978111</v>
      </c>
      <c r="L45" s="253">
        <f t="shared" si="7"/>
        <v>3180.294122200954</v>
      </c>
      <c r="M45" s="253">
        <f t="shared" si="7"/>
        <v>3166.0996692858862</v>
      </c>
      <c r="N45" s="253">
        <f t="shared" si="7"/>
        <v>3151.9815959249745</v>
      </c>
      <c r="O45" s="253">
        <f t="shared" si="7"/>
        <v>3137.9394082030817</v>
      </c>
      <c r="P45" s="253">
        <f t="shared" si="7"/>
        <v>3123.9726158872913</v>
      </c>
      <c r="Q45" s="253">
        <f t="shared" si="7"/>
        <v>3110.0807323968825</v>
      </c>
      <c r="R45" s="253">
        <f t="shared" si="7"/>
        <v>3096.2632747735661</v>
      </c>
      <c r="S45" s="253">
        <f t="shared" si="7"/>
        <v>3082.5197636519692</v>
      </c>
      <c r="T45" s="253">
        <f t="shared" si="7"/>
        <v>3068.8497232303826</v>
      </c>
      <c r="U45" s="253">
        <f t="shared" si="7"/>
        <v>3055.2526812417523</v>
      </c>
      <c r="V45" s="253">
        <f t="shared" si="7"/>
        <v>3041.7281689249162</v>
      </c>
      <c r="W45" s="253">
        <f t="shared" si="7"/>
        <v>3028.2757209960946</v>
      </c>
      <c r="X45" s="253">
        <f t="shared" si="7"/>
        <v>3014.8948756206191</v>
      </c>
      <c r="Y45" s="253"/>
      <c r="Z45" s="24"/>
    </row>
    <row r="46" spans="1:26">
      <c r="A46" s="24"/>
      <c r="B46" s="24"/>
      <c r="C46" s="24" t="s">
        <v>927</v>
      </c>
      <c r="D46" s="198"/>
      <c r="E46" s="253">
        <f>E45</f>
        <v>3281.8361963720217</v>
      </c>
      <c r="F46" s="253">
        <f t="shared" ref="F46:X46" si="8">F45</f>
        <v>3267.0929412220457</v>
      </c>
      <c r="G46" s="253">
        <f t="shared" si="8"/>
        <v>3252.4296287112552</v>
      </c>
      <c r="H46" s="253">
        <f t="shared" si="8"/>
        <v>3237.8457382862684</v>
      </c>
      <c r="I46" s="253">
        <f t="shared" si="8"/>
        <v>3223.3407532934725</v>
      </c>
      <c r="J46" s="253">
        <f t="shared" si="8"/>
        <v>3208.9141609471399</v>
      </c>
      <c r="K46" s="253">
        <f t="shared" si="8"/>
        <v>3194.5654522978111</v>
      </c>
      <c r="L46" s="253">
        <f t="shared" si="8"/>
        <v>3180.294122200954</v>
      </c>
      <c r="M46" s="253">
        <f t="shared" si="8"/>
        <v>3166.0996692858862</v>
      </c>
      <c r="N46" s="253">
        <f t="shared" si="8"/>
        <v>3151.9815959249745</v>
      </c>
      <c r="O46" s="253">
        <f t="shared" si="8"/>
        <v>3137.9394082030817</v>
      </c>
      <c r="P46" s="253">
        <f t="shared" si="8"/>
        <v>3123.9726158872913</v>
      </c>
      <c r="Q46" s="253">
        <f t="shared" si="8"/>
        <v>3110.0807323968825</v>
      </c>
      <c r="R46" s="253">
        <f t="shared" si="8"/>
        <v>3096.2632747735661</v>
      </c>
      <c r="S46" s="253">
        <f t="shared" si="8"/>
        <v>3082.5197636519692</v>
      </c>
      <c r="T46" s="253">
        <f t="shared" si="8"/>
        <v>3068.8497232303826</v>
      </c>
      <c r="U46" s="253">
        <f t="shared" si="8"/>
        <v>3055.2526812417523</v>
      </c>
      <c r="V46" s="253">
        <f t="shared" si="8"/>
        <v>3041.7281689249162</v>
      </c>
      <c r="W46" s="253">
        <f t="shared" si="8"/>
        <v>3028.2757209960946</v>
      </c>
      <c r="X46" s="253">
        <f t="shared" si="8"/>
        <v>3014.8948756206191</v>
      </c>
      <c r="Y46" s="344"/>
      <c r="Z46" s="255">
        <f>$Z$12*X46</f>
        <v>2562.660644277526</v>
      </c>
    </row>
    <row r="49" spans="1:26" ht="15">
      <c r="A49" s="283" t="s">
        <v>924</v>
      </c>
      <c r="B49" s="283"/>
      <c r="C49" s="24"/>
      <c r="D49" s="198"/>
      <c r="E49" s="343">
        <v>1</v>
      </c>
      <c r="F49" s="343">
        <v>2</v>
      </c>
      <c r="G49" s="343">
        <v>3</v>
      </c>
      <c r="H49" s="343">
        <v>4</v>
      </c>
      <c r="I49" s="343">
        <v>5</v>
      </c>
      <c r="J49" s="343">
        <v>6</v>
      </c>
      <c r="K49" s="343">
        <v>7</v>
      </c>
      <c r="L49" s="343">
        <v>8</v>
      </c>
      <c r="M49" s="343">
        <v>9</v>
      </c>
      <c r="N49" s="343">
        <v>10</v>
      </c>
      <c r="O49" s="343">
        <v>11</v>
      </c>
      <c r="P49" s="343">
        <v>12</v>
      </c>
      <c r="Q49" s="343">
        <v>13</v>
      </c>
      <c r="R49" s="343">
        <v>14</v>
      </c>
      <c r="S49" s="343">
        <v>15</v>
      </c>
      <c r="T49" s="343">
        <v>16</v>
      </c>
      <c r="U49" s="343">
        <v>17</v>
      </c>
      <c r="V49" s="343">
        <v>18</v>
      </c>
      <c r="W49" s="343">
        <v>19</v>
      </c>
      <c r="X49" s="343">
        <v>20</v>
      </c>
      <c r="Y49" s="251" t="s">
        <v>698</v>
      </c>
      <c r="Z49" s="251" t="s">
        <v>699</v>
      </c>
    </row>
    <row r="50" spans="1:26">
      <c r="A50" s="342" t="s">
        <v>795</v>
      </c>
      <c r="B50" s="342">
        <f ca="1">1/VLOOKUP($C$11,[1]TURN!TURN,MATCH($C$12,[1]!BLDGTYPE,0),FALSE)</f>
        <v>5</v>
      </c>
      <c r="D50" t="s">
        <v>954</v>
      </c>
      <c r="E50" s="253">
        <f ca="1">IF(E$49&lt;=$B$50,0,INDEX('SC-New'!$E$157:$X$164,2,'SC-NR'!E$49-ROUND($B$50,0)))</f>
        <v>0</v>
      </c>
      <c r="F50" s="253">
        <f ca="1">IF(F$49&lt;=$B$50,0,INDEX('SC-New'!$E$157:$X$164,2,'SC-NR'!F$49-ROUND($B$50,0)))</f>
        <v>0</v>
      </c>
      <c r="G50" s="253">
        <f ca="1">IF(G$49&lt;=$B$50,0,INDEX('SC-New'!$E$157:$X$164,2,'SC-NR'!G$49-ROUND($B$50,0)))</f>
        <v>0</v>
      </c>
      <c r="H50" s="253">
        <f ca="1">IF(H$49&lt;=$B$50,0,INDEX('SC-New'!$E$157:$X$164,2,'SC-NR'!H$49-ROUND($B$50,0)))</f>
        <v>0</v>
      </c>
      <c r="I50" s="253">
        <f ca="1">IF(I$49&lt;=$B$50,0,INDEX('SC-New'!$E$157:$X$164,2,'SC-NR'!I$49-ROUND($B$50,0)))</f>
        <v>0</v>
      </c>
      <c r="J50" s="253">
        <f ca="1">IF(J$49&lt;=$B$50,0,INDEX('SC-New'!$E$157:$X$164,2,'SC-NR'!J$49-ROUND($B$50,0)))</f>
        <v>46.375704996402163</v>
      </c>
      <c r="K50" s="253">
        <f ca="1">IF(K$49&lt;=$B$50,0,INDEX('SC-New'!$E$157:$X$164,2,'SC-NR'!K$49-ROUND($B$50,0)))</f>
        <v>32.850709111795133</v>
      </c>
      <c r="L50" s="253">
        <f ca="1">IF(L$49&lt;=$B$50,0,INDEX('SC-New'!$E$157:$X$164,2,'SC-NR'!L$49-ROUND($B$50,0)))</f>
        <v>23.651020153943556</v>
      </c>
      <c r="M50" s="253">
        <f ca="1">IF(M$49&lt;=$B$50,0,INDEX('SC-New'!$E$157:$X$164,2,'SC-NR'!M$49-ROUND($B$50,0)))</f>
        <v>19.789539907817272</v>
      </c>
      <c r="N50" s="253">
        <f ca="1">IF(N$49&lt;=$B$50,0,INDEX('SC-New'!$E$157:$X$164,2,'SC-NR'!N$49-ROUND($B$50,0)))</f>
        <v>14.387131398327714</v>
      </c>
      <c r="O50" s="253">
        <f ca="1">IF(O$49&lt;=$B$50,0,INDEX('SC-New'!$E$157:$X$164,2,'SC-NR'!O$49-ROUND($B$50,0)))</f>
        <v>11.326692305619719</v>
      </c>
      <c r="P50" s="253">
        <f ca="1">IF(P$49&lt;=$B$50,0,INDEX('SC-New'!$E$157:$X$164,2,'SC-NR'!P$49-ROUND($B$50,0)))</f>
        <v>10.870893197789631</v>
      </c>
      <c r="Q50" s="253">
        <f ca="1">IF(Q$49&lt;=$B$50,0,INDEX('SC-New'!$E$157:$X$164,2,'SC-NR'!Q$49-ROUND($B$50,0)))</f>
        <v>9.624106834498722</v>
      </c>
      <c r="R50" s="253">
        <f ca="1">IF(R$49&lt;=$B$50,0,INDEX('SC-New'!$E$157:$X$164,2,'SC-NR'!R$49-ROUND($B$50,0)))</f>
        <v>9.358584516158384</v>
      </c>
      <c r="S50" s="253">
        <f ca="1">IF(S$49&lt;=$B$50,0,INDEX('SC-New'!$E$157:$X$164,2,'SC-NR'!S$49-ROUND($B$50,0)))</f>
        <v>9.1691532443562664</v>
      </c>
      <c r="T50" s="253">
        <f ca="1">IF(T$49&lt;=$B$50,0,INDEX('SC-New'!$E$157:$X$164,2,'SC-NR'!T$49-ROUND($B$50,0)))</f>
        <v>9.0640994452009167</v>
      </c>
      <c r="U50" s="253">
        <f ca="1">IF(U$49&lt;=$B$50,0,INDEX('SC-New'!$E$157:$X$164,2,'SC-NR'!U$49-ROUND($B$50,0)))</f>
        <v>9.6025798504351414</v>
      </c>
      <c r="V50" s="253">
        <f ca="1">IF(V$49&lt;=$B$50,0,INDEX('SC-New'!$E$157:$X$164,2,'SC-NR'!V$49-ROUND($B$50,0)))</f>
        <v>9.8721858982919102</v>
      </c>
      <c r="W50" s="253">
        <f ca="1">IF(W$49&lt;=$B$50,0,INDEX('SC-New'!$E$157:$X$164,2,'SC-NR'!W$49-ROUND($B$50,0)))</f>
        <v>9.0486126798781328</v>
      </c>
      <c r="X50" s="253">
        <f ca="1">IF(X$49&lt;=$B$50,0,INDEX('SC-New'!$E$157:$X$164,2,'SC-NR'!X$49-ROUND($B$50,0)))</f>
        <v>9.1897433757430775</v>
      </c>
      <c r="Y50" s="253">
        <f ca="1">SUM(E50:X50)</f>
        <v>234.18075691625779</v>
      </c>
      <c r="Z50" s="24"/>
    </row>
    <row r="51" spans="1:26">
      <c r="A51" s="24"/>
      <c r="B51" s="24"/>
      <c r="D51" t="s">
        <v>955</v>
      </c>
      <c r="E51" s="253">
        <f ca="1">IF(E$49&lt;=$B$50,0,INDEX('SC-New'!$E$157:$X$164,2,'SC-NR'!E$49-ROUND($B$50,0)))</f>
        <v>0</v>
      </c>
      <c r="F51" s="253">
        <f ca="1">IF(F$49&lt;=$B$50,0,INDEX('SC-New'!$E$157:$X$164,2,'SC-NR'!F$49-ROUND($B$50,0)))</f>
        <v>0</v>
      </c>
      <c r="G51" s="253">
        <f ca="1">IF(G$49&lt;=$B$50,0,INDEX('SC-New'!$E$157:$X$164,2,'SC-NR'!G$49-ROUND($B$50,0)))</f>
        <v>0</v>
      </c>
      <c r="H51" s="253">
        <f ca="1">IF(H$49&lt;=$B$50,0,INDEX('SC-New'!$E$157:$X$164,2,'SC-NR'!H$49-ROUND($B$50,0)))</f>
        <v>0</v>
      </c>
      <c r="I51" s="253">
        <f ca="1">IF(I$49&lt;=$B$50,0,INDEX('SC-New'!$E$157:$X$164,2,'SC-NR'!I$49-ROUND($B$50,0)))</f>
        <v>0</v>
      </c>
      <c r="J51" s="253">
        <f ca="1">IF(J$49&lt;=$B$50,0,INDEX('SC-New'!$E$157:$X$164,2,'SC-NR'!J$49-ROUND($B$50,0)))</f>
        <v>46.375704996402163</v>
      </c>
      <c r="K51" s="253">
        <f ca="1">IF(K$49&lt;=$B$50,0,INDEX('SC-New'!$E$157:$X$164,2,'SC-NR'!K$49-ROUND($B$50,0)))</f>
        <v>32.850709111795133</v>
      </c>
      <c r="L51" s="253">
        <f ca="1">IF(L$49&lt;=$B$50,0,INDEX('SC-New'!$E$157:$X$164,2,'SC-NR'!L$49-ROUND($B$50,0)))</f>
        <v>23.651020153943556</v>
      </c>
      <c r="M51" s="253">
        <f ca="1">IF(M$49&lt;=$B$50,0,INDEX('SC-New'!$E$157:$X$164,2,'SC-NR'!M$49-ROUND($B$50,0)))</f>
        <v>19.789539907817272</v>
      </c>
      <c r="N51" s="253">
        <f ca="1">IF(N$49&lt;=$B$50,0,INDEX('SC-New'!$E$157:$X$164,2,'SC-NR'!N$49-ROUND($B$50,0)))</f>
        <v>14.387131398327714</v>
      </c>
      <c r="O51" s="253">
        <f ca="1">IF(O$49&lt;=$B$50,0,INDEX('SC-New'!$E$157:$X$164,2,'SC-NR'!O$49-ROUND($B$50,0)))</f>
        <v>11.326692305619719</v>
      </c>
      <c r="P51" s="253">
        <f ca="1">IF(P$49&lt;=$B$50,0,INDEX('SC-New'!$E$157:$X$164,2,'SC-NR'!P$49-ROUND($B$50,0)))</f>
        <v>10.870893197789631</v>
      </c>
      <c r="Q51" s="253">
        <f ca="1">IF(Q$49&lt;=$B$50,0,INDEX('SC-New'!$E$157:$X$164,2,'SC-NR'!Q$49-ROUND($B$50,0)))</f>
        <v>9.624106834498722</v>
      </c>
      <c r="R51" s="253">
        <f ca="1">IF(R$49&lt;=$B$50,0,INDEX('SC-New'!$E$157:$X$164,2,'SC-NR'!R$49-ROUND($B$50,0)))</f>
        <v>9.358584516158384</v>
      </c>
      <c r="S51" s="253">
        <f ca="1">IF(S$49&lt;=$B$50,0,INDEX('SC-New'!$E$157:$X$164,2,'SC-NR'!S$49-ROUND($B$50,0)))</f>
        <v>9.1691532443562664</v>
      </c>
      <c r="T51" s="253">
        <f ca="1">IF(T$49&lt;=$B$50,0,INDEX('SC-New'!$E$157:$X$164,2,'SC-NR'!T$49-ROUND($B$50,0)))</f>
        <v>9.0640994452009167</v>
      </c>
      <c r="U51" s="253">
        <f ca="1">IF(U$49&lt;=$B$50,0,INDEX('SC-New'!$E$157:$X$164,2,'SC-NR'!U$49-ROUND($B$50,0)))</f>
        <v>9.6025798504351414</v>
      </c>
      <c r="V51" s="253">
        <f ca="1">IF(V$49&lt;=$B$50,0,INDEX('SC-New'!$E$157:$X$164,2,'SC-NR'!V$49-ROUND($B$50,0)))</f>
        <v>9.8721858982919102</v>
      </c>
      <c r="W51" s="253">
        <f ca="1">IF(W$49&lt;=$B$50,0,INDEX('SC-New'!$E$157:$X$164,2,'SC-NR'!W$49-ROUND($B$50,0)))</f>
        <v>9.0486126798781328</v>
      </c>
      <c r="X51" s="253">
        <f ca="1">IF(X$49&lt;=$B$50,0,INDEX('SC-New'!$E$157:$X$164,2,'SC-NR'!X$49-ROUND($B$50,0)))</f>
        <v>9.1897433757430775</v>
      </c>
      <c r="Y51" s="253">
        <f t="shared" ref="Y51:Y57" ca="1" si="9">SUM(E51:X51)</f>
        <v>234.18075691625779</v>
      </c>
      <c r="Z51" s="24"/>
    </row>
    <row r="52" spans="1:26">
      <c r="A52" s="24"/>
      <c r="B52" s="24"/>
      <c r="D52" t="s">
        <v>956</v>
      </c>
      <c r="E52" s="253">
        <f ca="1">IF(E$49&lt;=$B$50,0,INDEX('SC-New'!$E$157:$X$164,2,'SC-NR'!E$49-ROUND($B$50,0)))</f>
        <v>0</v>
      </c>
      <c r="F52" s="253">
        <f ca="1">IF(F$49&lt;=$B$50,0,INDEX('SC-New'!$E$157:$X$164,2,'SC-NR'!F$49-ROUND($B$50,0)))</f>
        <v>0</v>
      </c>
      <c r="G52" s="253">
        <f ca="1">IF(G$49&lt;=$B$50,0,INDEX('SC-New'!$E$157:$X$164,2,'SC-NR'!G$49-ROUND($B$50,0)))</f>
        <v>0</v>
      </c>
      <c r="H52" s="253">
        <f ca="1">IF(H$49&lt;=$B$50,0,INDEX('SC-New'!$E$157:$X$164,2,'SC-NR'!H$49-ROUND($B$50,0)))</f>
        <v>0</v>
      </c>
      <c r="I52" s="253">
        <f ca="1">IF(I$49&lt;=$B$50,0,INDEX('SC-New'!$E$157:$X$164,2,'SC-NR'!I$49-ROUND($B$50,0)))</f>
        <v>0</v>
      </c>
      <c r="J52" s="253">
        <f ca="1">IF(J$49&lt;=$B$50,0,INDEX('SC-New'!$E$157:$X$164,2,'SC-NR'!J$49-ROUND($B$50,0)))</f>
        <v>46.375704996402163</v>
      </c>
      <c r="K52" s="253">
        <f ca="1">IF(K$49&lt;=$B$50,0,INDEX('SC-New'!$E$157:$X$164,2,'SC-NR'!K$49-ROUND($B$50,0)))</f>
        <v>32.850709111795133</v>
      </c>
      <c r="L52" s="253">
        <f ca="1">IF(L$49&lt;=$B$50,0,INDEX('SC-New'!$E$157:$X$164,2,'SC-NR'!L$49-ROUND($B$50,0)))</f>
        <v>23.651020153943556</v>
      </c>
      <c r="M52" s="253">
        <f ca="1">IF(M$49&lt;=$B$50,0,INDEX('SC-New'!$E$157:$X$164,2,'SC-NR'!M$49-ROUND($B$50,0)))</f>
        <v>19.789539907817272</v>
      </c>
      <c r="N52" s="253">
        <f ca="1">IF(N$49&lt;=$B$50,0,INDEX('SC-New'!$E$157:$X$164,2,'SC-NR'!N$49-ROUND($B$50,0)))</f>
        <v>14.387131398327714</v>
      </c>
      <c r="O52" s="253">
        <f ca="1">IF(O$49&lt;=$B$50,0,INDEX('SC-New'!$E$157:$X$164,2,'SC-NR'!O$49-ROUND($B$50,0)))</f>
        <v>11.326692305619719</v>
      </c>
      <c r="P52" s="253">
        <f ca="1">IF(P$49&lt;=$B$50,0,INDEX('SC-New'!$E$157:$X$164,2,'SC-NR'!P$49-ROUND($B$50,0)))</f>
        <v>10.870893197789631</v>
      </c>
      <c r="Q52" s="253">
        <f ca="1">IF(Q$49&lt;=$B$50,0,INDEX('SC-New'!$E$157:$X$164,2,'SC-NR'!Q$49-ROUND($B$50,0)))</f>
        <v>9.624106834498722</v>
      </c>
      <c r="R52" s="253">
        <f ca="1">IF(R$49&lt;=$B$50,0,INDEX('SC-New'!$E$157:$X$164,2,'SC-NR'!R$49-ROUND($B$50,0)))</f>
        <v>9.358584516158384</v>
      </c>
      <c r="S52" s="253">
        <f ca="1">IF(S$49&lt;=$B$50,0,INDEX('SC-New'!$E$157:$X$164,2,'SC-NR'!S$49-ROUND($B$50,0)))</f>
        <v>9.1691532443562664</v>
      </c>
      <c r="T52" s="253">
        <f ca="1">IF(T$49&lt;=$B$50,0,INDEX('SC-New'!$E$157:$X$164,2,'SC-NR'!T$49-ROUND($B$50,0)))</f>
        <v>9.0640994452009167</v>
      </c>
      <c r="U52" s="253">
        <f ca="1">IF(U$49&lt;=$B$50,0,INDEX('SC-New'!$E$157:$X$164,2,'SC-NR'!U$49-ROUND($B$50,0)))</f>
        <v>9.6025798504351414</v>
      </c>
      <c r="V52" s="253">
        <f ca="1">IF(V$49&lt;=$B$50,0,INDEX('SC-New'!$E$157:$X$164,2,'SC-NR'!V$49-ROUND($B$50,0)))</f>
        <v>9.8721858982919102</v>
      </c>
      <c r="W52" s="253">
        <f ca="1">IF(W$49&lt;=$B$50,0,INDEX('SC-New'!$E$157:$X$164,2,'SC-NR'!W$49-ROUND($B$50,0)))</f>
        <v>9.0486126798781328</v>
      </c>
      <c r="X52" s="253">
        <f ca="1">IF(X$49&lt;=$B$50,0,INDEX('SC-New'!$E$157:$X$164,2,'SC-NR'!X$49-ROUND($B$50,0)))</f>
        <v>9.1897433757430775</v>
      </c>
      <c r="Y52" s="253">
        <f t="shared" ca="1" si="9"/>
        <v>234.18075691625779</v>
      </c>
      <c r="Z52" s="24"/>
    </row>
    <row r="53" spans="1:26">
      <c r="A53" s="24"/>
      <c r="B53" s="24"/>
      <c r="D53" t="s">
        <v>957</v>
      </c>
      <c r="E53" s="253">
        <f ca="1">IF(E$49&lt;=$B$50,0,INDEX('SC-New'!$E$157:$X$164,2,'SC-NR'!E$49-ROUND($B$50,0)))</f>
        <v>0</v>
      </c>
      <c r="F53" s="253">
        <f ca="1">IF(F$49&lt;=$B$50,0,INDEX('SC-New'!$E$157:$X$164,2,'SC-NR'!F$49-ROUND($B$50,0)))</f>
        <v>0</v>
      </c>
      <c r="G53" s="253">
        <f ca="1">IF(G$49&lt;=$B$50,0,INDEX('SC-New'!$E$157:$X$164,2,'SC-NR'!G$49-ROUND($B$50,0)))</f>
        <v>0</v>
      </c>
      <c r="H53" s="253">
        <f ca="1">IF(H$49&lt;=$B$50,0,INDEX('SC-New'!$E$157:$X$164,2,'SC-NR'!H$49-ROUND($B$50,0)))</f>
        <v>0</v>
      </c>
      <c r="I53" s="253">
        <f ca="1">IF(I$49&lt;=$B$50,0,INDEX('SC-New'!$E$157:$X$164,2,'SC-NR'!I$49-ROUND($B$50,0)))</f>
        <v>0</v>
      </c>
      <c r="J53" s="253">
        <f ca="1">IF(J$49&lt;=$B$50,0,INDEX('SC-New'!$E$157:$X$164,2,'SC-NR'!J$49-ROUND($B$50,0)))</f>
        <v>46.375704996402163</v>
      </c>
      <c r="K53" s="253">
        <f ca="1">IF(K$49&lt;=$B$50,0,INDEX('SC-New'!$E$157:$X$164,2,'SC-NR'!K$49-ROUND($B$50,0)))</f>
        <v>32.850709111795133</v>
      </c>
      <c r="L53" s="253">
        <f ca="1">IF(L$49&lt;=$B$50,0,INDEX('SC-New'!$E$157:$X$164,2,'SC-NR'!L$49-ROUND($B$50,0)))</f>
        <v>23.651020153943556</v>
      </c>
      <c r="M53" s="253">
        <f ca="1">IF(M$49&lt;=$B$50,0,INDEX('SC-New'!$E$157:$X$164,2,'SC-NR'!M$49-ROUND($B$50,0)))</f>
        <v>19.789539907817272</v>
      </c>
      <c r="N53" s="253">
        <f ca="1">IF(N$49&lt;=$B$50,0,INDEX('SC-New'!$E$157:$X$164,2,'SC-NR'!N$49-ROUND($B$50,0)))</f>
        <v>14.387131398327714</v>
      </c>
      <c r="O53" s="253">
        <f ca="1">IF(O$49&lt;=$B$50,0,INDEX('SC-New'!$E$157:$X$164,2,'SC-NR'!O$49-ROUND($B$50,0)))</f>
        <v>11.326692305619719</v>
      </c>
      <c r="P53" s="253">
        <f ca="1">IF(P$49&lt;=$B$50,0,INDEX('SC-New'!$E$157:$X$164,2,'SC-NR'!P$49-ROUND($B$50,0)))</f>
        <v>10.870893197789631</v>
      </c>
      <c r="Q53" s="253">
        <f ca="1">IF(Q$49&lt;=$B$50,0,INDEX('SC-New'!$E$157:$X$164,2,'SC-NR'!Q$49-ROUND($B$50,0)))</f>
        <v>9.624106834498722</v>
      </c>
      <c r="R53" s="253">
        <f ca="1">IF(R$49&lt;=$B$50,0,INDEX('SC-New'!$E$157:$X$164,2,'SC-NR'!R$49-ROUND($B$50,0)))</f>
        <v>9.358584516158384</v>
      </c>
      <c r="S53" s="253">
        <f ca="1">IF(S$49&lt;=$B$50,0,INDEX('SC-New'!$E$157:$X$164,2,'SC-NR'!S$49-ROUND($B$50,0)))</f>
        <v>9.1691532443562664</v>
      </c>
      <c r="T53" s="253">
        <f ca="1">IF(T$49&lt;=$B$50,0,INDEX('SC-New'!$E$157:$X$164,2,'SC-NR'!T$49-ROUND($B$50,0)))</f>
        <v>9.0640994452009167</v>
      </c>
      <c r="U53" s="253">
        <f ca="1">IF(U$49&lt;=$B$50,0,INDEX('SC-New'!$E$157:$X$164,2,'SC-NR'!U$49-ROUND($B$50,0)))</f>
        <v>9.6025798504351414</v>
      </c>
      <c r="V53" s="253">
        <f ca="1">IF(V$49&lt;=$B$50,0,INDEX('SC-New'!$E$157:$X$164,2,'SC-NR'!V$49-ROUND($B$50,0)))</f>
        <v>9.8721858982919102</v>
      </c>
      <c r="W53" s="253">
        <f ca="1">IF(W$49&lt;=$B$50,0,INDEX('SC-New'!$E$157:$X$164,2,'SC-NR'!W$49-ROUND($B$50,0)))</f>
        <v>9.0486126798781328</v>
      </c>
      <c r="X53" s="253">
        <f ca="1">IF(X$49&lt;=$B$50,0,INDEX('SC-New'!$E$157:$X$164,2,'SC-NR'!X$49-ROUND($B$50,0)))</f>
        <v>9.1897433757430775</v>
      </c>
      <c r="Y53" s="253">
        <f t="shared" ca="1" si="9"/>
        <v>234.18075691625779</v>
      </c>
      <c r="Z53" s="24"/>
    </row>
    <row r="54" spans="1:26">
      <c r="A54" s="24"/>
      <c r="B54" s="24"/>
      <c r="D54" t="s">
        <v>958</v>
      </c>
      <c r="E54" s="253">
        <f ca="1">IF(E$49&lt;=$B$50,0,INDEX('SC-New'!$E$157:$X$164,2,'SC-NR'!E$49-ROUND($B$50,0)))</f>
        <v>0</v>
      </c>
      <c r="F54" s="253">
        <f ca="1">IF(F$49&lt;=$B$50,0,INDEX('SC-New'!$E$157:$X$164,2,'SC-NR'!F$49-ROUND($B$50,0)))</f>
        <v>0</v>
      </c>
      <c r="G54" s="253">
        <f ca="1">IF(G$49&lt;=$B$50,0,INDEX('SC-New'!$E$157:$X$164,2,'SC-NR'!G$49-ROUND($B$50,0)))</f>
        <v>0</v>
      </c>
      <c r="H54" s="253">
        <f ca="1">IF(H$49&lt;=$B$50,0,INDEX('SC-New'!$E$157:$X$164,2,'SC-NR'!H$49-ROUND($B$50,0)))</f>
        <v>0</v>
      </c>
      <c r="I54" s="253">
        <f ca="1">IF(I$49&lt;=$B$50,0,INDEX('SC-New'!$E$157:$X$164,2,'SC-NR'!I$49-ROUND($B$50,0)))</f>
        <v>0</v>
      </c>
      <c r="J54" s="253">
        <f ca="1">IF(J$49&lt;=$B$50,0,INDEX('SC-New'!$E$157:$X$164,2,'SC-NR'!J$49-ROUND($B$50,0)))</f>
        <v>46.375704996402163</v>
      </c>
      <c r="K54" s="253">
        <f ca="1">IF(K$49&lt;=$B$50,0,INDEX('SC-New'!$E$157:$X$164,2,'SC-NR'!K$49-ROUND($B$50,0)))</f>
        <v>32.850709111795133</v>
      </c>
      <c r="L54" s="253">
        <f ca="1">IF(L$49&lt;=$B$50,0,INDEX('SC-New'!$E$157:$X$164,2,'SC-NR'!L$49-ROUND($B$50,0)))</f>
        <v>23.651020153943556</v>
      </c>
      <c r="M54" s="253">
        <f ca="1">IF(M$49&lt;=$B$50,0,INDEX('SC-New'!$E$157:$X$164,2,'SC-NR'!M$49-ROUND($B$50,0)))</f>
        <v>19.789539907817272</v>
      </c>
      <c r="N54" s="253">
        <f ca="1">IF(N$49&lt;=$B$50,0,INDEX('SC-New'!$E$157:$X$164,2,'SC-NR'!N$49-ROUND($B$50,0)))</f>
        <v>14.387131398327714</v>
      </c>
      <c r="O54" s="253">
        <f ca="1">IF(O$49&lt;=$B$50,0,INDEX('SC-New'!$E$157:$X$164,2,'SC-NR'!O$49-ROUND($B$50,0)))</f>
        <v>11.326692305619719</v>
      </c>
      <c r="P54" s="253">
        <f ca="1">IF(P$49&lt;=$B$50,0,INDEX('SC-New'!$E$157:$X$164,2,'SC-NR'!P$49-ROUND($B$50,0)))</f>
        <v>10.870893197789631</v>
      </c>
      <c r="Q54" s="253">
        <f ca="1">IF(Q$49&lt;=$B$50,0,INDEX('SC-New'!$E$157:$X$164,2,'SC-NR'!Q$49-ROUND($B$50,0)))</f>
        <v>9.624106834498722</v>
      </c>
      <c r="R54" s="253">
        <f ca="1">IF(R$49&lt;=$B$50,0,INDEX('SC-New'!$E$157:$X$164,2,'SC-NR'!R$49-ROUND($B$50,0)))</f>
        <v>9.358584516158384</v>
      </c>
      <c r="S54" s="253">
        <f ca="1">IF(S$49&lt;=$B$50,0,INDEX('SC-New'!$E$157:$X$164,2,'SC-NR'!S$49-ROUND($B$50,0)))</f>
        <v>9.1691532443562664</v>
      </c>
      <c r="T54" s="253">
        <f ca="1">IF(T$49&lt;=$B$50,0,INDEX('SC-New'!$E$157:$X$164,2,'SC-NR'!T$49-ROUND($B$50,0)))</f>
        <v>9.0640994452009167</v>
      </c>
      <c r="U54" s="253">
        <f ca="1">IF(U$49&lt;=$B$50,0,INDEX('SC-New'!$E$157:$X$164,2,'SC-NR'!U$49-ROUND($B$50,0)))</f>
        <v>9.6025798504351414</v>
      </c>
      <c r="V54" s="253">
        <f ca="1">IF(V$49&lt;=$B$50,0,INDEX('SC-New'!$E$157:$X$164,2,'SC-NR'!V$49-ROUND($B$50,0)))</f>
        <v>9.8721858982919102</v>
      </c>
      <c r="W54" s="253">
        <f ca="1">IF(W$49&lt;=$B$50,0,INDEX('SC-New'!$E$157:$X$164,2,'SC-NR'!W$49-ROUND($B$50,0)))</f>
        <v>9.0486126798781328</v>
      </c>
      <c r="X54" s="253">
        <f ca="1">IF(X$49&lt;=$B$50,0,INDEX('SC-New'!$E$157:$X$164,2,'SC-NR'!X$49-ROUND($B$50,0)))</f>
        <v>9.1897433757430775</v>
      </c>
      <c r="Y54" s="253">
        <f t="shared" ca="1" si="9"/>
        <v>234.18075691625779</v>
      </c>
      <c r="Z54" s="24"/>
    </row>
    <row r="55" spans="1:26">
      <c r="A55" s="24"/>
      <c r="B55" s="24"/>
      <c r="D55" t="s">
        <v>957</v>
      </c>
      <c r="E55" s="253">
        <f ca="1">IF(E$49&lt;=$B$50,0,INDEX('SC-New'!$E$157:$X$164,2,'SC-NR'!E$49-ROUND($B$50,0)))</f>
        <v>0</v>
      </c>
      <c r="F55" s="253">
        <f ca="1">IF(F$49&lt;=$B$50,0,INDEX('SC-New'!$E$157:$X$164,2,'SC-NR'!F$49-ROUND($B$50,0)))</f>
        <v>0</v>
      </c>
      <c r="G55" s="253">
        <f ca="1">IF(G$49&lt;=$B$50,0,INDEX('SC-New'!$E$157:$X$164,2,'SC-NR'!G$49-ROUND($B$50,0)))</f>
        <v>0</v>
      </c>
      <c r="H55" s="253">
        <f ca="1">IF(H$49&lt;=$B$50,0,INDEX('SC-New'!$E$157:$X$164,2,'SC-NR'!H$49-ROUND($B$50,0)))</f>
        <v>0</v>
      </c>
      <c r="I55" s="253">
        <f ca="1">IF(I$49&lt;=$B$50,0,INDEX('SC-New'!$E$157:$X$164,2,'SC-NR'!I$49-ROUND($B$50,0)))</f>
        <v>0</v>
      </c>
      <c r="J55" s="253">
        <f ca="1">IF(J$49&lt;=$B$50,0,INDEX('SC-New'!$E$157:$X$164,2,'SC-NR'!J$49-ROUND($B$50,0)))</f>
        <v>46.375704996402163</v>
      </c>
      <c r="K55" s="253">
        <f ca="1">IF(K$49&lt;=$B$50,0,INDEX('SC-New'!$E$157:$X$164,2,'SC-NR'!K$49-ROUND($B$50,0)))</f>
        <v>32.850709111795133</v>
      </c>
      <c r="L55" s="253">
        <f ca="1">IF(L$49&lt;=$B$50,0,INDEX('SC-New'!$E$157:$X$164,2,'SC-NR'!L$49-ROUND($B$50,0)))</f>
        <v>23.651020153943556</v>
      </c>
      <c r="M55" s="253">
        <f ca="1">IF(M$49&lt;=$B$50,0,INDEX('SC-New'!$E$157:$X$164,2,'SC-NR'!M$49-ROUND($B$50,0)))</f>
        <v>19.789539907817272</v>
      </c>
      <c r="N55" s="253">
        <f ca="1">IF(N$49&lt;=$B$50,0,INDEX('SC-New'!$E$157:$X$164,2,'SC-NR'!N$49-ROUND($B$50,0)))</f>
        <v>14.387131398327714</v>
      </c>
      <c r="O55" s="253">
        <f ca="1">IF(O$49&lt;=$B$50,0,INDEX('SC-New'!$E$157:$X$164,2,'SC-NR'!O$49-ROUND($B$50,0)))</f>
        <v>11.326692305619719</v>
      </c>
      <c r="P55" s="253">
        <f ca="1">IF(P$49&lt;=$B$50,0,INDEX('SC-New'!$E$157:$X$164,2,'SC-NR'!P$49-ROUND($B$50,0)))</f>
        <v>10.870893197789631</v>
      </c>
      <c r="Q55" s="253">
        <f ca="1">IF(Q$49&lt;=$B$50,0,INDEX('SC-New'!$E$157:$X$164,2,'SC-NR'!Q$49-ROUND($B$50,0)))</f>
        <v>9.624106834498722</v>
      </c>
      <c r="R55" s="253">
        <f ca="1">IF(R$49&lt;=$B$50,0,INDEX('SC-New'!$E$157:$X$164,2,'SC-NR'!R$49-ROUND($B$50,0)))</f>
        <v>9.358584516158384</v>
      </c>
      <c r="S55" s="253">
        <f ca="1">IF(S$49&lt;=$B$50,0,INDEX('SC-New'!$E$157:$X$164,2,'SC-NR'!S$49-ROUND($B$50,0)))</f>
        <v>9.1691532443562664</v>
      </c>
      <c r="T55" s="253">
        <f ca="1">IF(T$49&lt;=$B$50,0,INDEX('SC-New'!$E$157:$X$164,2,'SC-NR'!T$49-ROUND($B$50,0)))</f>
        <v>9.0640994452009167</v>
      </c>
      <c r="U55" s="253">
        <f ca="1">IF(U$49&lt;=$B$50,0,INDEX('SC-New'!$E$157:$X$164,2,'SC-NR'!U$49-ROUND($B$50,0)))</f>
        <v>9.6025798504351414</v>
      </c>
      <c r="V55" s="253">
        <f ca="1">IF(V$49&lt;=$B$50,0,INDEX('SC-New'!$E$157:$X$164,2,'SC-NR'!V$49-ROUND($B$50,0)))</f>
        <v>9.8721858982919102</v>
      </c>
      <c r="W55" s="253">
        <f ca="1">IF(W$49&lt;=$B$50,0,INDEX('SC-New'!$E$157:$X$164,2,'SC-NR'!W$49-ROUND($B$50,0)))</f>
        <v>9.0486126798781328</v>
      </c>
      <c r="X55" s="253">
        <f ca="1">IF(X$49&lt;=$B$50,0,INDEX('SC-New'!$E$157:$X$164,2,'SC-NR'!X$49-ROUND($B$50,0)))</f>
        <v>9.1897433757430775</v>
      </c>
      <c r="Y55" s="253">
        <f t="shared" ca="1" si="9"/>
        <v>234.18075691625779</v>
      </c>
      <c r="Z55" s="24"/>
    </row>
    <row r="56" spans="1:26">
      <c r="A56" s="24"/>
      <c r="B56" s="24"/>
      <c r="D56" t="s">
        <v>959</v>
      </c>
      <c r="E56" s="253">
        <f ca="1">IF(E$49&lt;=$B$50,0,INDEX('SC-New'!$E$157:$X$164,2,'SC-NR'!E$49-ROUND($B$50,0)))</f>
        <v>0</v>
      </c>
      <c r="F56" s="253">
        <f ca="1">IF(F$49&lt;=$B$50,0,INDEX('SC-New'!$E$157:$X$164,2,'SC-NR'!F$49-ROUND($B$50,0)))</f>
        <v>0</v>
      </c>
      <c r="G56" s="253">
        <f ca="1">IF(G$49&lt;=$B$50,0,INDEX('SC-New'!$E$157:$X$164,2,'SC-NR'!G$49-ROUND($B$50,0)))</f>
        <v>0</v>
      </c>
      <c r="H56" s="253">
        <f ca="1">IF(H$49&lt;=$B$50,0,INDEX('SC-New'!$E$157:$X$164,2,'SC-NR'!H$49-ROUND($B$50,0)))</f>
        <v>0</v>
      </c>
      <c r="I56" s="253">
        <f ca="1">IF(I$49&lt;=$B$50,0,INDEX('SC-New'!$E$157:$X$164,2,'SC-NR'!I$49-ROUND($B$50,0)))</f>
        <v>0</v>
      </c>
      <c r="J56" s="253">
        <f ca="1">IF(J$49&lt;=$B$50,0,INDEX('SC-New'!$E$157:$X$164,2,'SC-NR'!J$49-ROUND($B$50,0)))</f>
        <v>46.375704996402163</v>
      </c>
      <c r="K56" s="253">
        <f ca="1">IF(K$49&lt;=$B$50,0,INDEX('SC-New'!$E$157:$X$164,2,'SC-NR'!K$49-ROUND($B$50,0)))</f>
        <v>32.850709111795133</v>
      </c>
      <c r="L56" s="253">
        <f ca="1">IF(L$49&lt;=$B$50,0,INDEX('SC-New'!$E$157:$X$164,2,'SC-NR'!L$49-ROUND($B$50,0)))</f>
        <v>23.651020153943556</v>
      </c>
      <c r="M56" s="253">
        <f ca="1">IF(M$49&lt;=$B$50,0,INDEX('SC-New'!$E$157:$X$164,2,'SC-NR'!M$49-ROUND($B$50,0)))</f>
        <v>19.789539907817272</v>
      </c>
      <c r="N56" s="253">
        <f ca="1">IF(N$49&lt;=$B$50,0,INDEX('SC-New'!$E$157:$X$164,2,'SC-NR'!N$49-ROUND($B$50,0)))</f>
        <v>14.387131398327714</v>
      </c>
      <c r="O56" s="253">
        <f ca="1">IF(O$49&lt;=$B$50,0,INDEX('SC-New'!$E$157:$X$164,2,'SC-NR'!O$49-ROUND($B$50,0)))</f>
        <v>11.326692305619719</v>
      </c>
      <c r="P56" s="253">
        <f ca="1">IF(P$49&lt;=$B$50,0,INDEX('SC-New'!$E$157:$X$164,2,'SC-NR'!P$49-ROUND($B$50,0)))</f>
        <v>10.870893197789631</v>
      </c>
      <c r="Q56" s="253">
        <f ca="1">IF(Q$49&lt;=$B$50,0,INDEX('SC-New'!$E$157:$X$164,2,'SC-NR'!Q$49-ROUND($B$50,0)))</f>
        <v>9.624106834498722</v>
      </c>
      <c r="R56" s="253">
        <f ca="1">IF(R$49&lt;=$B$50,0,INDEX('SC-New'!$E$157:$X$164,2,'SC-NR'!R$49-ROUND($B$50,0)))</f>
        <v>9.358584516158384</v>
      </c>
      <c r="S56" s="253">
        <f ca="1">IF(S$49&lt;=$B$50,0,INDEX('SC-New'!$E$157:$X$164,2,'SC-NR'!S$49-ROUND($B$50,0)))</f>
        <v>9.1691532443562664</v>
      </c>
      <c r="T56" s="253">
        <f ca="1">IF(T$49&lt;=$B$50,0,INDEX('SC-New'!$E$157:$X$164,2,'SC-NR'!T$49-ROUND($B$50,0)))</f>
        <v>9.0640994452009167</v>
      </c>
      <c r="U56" s="253">
        <f ca="1">IF(U$49&lt;=$B$50,0,INDEX('SC-New'!$E$157:$X$164,2,'SC-NR'!U$49-ROUND($B$50,0)))</f>
        <v>9.6025798504351414</v>
      </c>
      <c r="V56" s="253">
        <f ca="1">IF(V$49&lt;=$B$50,0,INDEX('SC-New'!$E$157:$X$164,2,'SC-NR'!V$49-ROUND($B$50,0)))</f>
        <v>9.8721858982919102</v>
      </c>
      <c r="W56" s="253">
        <f ca="1">IF(W$49&lt;=$B$50,0,INDEX('SC-New'!$E$157:$X$164,2,'SC-NR'!W$49-ROUND($B$50,0)))</f>
        <v>9.0486126798781328</v>
      </c>
      <c r="X56" s="253">
        <f ca="1">IF(X$49&lt;=$B$50,0,INDEX('SC-New'!$E$157:$X$164,2,'SC-NR'!X$49-ROUND($B$50,0)))</f>
        <v>9.1897433757430775</v>
      </c>
      <c r="Y56" s="253">
        <f t="shared" ca="1" si="9"/>
        <v>234.18075691625779</v>
      </c>
      <c r="Z56" s="24"/>
    </row>
    <row r="57" spans="1:26">
      <c r="A57" s="24"/>
      <c r="B57" s="24"/>
      <c r="D57" t="s">
        <v>960</v>
      </c>
      <c r="E57" s="253">
        <f ca="1">IF(E$49&lt;=$B$50,0,INDEX('SC-New'!$E$157:$X$164,2,'SC-NR'!E$49-ROUND($B$50,0)))</f>
        <v>0</v>
      </c>
      <c r="F57" s="253">
        <f ca="1">IF(F$49&lt;=$B$50,0,INDEX('SC-New'!$E$157:$X$164,2,'SC-NR'!F$49-ROUND($B$50,0)))</f>
        <v>0</v>
      </c>
      <c r="G57" s="253">
        <f ca="1">IF(G$49&lt;=$B$50,0,INDEX('SC-New'!$E$157:$X$164,2,'SC-NR'!G$49-ROUND($B$50,0)))</f>
        <v>0</v>
      </c>
      <c r="H57" s="253">
        <f ca="1">IF(H$49&lt;=$B$50,0,INDEX('SC-New'!$E$157:$X$164,2,'SC-NR'!H$49-ROUND($B$50,0)))</f>
        <v>0</v>
      </c>
      <c r="I57" s="253">
        <f ca="1">IF(I$49&lt;=$B$50,0,INDEX('SC-New'!$E$157:$X$164,2,'SC-NR'!I$49-ROUND($B$50,0)))</f>
        <v>0</v>
      </c>
      <c r="J57" s="253">
        <f ca="1">IF(J$49&lt;=$B$50,0,INDEX('SC-New'!$E$157:$X$164,2,'SC-NR'!J$49-ROUND($B$50,0)))</f>
        <v>46.375704996402163</v>
      </c>
      <c r="K57" s="253">
        <f ca="1">IF(K$49&lt;=$B$50,0,INDEX('SC-New'!$E$157:$X$164,2,'SC-NR'!K$49-ROUND($B$50,0)))</f>
        <v>32.850709111795133</v>
      </c>
      <c r="L57" s="253">
        <f ca="1">IF(L$49&lt;=$B$50,0,INDEX('SC-New'!$E$157:$X$164,2,'SC-NR'!L$49-ROUND($B$50,0)))</f>
        <v>23.651020153943556</v>
      </c>
      <c r="M57" s="253">
        <f ca="1">IF(M$49&lt;=$B$50,0,INDEX('SC-New'!$E$157:$X$164,2,'SC-NR'!M$49-ROUND($B$50,0)))</f>
        <v>19.789539907817272</v>
      </c>
      <c r="N57" s="253">
        <f ca="1">IF(N$49&lt;=$B$50,0,INDEX('SC-New'!$E$157:$X$164,2,'SC-NR'!N$49-ROUND($B$50,0)))</f>
        <v>14.387131398327714</v>
      </c>
      <c r="O57" s="253">
        <f ca="1">IF(O$49&lt;=$B$50,0,INDEX('SC-New'!$E$157:$X$164,2,'SC-NR'!O$49-ROUND($B$50,0)))</f>
        <v>11.326692305619719</v>
      </c>
      <c r="P57" s="253">
        <f ca="1">IF(P$49&lt;=$B$50,0,INDEX('SC-New'!$E$157:$X$164,2,'SC-NR'!P$49-ROUND($B$50,0)))</f>
        <v>10.870893197789631</v>
      </c>
      <c r="Q57" s="253">
        <f ca="1">IF(Q$49&lt;=$B$50,0,INDEX('SC-New'!$E$157:$X$164,2,'SC-NR'!Q$49-ROUND($B$50,0)))</f>
        <v>9.624106834498722</v>
      </c>
      <c r="R57" s="253">
        <f ca="1">IF(R$49&lt;=$B$50,0,INDEX('SC-New'!$E$157:$X$164,2,'SC-NR'!R$49-ROUND($B$50,0)))</f>
        <v>9.358584516158384</v>
      </c>
      <c r="S57" s="253">
        <f ca="1">IF(S$49&lt;=$B$50,0,INDEX('SC-New'!$E$157:$X$164,2,'SC-NR'!S$49-ROUND($B$50,0)))</f>
        <v>9.1691532443562664</v>
      </c>
      <c r="T57" s="253">
        <f ca="1">IF(T$49&lt;=$B$50,0,INDEX('SC-New'!$E$157:$X$164,2,'SC-NR'!T$49-ROUND($B$50,0)))</f>
        <v>9.0640994452009167</v>
      </c>
      <c r="U57" s="253">
        <f ca="1">IF(U$49&lt;=$B$50,0,INDEX('SC-New'!$E$157:$X$164,2,'SC-NR'!U$49-ROUND($B$50,0)))</f>
        <v>9.6025798504351414</v>
      </c>
      <c r="V57" s="253">
        <f ca="1">IF(V$49&lt;=$B$50,0,INDEX('SC-New'!$E$157:$X$164,2,'SC-NR'!V$49-ROUND($B$50,0)))</f>
        <v>9.8721858982919102</v>
      </c>
      <c r="W57" s="253">
        <f ca="1">IF(W$49&lt;=$B$50,0,INDEX('SC-New'!$E$157:$X$164,2,'SC-NR'!W$49-ROUND($B$50,0)))</f>
        <v>9.0486126798781328</v>
      </c>
      <c r="X57" s="253">
        <f ca="1">IF(X$49&lt;=$B$50,0,INDEX('SC-New'!$E$157:$X$164,2,'SC-NR'!X$49-ROUND($B$50,0)))</f>
        <v>9.1897433757430775</v>
      </c>
      <c r="Y57" s="255">
        <f t="shared" ca="1" si="9"/>
        <v>234.18075691625779</v>
      </c>
      <c r="Z57" s="255">
        <f ca="1">Y57*$Z$12</f>
        <v>199.05364337881912</v>
      </c>
    </row>
    <row r="58" spans="1:26">
      <c r="A58" s="24"/>
      <c r="B58" s="24"/>
      <c r="D58" s="24"/>
      <c r="E58" s="253"/>
      <c r="F58" s="253"/>
      <c r="G58" s="253"/>
      <c r="H58" s="253"/>
      <c r="I58" s="253"/>
      <c r="J58" s="253"/>
      <c r="K58" s="253"/>
      <c r="L58" s="253"/>
      <c r="M58" s="253"/>
      <c r="N58" s="253"/>
      <c r="O58" s="253"/>
      <c r="P58" s="253"/>
      <c r="Q58" s="253"/>
      <c r="R58" s="253"/>
      <c r="S58" s="253"/>
      <c r="T58" s="253"/>
      <c r="U58" s="253"/>
      <c r="V58" s="253"/>
      <c r="W58" s="253"/>
      <c r="X58" s="253"/>
      <c r="Y58" s="253"/>
      <c r="Z58" s="24"/>
    </row>
    <row r="59" spans="1:26">
      <c r="A59" s="24"/>
      <c r="B59" s="24"/>
      <c r="D59" s="24"/>
      <c r="E59" s="253"/>
      <c r="F59" s="253"/>
      <c r="G59" s="253"/>
      <c r="H59" s="253"/>
      <c r="I59" s="253"/>
      <c r="J59" s="253"/>
      <c r="K59" s="253"/>
      <c r="L59" s="253"/>
      <c r="M59" s="253"/>
      <c r="N59" s="253"/>
      <c r="O59" s="253"/>
      <c r="P59" s="253"/>
      <c r="Q59" s="253"/>
      <c r="R59" s="253"/>
      <c r="S59" s="253"/>
      <c r="T59" s="253"/>
      <c r="U59" s="253"/>
      <c r="V59" s="253"/>
      <c r="W59" s="253"/>
      <c r="X59" s="253"/>
      <c r="Y59" s="253"/>
      <c r="Z59" s="24"/>
    </row>
    <row r="60" spans="1:26">
      <c r="A60" s="24"/>
      <c r="B60" s="24"/>
      <c r="C60" s="24"/>
      <c r="D60" s="198"/>
      <c r="E60" s="253"/>
      <c r="F60" s="253"/>
      <c r="G60" s="253"/>
      <c r="H60" s="253"/>
      <c r="I60" s="253"/>
      <c r="J60" s="253"/>
      <c r="K60" s="253"/>
      <c r="L60" s="253"/>
      <c r="M60" s="253"/>
      <c r="N60" s="253"/>
      <c r="O60" s="253"/>
      <c r="P60" s="253"/>
      <c r="Q60" s="253"/>
      <c r="R60" s="253"/>
      <c r="S60" s="253"/>
      <c r="T60" s="253"/>
      <c r="U60" s="253"/>
      <c r="V60" s="253"/>
      <c r="W60" s="253"/>
      <c r="X60" s="253"/>
      <c r="Y60" s="253"/>
      <c r="Z60" s="24"/>
    </row>
    <row r="61" spans="1:26">
      <c r="A61" s="24"/>
      <c r="B61" s="24"/>
      <c r="C61" s="232" t="s">
        <v>953</v>
      </c>
      <c r="D61" s="198"/>
      <c r="E61" s="253"/>
      <c r="F61" s="253"/>
      <c r="G61" s="253"/>
      <c r="H61" s="253"/>
      <c r="I61" s="253"/>
      <c r="J61" s="253"/>
      <c r="K61" s="253"/>
      <c r="L61" s="253"/>
      <c r="M61" s="253"/>
      <c r="N61" s="253"/>
      <c r="O61" s="253"/>
      <c r="P61" s="253"/>
      <c r="Q61" s="253"/>
      <c r="R61" s="253"/>
      <c r="S61" s="253"/>
      <c r="T61" s="253"/>
      <c r="U61" s="253"/>
      <c r="V61" s="253"/>
      <c r="W61" s="253"/>
      <c r="X61" s="253"/>
      <c r="Y61" s="253"/>
      <c r="Z61" s="24"/>
    </row>
    <row r="62" spans="1:26" ht="15">
      <c r="A62" s="345" t="s">
        <v>928</v>
      </c>
      <c r="B62" s="345"/>
      <c r="C62" s="24"/>
      <c r="D62" s="24" t="s">
        <v>929</v>
      </c>
      <c r="E62" s="253"/>
      <c r="F62" s="253"/>
      <c r="G62" s="253"/>
      <c r="H62" s="253"/>
      <c r="I62" s="253"/>
      <c r="J62" s="253"/>
      <c r="K62" s="253"/>
      <c r="L62" s="253"/>
      <c r="M62" s="253"/>
      <c r="N62" s="253"/>
      <c r="O62" s="253"/>
      <c r="P62" s="253"/>
      <c r="Q62" s="253"/>
      <c r="R62" s="253"/>
      <c r="S62" s="253"/>
      <c r="T62" s="253"/>
      <c r="U62" s="253"/>
      <c r="V62" s="253"/>
      <c r="W62" s="253"/>
      <c r="X62" s="253"/>
      <c r="Y62" s="24"/>
      <c r="Z62" s="24"/>
    </row>
    <row r="63" spans="1:26" ht="15">
      <c r="A63" s="263" t="s">
        <v>930</v>
      </c>
      <c r="B63" s="263" t="s">
        <v>931</v>
      </c>
      <c r="C63" s="263" t="s">
        <v>932</v>
      </c>
      <c r="D63" s="263" t="str">
        <f>$C$11</f>
        <v>Exterior Building Lighting-NR</v>
      </c>
      <c r="E63" s="346">
        <f t="shared" ref="E63:X63" si="10">E11</f>
        <v>2016</v>
      </c>
      <c r="F63" s="346">
        <f t="shared" si="10"/>
        <v>2017</v>
      </c>
      <c r="G63" s="346">
        <f t="shared" si="10"/>
        <v>2018</v>
      </c>
      <c r="H63" s="346">
        <f t="shared" si="10"/>
        <v>2019</v>
      </c>
      <c r="I63" s="346">
        <f t="shared" si="10"/>
        <v>2020</v>
      </c>
      <c r="J63" s="346">
        <f t="shared" si="10"/>
        <v>2021</v>
      </c>
      <c r="K63" s="346">
        <f t="shared" si="10"/>
        <v>2022</v>
      </c>
      <c r="L63" s="346">
        <f t="shared" si="10"/>
        <v>2023</v>
      </c>
      <c r="M63" s="346">
        <f t="shared" si="10"/>
        <v>2024</v>
      </c>
      <c r="N63" s="346">
        <f t="shared" si="10"/>
        <v>2025</v>
      </c>
      <c r="O63" s="346">
        <f t="shared" si="10"/>
        <v>2026</v>
      </c>
      <c r="P63" s="346">
        <f t="shared" si="10"/>
        <v>2027</v>
      </c>
      <c r="Q63" s="346">
        <f t="shared" si="10"/>
        <v>2028</v>
      </c>
      <c r="R63" s="346">
        <f t="shared" si="10"/>
        <v>2029</v>
      </c>
      <c r="S63" s="346">
        <f t="shared" si="10"/>
        <v>2030</v>
      </c>
      <c r="T63" s="346">
        <f t="shared" si="10"/>
        <v>2031</v>
      </c>
      <c r="U63" s="346">
        <f t="shared" si="10"/>
        <v>2032</v>
      </c>
      <c r="V63" s="346">
        <f t="shared" si="10"/>
        <v>2033</v>
      </c>
      <c r="W63" s="346">
        <f t="shared" si="10"/>
        <v>2034</v>
      </c>
      <c r="X63" s="346">
        <f t="shared" si="10"/>
        <v>2035</v>
      </c>
      <c r="Y63" s="251" t="s">
        <v>698</v>
      </c>
      <c r="Z63" s="251" t="s">
        <v>699</v>
      </c>
    </row>
    <row r="64" spans="1:26">
      <c r="A64" s="347">
        <f>1-VLOOKUP(D64,'DOE2014 Sales Pen'!$AA$5:$AE$25,5,FALSE)</f>
        <v>0.7</v>
      </c>
      <c r="B64" s="348">
        <v>1</v>
      </c>
      <c r="C64" s="348">
        <f>VLOOKUP(D50,CostMatrix,MATCH($C$61,'Savings and Cost Analysis'!$AM$12:$CV$12,0),FALSE)</f>
        <v>0.17916666666666667</v>
      </c>
      <c r="D64" t="s">
        <v>912</v>
      </c>
      <c r="E64" s="256">
        <f>E$36*$C64*$B64*$A64</f>
        <v>411.596956294991</v>
      </c>
      <c r="F64" s="256">
        <f t="shared" ref="F64:X71" si="11">F$36*$C64*$B64*$A64</f>
        <v>409.74790637826487</v>
      </c>
      <c r="G64" s="256">
        <f t="shared" si="11"/>
        <v>407.9088826008699</v>
      </c>
      <c r="H64" s="256">
        <f t="shared" si="11"/>
        <v>406.07981967673612</v>
      </c>
      <c r="I64" s="256">
        <f t="shared" si="11"/>
        <v>404.26065280888969</v>
      </c>
      <c r="J64" s="256">
        <f t="shared" si="11"/>
        <v>402.45131768545372</v>
      </c>
      <c r="K64" s="256">
        <f t="shared" si="11"/>
        <v>400.65175047568374</v>
      </c>
      <c r="L64" s="256">
        <f t="shared" si="11"/>
        <v>398.86188782603631</v>
      </c>
      <c r="M64" s="256">
        <f t="shared" si="11"/>
        <v>397.08166685627151</v>
      </c>
      <c r="N64" s="256">
        <f t="shared" si="11"/>
        <v>395.31102515559053</v>
      </c>
      <c r="O64" s="256">
        <f t="shared" si="11"/>
        <v>393.54990077880319</v>
      </c>
      <c r="P64" s="256">
        <f t="shared" si="11"/>
        <v>391.79823224253113</v>
      </c>
      <c r="Q64" s="256">
        <f t="shared" si="11"/>
        <v>390.05595852144228</v>
      </c>
      <c r="R64" s="256">
        <f t="shared" si="11"/>
        <v>388.32301904451811</v>
      </c>
      <c r="S64" s="256">
        <f t="shared" si="11"/>
        <v>386.5993536913511</v>
      </c>
      <c r="T64" s="256">
        <f t="shared" si="11"/>
        <v>384.88490278847712</v>
      </c>
      <c r="U64" s="256">
        <f t="shared" si="11"/>
        <v>383.17960710573635</v>
      </c>
      <c r="V64" s="256">
        <f t="shared" si="11"/>
        <v>381.48340785266657</v>
      </c>
      <c r="W64" s="256">
        <f t="shared" si="11"/>
        <v>379.79624667492686</v>
      </c>
      <c r="X64" s="256">
        <f t="shared" si="11"/>
        <v>378.11806565075267</v>
      </c>
      <c r="Y64" s="255">
        <f>$Y$13*B64</f>
        <v>0</v>
      </c>
      <c r="Z64" s="344">
        <f>Y64*$Z$18</f>
        <v>0</v>
      </c>
    </row>
    <row r="65" spans="1:26">
      <c r="A65" s="347">
        <f>1-VLOOKUP(D65,'DOE2014 Sales Pen'!$AA$5:$AE$25,5,FALSE)</f>
        <v>0.75</v>
      </c>
      <c r="B65" s="348">
        <v>1</v>
      </c>
      <c r="C65" s="348">
        <f>VLOOKUP(D51,CostMatrix,MATCH($C$61,'Savings and Cost Analysis'!$AM$12:$CV$12,0),FALSE)</f>
        <v>0.26874999999999999</v>
      </c>
      <c r="D65" t="s">
        <v>838</v>
      </c>
      <c r="E65" s="256">
        <f t="shared" ref="E65:T71" si="12">E$36*$C65*$B65*$A65</f>
        <v>661.49510833123554</v>
      </c>
      <c r="F65" s="256">
        <f t="shared" si="12"/>
        <v>658.52342096506857</v>
      </c>
      <c r="G65" s="256">
        <f t="shared" si="12"/>
        <v>655.5678470371123</v>
      </c>
      <c r="H65" s="256">
        <f t="shared" si="12"/>
        <v>652.62828162332596</v>
      </c>
      <c r="I65" s="256">
        <f t="shared" si="12"/>
        <v>649.70462058571547</v>
      </c>
      <c r="J65" s="256">
        <f t="shared" si="12"/>
        <v>646.7967605659079</v>
      </c>
      <c r="K65" s="256">
        <f t="shared" si="12"/>
        <v>643.90459897877759</v>
      </c>
      <c r="L65" s="256">
        <f t="shared" si="12"/>
        <v>641.0280340061297</v>
      </c>
      <c r="M65" s="256">
        <f t="shared" si="12"/>
        <v>638.16696459043646</v>
      </c>
      <c r="N65" s="256">
        <f t="shared" si="12"/>
        <v>635.32129042862766</v>
      </c>
      <c r="O65" s="256">
        <f t="shared" si="12"/>
        <v>632.49091196593361</v>
      </c>
      <c r="P65" s="256">
        <f t="shared" si="12"/>
        <v>629.67573038978207</v>
      </c>
      <c r="Q65" s="256">
        <f t="shared" si="12"/>
        <v>626.87564762374654</v>
      </c>
      <c r="R65" s="256">
        <f t="shared" si="12"/>
        <v>624.09056632154682</v>
      </c>
      <c r="S65" s="256">
        <f t="shared" si="12"/>
        <v>621.32038986110001</v>
      </c>
      <c r="T65" s="256">
        <f t="shared" si="12"/>
        <v>618.56502233862398</v>
      </c>
      <c r="U65" s="256">
        <f t="shared" si="11"/>
        <v>615.82436856279071</v>
      </c>
      <c r="V65" s="256">
        <f t="shared" si="11"/>
        <v>613.09833404892845</v>
      </c>
      <c r="W65" s="256">
        <f t="shared" si="11"/>
        <v>610.38682501327526</v>
      </c>
      <c r="X65" s="256">
        <f t="shared" si="11"/>
        <v>607.68974836728103</v>
      </c>
      <c r="Y65" s="255">
        <f t="shared" ref="Y65:Y68" si="13">$Y$13*B65</f>
        <v>0</v>
      </c>
      <c r="Z65" s="344">
        <f t="shared" ref="Z65:Z68" si="14">Y65*$Z$18</f>
        <v>0</v>
      </c>
    </row>
    <row r="66" spans="1:26">
      <c r="A66" s="347">
        <f>1-VLOOKUP(D66,'DOE2014 Sales Pen'!$AA$5:$AE$25,5,FALSE)</f>
        <v>0.75</v>
      </c>
      <c r="B66" s="348">
        <v>1</v>
      </c>
      <c r="C66" s="348">
        <f>VLOOKUP(D52,CostMatrix,MATCH($C$61,'Savings and Cost Analysis'!$AM$12:$CV$12,0),FALSE)</f>
        <v>0.26874999999999999</v>
      </c>
      <c r="D66" t="s">
        <v>838</v>
      </c>
      <c r="E66" s="256">
        <f t="shared" si="12"/>
        <v>661.49510833123554</v>
      </c>
      <c r="F66" s="256">
        <f t="shared" si="11"/>
        <v>658.52342096506857</v>
      </c>
      <c r="G66" s="256">
        <f t="shared" si="11"/>
        <v>655.5678470371123</v>
      </c>
      <c r="H66" s="256">
        <f t="shared" si="11"/>
        <v>652.62828162332596</v>
      </c>
      <c r="I66" s="256">
        <f t="shared" si="11"/>
        <v>649.70462058571547</v>
      </c>
      <c r="J66" s="256">
        <f t="shared" si="11"/>
        <v>646.7967605659079</v>
      </c>
      <c r="K66" s="256">
        <f t="shared" si="11"/>
        <v>643.90459897877759</v>
      </c>
      <c r="L66" s="256">
        <f t="shared" si="11"/>
        <v>641.0280340061297</v>
      </c>
      <c r="M66" s="256">
        <f t="shared" si="11"/>
        <v>638.16696459043646</v>
      </c>
      <c r="N66" s="256">
        <f t="shared" si="11"/>
        <v>635.32129042862766</v>
      </c>
      <c r="O66" s="256">
        <f t="shared" si="11"/>
        <v>632.49091196593361</v>
      </c>
      <c r="P66" s="256">
        <f t="shared" si="11"/>
        <v>629.67573038978207</v>
      </c>
      <c r="Q66" s="256">
        <f t="shared" si="11"/>
        <v>626.87564762374654</v>
      </c>
      <c r="R66" s="256">
        <f t="shared" si="11"/>
        <v>624.09056632154682</v>
      </c>
      <c r="S66" s="256">
        <f t="shared" si="11"/>
        <v>621.32038986110001</v>
      </c>
      <c r="T66" s="256">
        <f t="shared" si="11"/>
        <v>618.56502233862398</v>
      </c>
      <c r="U66" s="256">
        <f t="shared" si="11"/>
        <v>615.82436856279071</v>
      </c>
      <c r="V66" s="256">
        <f t="shared" si="11"/>
        <v>613.09833404892845</v>
      </c>
      <c r="W66" s="256">
        <f t="shared" si="11"/>
        <v>610.38682501327526</v>
      </c>
      <c r="X66" s="256">
        <f t="shared" si="11"/>
        <v>607.68974836728103</v>
      </c>
      <c r="Y66" s="255">
        <f t="shared" si="13"/>
        <v>0</v>
      </c>
      <c r="Z66" s="344">
        <f t="shared" si="14"/>
        <v>0</v>
      </c>
    </row>
    <row r="67" spans="1:26">
      <c r="A67" s="347">
        <f>1-VLOOKUP(D67,'DOE2014 Sales Pen'!$AA$5:$AE$25,5,FALSE)</f>
        <v>0.75</v>
      </c>
      <c r="B67" s="348">
        <v>1</v>
      </c>
      <c r="C67" s="348">
        <f>VLOOKUP(D53,CostMatrix,MATCH($C$61,'Savings and Cost Analysis'!$AM$12:$CV$12,0),FALSE)</f>
        <v>0.17916666666666667</v>
      </c>
      <c r="D67" t="s">
        <v>838</v>
      </c>
      <c r="E67" s="256">
        <f t="shared" si="12"/>
        <v>440.99673888749044</v>
      </c>
      <c r="F67" s="256">
        <f t="shared" si="11"/>
        <v>439.01561397671242</v>
      </c>
      <c r="G67" s="256">
        <f t="shared" si="11"/>
        <v>437.04523135807494</v>
      </c>
      <c r="H67" s="256">
        <f t="shared" si="11"/>
        <v>435.08552108221727</v>
      </c>
      <c r="I67" s="256">
        <f t="shared" si="11"/>
        <v>433.13641372381039</v>
      </c>
      <c r="J67" s="256">
        <f t="shared" si="11"/>
        <v>431.19784037727186</v>
      </c>
      <c r="K67" s="256">
        <f t="shared" si="11"/>
        <v>429.26973265251831</v>
      </c>
      <c r="L67" s="256">
        <f t="shared" si="11"/>
        <v>427.35202267075317</v>
      </c>
      <c r="M67" s="256">
        <f t="shared" si="11"/>
        <v>425.4446430602909</v>
      </c>
      <c r="N67" s="256">
        <f t="shared" si="11"/>
        <v>423.54752695241842</v>
      </c>
      <c r="O67" s="256">
        <f t="shared" si="11"/>
        <v>421.66060797728915</v>
      </c>
      <c r="P67" s="256">
        <f t="shared" si="11"/>
        <v>419.78382025985479</v>
      </c>
      <c r="Q67" s="256">
        <f t="shared" si="11"/>
        <v>417.91709841583105</v>
      </c>
      <c r="R67" s="256">
        <f t="shared" si="11"/>
        <v>416.06037754769795</v>
      </c>
      <c r="S67" s="256">
        <f t="shared" si="11"/>
        <v>414.2135932407333</v>
      </c>
      <c r="T67" s="256">
        <f t="shared" si="11"/>
        <v>412.37668155908261</v>
      </c>
      <c r="U67" s="256">
        <f t="shared" si="11"/>
        <v>410.5495790418604</v>
      </c>
      <c r="V67" s="256">
        <f t="shared" si="11"/>
        <v>408.73222269928561</v>
      </c>
      <c r="W67" s="256">
        <f t="shared" si="11"/>
        <v>406.92455000885025</v>
      </c>
      <c r="X67" s="256">
        <f t="shared" si="11"/>
        <v>405.12649891152074</v>
      </c>
      <c r="Y67" s="255">
        <f t="shared" si="13"/>
        <v>0</v>
      </c>
      <c r="Z67" s="344">
        <f t="shared" si="14"/>
        <v>0</v>
      </c>
    </row>
    <row r="68" spans="1:26">
      <c r="A68" s="347">
        <f>1-VLOOKUP(D68,'DOE2014 Sales Pen'!$AA$5:$AE$25,5,FALSE)</f>
        <v>0.75</v>
      </c>
      <c r="B68" s="348">
        <v>1</v>
      </c>
      <c r="C68" s="348">
        <f>VLOOKUP(D54,CostMatrix,MATCH($C$61,'Savings and Cost Analysis'!$AM$12:$CV$12,0),FALSE)</f>
        <v>0.26874999999999999</v>
      </c>
      <c r="D68" t="s">
        <v>838</v>
      </c>
      <c r="E68" s="256">
        <f t="shared" si="12"/>
        <v>661.49510833123554</v>
      </c>
      <c r="F68" s="256">
        <f t="shared" si="11"/>
        <v>658.52342096506857</v>
      </c>
      <c r="G68" s="256">
        <f t="shared" si="11"/>
        <v>655.5678470371123</v>
      </c>
      <c r="H68" s="256">
        <f t="shared" si="11"/>
        <v>652.62828162332596</v>
      </c>
      <c r="I68" s="256">
        <f t="shared" si="11"/>
        <v>649.70462058571547</v>
      </c>
      <c r="J68" s="256">
        <f t="shared" si="11"/>
        <v>646.7967605659079</v>
      </c>
      <c r="K68" s="256">
        <f t="shared" si="11"/>
        <v>643.90459897877759</v>
      </c>
      <c r="L68" s="256">
        <f t="shared" si="11"/>
        <v>641.0280340061297</v>
      </c>
      <c r="M68" s="256">
        <f t="shared" si="11"/>
        <v>638.16696459043646</v>
      </c>
      <c r="N68" s="256">
        <f t="shared" si="11"/>
        <v>635.32129042862766</v>
      </c>
      <c r="O68" s="256">
        <f t="shared" si="11"/>
        <v>632.49091196593361</v>
      </c>
      <c r="P68" s="256">
        <f t="shared" si="11"/>
        <v>629.67573038978207</v>
      </c>
      <c r="Q68" s="256">
        <f t="shared" si="11"/>
        <v>626.87564762374654</v>
      </c>
      <c r="R68" s="256">
        <f t="shared" si="11"/>
        <v>624.09056632154682</v>
      </c>
      <c r="S68" s="256">
        <f t="shared" si="11"/>
        <v>621.32038986110001</v>
      </c>
      <c r="T68" s="256">
        <f t="shared" si="11"/>
        <v>618.56502233862398</v>
      </c>
      <c r="U68" s="256">
        <f t="shared" si="11"/>
        <v>615.82436856279071</v>
      </c>
      <c r="V68" s="256">
        <f t="shared" si="11"/>
        <v>613.09833404892845</v>
      </c>
      <c r="W68" s="256">
        <f t="shared" si="11"/>
        <v>610.38682501327526</v>
      </c>
      <c r="X68" s="256">
        <f t="shared" si="11"/>
        <v>607.68974836728103</v>
      </c>
      <c r="Y68" s="255">
        <f t="shared" si="13"/>
        <v>0</v>
      </c>
      <c r="Z68" s="344">
        <f t="shared" si="14"/>
        <v>0</v>
      </c>
    </row>
    <row r="69" spans="1:26">
      <c r="A69" s="347">
        <f>1-VLOOKUP(D69,'DOE2014 Sales Pen'!$AA$5:$AE$25,5,FALSE)</f>
        <v>0.75</v>
      </c>
      <c r="B69" s="348">
        <v>1</v>
      </c>
      <c r="C69" s="348">
        <f>VLOOKUP(D55,CostMatrix,MATCH($C$61,'Savings and Cost Analysis'!$AM$12:$CV$12,0),FALSE)</f>
        <v>0.17916666666666667</v>
      </c>
      <c r="D69" t="s">
        <v>838</v>
      </c>
      <c r="E69" s="256">
        <f t="shared" si="12"/>
        <v>440.99673888749044</v>
      </c>
      <c r="F69" s="256">
        <f t="shared" si="11"/>
        <v>439.01561397671242</v>
      </c>
      <c r="G69" s="256">
        <f t="shared" si="11"/>
        <v>437.04523135807494</v>
      </c>
      <c r="H69" s="256">
        <f t="shared" si="11"/>
        <v>435.08552108221727</v>
      </c>
      <c r="I69" s="256">
        <f t="shared" si="11"/>
        <v>433.13641372381039</v>
      </c>
      <c r="J69" s="256">
        <f t="shared" si="11"/>
        <v>431.19784037727186</v>
      </c>
      <c r="K69" s="256">
        <f t="shared" si="11"/>
        <v>429.26973265251831</v>
      </c>
      <c r="L69" s="256">
        <f t="shared" si="11"/>
        <v>427.35202267075317</v>
      </c>
      <c r="M69" s="256">
        <f t="shared" si="11"/>
        <v>425.4446430602909</v>
      </c>
      <c r="N69" s="256">
        <f t="shared" si="11"/>
        <v>423.54752695241842</v>
      </c>
      <c r="O69" s="256">
        <f t="shared" si="11"/>
        <v>421.66060797728915</v>
      </c>
      <c r="P69" s="256">
        <f t="shared" si="11"/>
        <v>419.78382025985479</v>
      </c>
      <c r="Q69" s="256">
        <f t="shared" si="11"/>
        <v>417.91709841583105</v>
      </c>
      <c r="R69" s="256">
        <f t="shared" si="11"/>
        <v>416.06037754769795</v>
      </c>
      <c r="S69" s="256">
        <f t="shared" si="11"/>
        <v>414.2135932407333</v>
      </c>
      <c r="T69" s="256">
        <f t="shared" si="11"/>
        <v>412.37668155908261</v>
      </c>
      <c r="U69" s="256">
        <f t="shared" si="11"/>
        <v>410.5495790418604</v>
      </c>
      <c r="V69" s="256">
        <f t="shared" si="11"/>
        <v>408.73222269928561</v>
      </c>
      <c r="W69" s="256">
        <f t="shared" si="11"/>
        <v>406.92455000885025</v>
      </c>
      <c r="X69" s="256">
        <f t="shared" si="11"/>
        <v>405.12649891152074</v>
      </c>
      <c r="Y69" s="255"/>
      <c r="Z69" s="344"/>
    </row>
    <row r="70" spans="1:26">
      <c r="A70" s="347">
        <f>1-VLOOKUP(D70,'DOE2014 Sales Pen'!$AA$5:$AE$25,5,FALSE)</f>
        <v>0.7</v>
      </c>
      <c r="B70" s="348">
        <v>1</v>
      </c>
      <c r="C70" s="348">
        <f>VLOOKUP(D56,CostMatrix,MATCH($C$61,'Savings and Cost Analysis'!$AM$12:$CV$12,0),FALSE)</f>
        <v>0.17916666666666667</v>
      </c>
      <c r="D70" t="s">
        <v>912</v>
      </c>
      <c r="E70" s="256">
        <f t="shared" si="12"/>
        <v>411.596956294991</v>
      </c>
      <c r="F70" s="256">
        <f t="shared" si="11"/>
        <v>409.74790637826487</v>
      </c>
      <c r="G70" s="256">
        <f t="shared" si="11"/>
        <v>407.9088826008699</v>
      </c>
      <c r="H70" s="256">
        <f t="shared" si="11"/>
        <v>406.07981967673612</v>
      </c>
      <c r="I70" s="256">
        <f t="shared" si="11"/>
        <v>404.26065280888969</v>
      </c>
      <c r="J70" s="256">
        <f t="shared" si="11"/>
        <v>402.45131768545372</v>
      </c>
      <c r="K70" s="256">
        <f t="shared" si="11"/>
        <v>400.65175047568374</v>
      </c>
      <c r="L70" s="256">
        <f t="shared" si="11"/>
        <v>398.86188782603631</v>
      </c>
      <c r="M70" s="256">
        <f t="shared" si="11"/>
        <v>397.08166685627151</v>
      </c>
      <c r="N70" s="256">
        <f t="shared" si="11"/>
        <v>395.31102515559053</v>
      </c>
      <c r="O70" s="256">
        <f t="shared" si="11"/>
        <v>393.54990077880319</v>
      </c>
      <c r="P70" s="256">
        <f t="shared" si="11"/>
        <v>391.79823224253113</v>
      </c>
      <c r="Q70" s="256">
        <f t="shared" si="11"/>
        <v>390.05595852144228</v>
      </c>
      <c r="R70" s="256">
        <f t="shared" si="11"/>
        <v>388.32301904451811</v>
      </c>
      <c r="S70" s="256">
        <f t="shared" si="11"/>
        <v>386.5993536913511</v>
      </c>
      <c r="T70" s="256">
        <f t="shared" si="11"/>
        <v>384.88490278847712</v>
      </c>
      <c r="U70" s="256">
        <f t="shared" si="11"/>
        <v>383.17960710573635</v>
      </c>
      <c r="V70" s="256">
        <f t="shared" si="11"/>
        <v>381.48340785266657</v>
      </c>
      <c r="W70" s="256">
        <f t="shared" si="11"/>
        <v>379.79624667492686</v>
      </c>
      <c r="X70" s="256">
        <f t="shared" si="11"/>
        <v>378.11806565075267</v>
      </c>
      <c r="Y70" s="255"/>
      <c r="Z70" s="344"/>
    </row>
    <row r="71" spans="1:26">
      <c r="A71" s="347">
        <f>1-VLOOKUP(D71,'DOE2014 Sales Pen'!$AA$5:$AE$25,5,FALSE)</f>
        <v>0.7</v>
      </c>
      <c r="B71" s="348">
        <v>1</v>
      </c>
      <c r="C71" s="348">
        <f>VLOOKUP(D57,CostMatrix,MATCH($C$61,'Savings and Cost Analysis'!$AM$12:$CV$12,0),FALSE)</f>
        <v>1</v>
      </c>
      <c r="D71" t="s">
        <v>912</v>
      </c>
      <c r="E71" s="256">
        <f t="shared" si="12"/>
        <v>2297.2853374604151</v>
      </c>
      <c r="F71" s="256">
        <f t="shared" si="11"/>
        <v>2286.9650588554318</v>
      </c>
      <c r="G71" s="256">
        <f t="shared" si="11"/>
        <v>2276.7007400978787</v>
      </c>
      <c r="H71" s="256">
        <f t="shared" si="11"/>
        <v>2266.4920168003878</v>
      </c>
      <c r="I71" s="256">
        <f t="shared" si="11"/>
        <v>2256.3385273054305</v>
      </c>
      <c r="J71" s="256">
        <f t="shared" si="11"/>
        <v>2246.2399126629975</v>
      </c>
      <c r="K71" s="256">
        <f t="shared" si="11"/>
        <v>2236.1958166084678</v>
      </c>
      <c r="L71" s="256">
        <f t="shared" si="11"/>
        <v>2226.2058855406676</v>
      </c>
      <c r="M71" s="256">
        <f t="shared" si="11"/>
        <v>2216.2697685001203</v>
      </c>
      <c r="N71" s="256">
        <f t="shared" si="11"/>
        <v>2206.3871171474821</v>
      </c>
      <c r="O71" s="256">
        <f t="shared" si="11"/>
        <v>2196.5575857421572</v>
      </c>
      <c r="P71" s="256">
        <f t="shared" si="11"/>
        <v>2186.7808311211038</v>
      </c>
      <c r="Q71" s="256">
        <f t="shared" si="11"/>
        <v>2177.0565126778174</v>
      </c>
      <c r="R71" s="256">
        <f t="shared" si="11"/>
        <v>2167.3842923414959</v>
      </c>
      <c r="S71" s="256">
        <f t="shared" si="11"/>
        <v>2157.7638345563782</v>
      </c>
      <c r="T71" s="256">
        <f t="shared" si="11"/>
        <v>2148.1948062612678</v>
      </c>
      <c r="U71" s="256">
        <f t="shared" si="11"/>
        <v>2138.6768768692264</v>
      </c>
      <c r="V71" s="256">
        <f t="shared" si="11"/>
        <v>2129.2097182474413</v>
      </c>
      <c r="W71" s="256">
        <f t="shared" si="11"/>
        <v>2119.793004697266</v>
      </c>
      <c r="X71" s="256">
        <f t="shared" si="11"/>
        <v>2110.4264129344333</v>
      </c>
      <c r="Y71" s="255"/>
      <c r="Z71" s="344"/>
    </row>
    <row r="72" spans="1:26">
      <c r="A72" s="24"/>
      <c r="B72" s="24"/>
      <c r="C72" s="24"/>
      <c r="D72" s="198"/>
      <c r="E72" s="253"/>
      <c r="F72" s="253"/>
      <c r="G72" s="253"/>
      <c r="H72" s="253"/>
      <c r="I72" s="253"/>
      <c r="J72" s="253"/>
      <c r="K72" s="253"/>
      <c r="L72" s="253"/>
      <c r="M72" s="253"/>
      <c r="N72" s="253"/>
      <c r="O72" s="253"/>
      <c r="P72" s="253"/>
      <c r="Q72" s="253"/>
      <c r="R72" s="253"/>
      <c r="S72" s="253"/>
      <c r="T72" s="253"/>
      <c r="U72" s="253"/>
      <c r="V72" s="253"/>
      <c r="W72" s="253"/>
      <c r="X72" s="253"/>
      <c r="Y72" s="253"/>
      <c r="Z72" s="235"/>
    </row>
    <row r="73" spans="1:26">
      <c r="A73" s="24"/>
      <c r="B73" s="24"/>
      <c r="C73" s="24"/>
      <c r="D73" s="198" t="s">
        <v>933</v>
      </c>
      <c r="E73" s="253"/>
      <c r="F73" s="253"/>
      <c r="G73" s="253"/>
      <c r="H73" s="253"/>
      <c r="I73" s="253"/>
      <c r="J73" s="253"/>
      <c r="K73" s="253"/>
      <c r="L73" s="253"/>
      <c r="M73" s="253"/>
      <c r="N73" s="253"/>
      <c r="O73" s="253"/>
      <c r="P73" s="253"/>
      <c r="Q73" s="253"/>
      <c r="R73" s="253"/>
      <c r="S73" s="253"/>
      <c r="T73" s="253"/>
      <c r="U73" s="253"/>
      <c r="V73" s="253"/>
      <c r="W73" s="253"/>
      <c r="X73" s="253"/>
      <c r="Y73" s="253">
        <f>SUM(Y64:Y68)</f>
        <v>0</v>
      </c>
      <c r="Z73" s="253">
        <f>SUM(Z64:Z68)</f>
        <v>0</v>
      </c>
    </row>
    <row r="74" spans="1:26">
      <c r="A74" s="24"/>
      <c r="B74" s="24"/>
      <c r="C74" s="24"/>
      <c r="D74" s="198"/>
      <c r="E74" s="253"/>
      <c r="F74" s="253"/>
      <c r="G74" s="253"/>
      <c r="H74" s="253"/>
      <c r="I74" s="253"/>
      <c r="J74" s="253"/>
      <c r="K74" s="253"/>
      <c r="L74" s="253"/>
      <c r="M74" s="253"/>
      <c r="N74" s="253"/>
      <c r="O74" s="253"/>
      <c r="P74" s="253"/>
      <c r="Q74" s="253"/>
      <c r="R74" s="253"/>
      <c r="S74" s="253"/>
      <c r="T74" s="253"/>
      <c r="U74" s="253"/>
      <c r="V74" s="253"/>
      <c r="W74" s="253"/>
      <c r="X74" s="253"/>
      <c r="Y74" s="253"/>
      <c r="Z74" s="24"/>
    </row>
    <row r="75" spans="1:26" ht="15">
      <c r="A75" s="345" t="s">
        <v>928</v>
      </c>
      <c r="B75" s="345"/>
      <c r="C75" s="24"/>
      <c r="D75" s="24" t="s">
        <v>934</v>
      </c>
      <c r="E75" s="235"/>
      <c r="F75" s="235"/>
      <c r="G75" s="198"/>
      <c r="H75" s="198"/>
      <c r="I75" s="198"/>
      <c r="J75" s="198"/>
      <c r="K75" s="198"/>
      <c r="L75" s="198"/>
      <c r="M75" s="198"/>
      <c r="N75" s="198"/>
      <c r="O75" s="198"/>
      <c r="P75" s="198"/>
      <c r="Q75" s="198"/>
      <c r="R75" s="198"/>
      <c r="S75" s="198"/>
      <c r="T75" s="198"/>
      <c r="U75" s="198"/>
      <c r="V75" s="198"/>
      <c r="W75" s="198"/>
      <c r="X75" s="198"/>
      <c r="Y75" s="198"/>
      <c r="Z75" s="24"/>
    </row>
    <row r="76" spans="1:26" ht="15">
      <c r="A76" s="263" t="s">
        <v>930</v>
      </c>
      <c r="B76" s="263" t="s">
        <v>931</v>
      </c>
      <c r="C76" s="263" t="s">
        <v>932</v>
      </c>
      <c r="D76" s="263" t="str">
        <f>$C$11</f>
        <v>Exterior Building Lighting-NR</v>
      </c>
      <c r="E76" s="346">
        <f t="shared" ref="E76:U76" si="15">E11</f>
        <v>2016</v>
      </c>
      <c r="F76" s="346">
        <f t="shared" si="15"/>
        <v>2017</v>
      </c>
      <c r="G76" s="346">
        <f t="shared" si="15"/>
        <v>2018</v>
      </c>
      <c r="H76" s="346">
        <f t="shared" si="15"/>
        <v>2019</v>
      </c>
      <c r="I76" s="346">
        <f t="shared" si="15"/>
        <v>2020</v>
      </c>
      <c r="J76" s="346">
        <f t="shared" si="15"/>
        <v>2021</v>
      </c>
      <c r="K76" s="346">
        <f t="shared" si="15"/>
        <v>2022</v>
      </c>
      <c r="L76" s="346">
        <f t="shared" si="15"/>
        <v>2023</v>
      </c>
      <c r="M76" s="346">
        <f t="shared" si="15"/>
        <v>2024</v>
      </c>
      <c r="N76" s="346">
        <f t="shared" si="15"/>
        <v>2025</v>
      </c>
      <c r="O76" s="346">
        <f t="shared" si="15"/>
        <v>2026</v>
      </c>
      <c r="P76" s="346">
        <f t="shared" si="15"/>
        <v>2027</v>
      </c>
      <c r="Q76" s="346">
        <f t="shared" si="15"/>
        <v>2028</v>
      </c>
      <c r="R76" s="346">
        <f t="shared" si="15"/>
        <v>2029</v>
      </c>
      <c r="S76" s="346">
        <f t="shared" si="15"/>
        <v>2030</v>
      </c>
      <c r="T76" s="346">
        <f t="shared" si="15"/>
        <v>2031</v>
      </c>
      <c r="U76" s="346">
        <f t="shared" si="15"/>
        <v>2032</v>
      </c>
      <c r="V76" s="346">
        <f t="shared" ref="V76:X76" si="16">V11</f>
        <v>2033</v>
      </c>
      <c r="W76" s="346">
        <f t="shared" si="16"/>
        <v>2034</v>
      </c>
      <c r="X76" s="346">
        <f t="shared" si="16"/>
        <v>2035</v>
      </c>
      <c r="Y76" s="251" t="s">
        <v>698</v>
      </c>
      <c r="Z76" s="251" t="s">
        <v>699</v>
      </c>
    </row>
    <row r="77" spans="1:26">
      <c r="A77" s="347">
        <f>1-VLOOKUP(D77,'DOE2014 Sales Pen'!$AA$5:$AE$25,5,FALSE)</f>
        <v>0.7</v>
      </c>
      <c r="B77" s="348">
        <v>1</v>
      </c>
      <c r="C77" s="348">
        <f>VLOOKUP(D50,CostMatrix,MATCH($C$61,'Savings and Cost Analysis'!$AM$12:$CV$12,0),FALSE)</f>
        <v>0.17916666666666667</v>
      </c>
      <c r="D77" t="s">
        <v>912</v>
      </c>
      <c r="E77" s="256">
        <f ca="1">E$50*$C77*$B77*$A77</f>
        <v>0</v>
      </c>
      <c r="F77" s="256">
        <f t="shared" ref="F77:X84" ca="1" si="17">F$50*$C77*$B77*$A77</f>
        <v>0</v>
      </c>
      <c r="G77" s="256">
        <f t="shared" ca="1" si="17"/>
        <v>0</v>
      </c>
      <c r="H77" s="256">
        <f t="shared" ca="1" si="17"/>
        <v>0</v>
      </c>
      <c r="I77" s="256">
        <f t="shared" ca="1" si="17"/>
        <v>0</v>
      </c>
      <c r="J77" s="256">
        <f t="shared" ca="1" si="17"/>
        <v>5.8162863349654375</v>
      </c>
      <c r="K77" s="256">
        <f t="shared" ca="1" si="17"/>
        <v>4.1200264344376398</v>
      </c>
      <c r="L77" s="256">
        <f t="shared" ca="1" si="17"/>
        <v>2.9662321109737539</v>
      </c>
      <c r="M77" s="256">
        <f t="shared" ca="1" si="17"/>
        <v>2.4819381301054158</v>
      </c>
      <c r="N77" s="256">
        <f t="shared" ca="1" si="17"/>
        <v>1.8043860628736006</v>
      </c>
      <c r="O77" s="256">
        <f t="shared" ca="1" si="17"/>
        <v>1.4205559933298064</v>
      </c>
      <c r="P77" s="256">
        <f t="shared" ca="1" si="17"/>
        <v>1.3633911885561161</v>
      </c>
      <c r="Q77" s="256">
        <f t="shared" ca="1" si="17"/>
        <v>1.2070233988267147</v>
      </c>
      <c r="R77" s="256">
        <f t="shared" ca="1" si="17"/>
        <v>1.173722474734864</v>
      </c>
      <c r="S77" s="256">
        <f t="shared" ca="1" si="17"/>
        <v>1.1499646360630151</v>
      </c>
      <c r="T77" s="256">
        <f t="shared" ca="1" si="17"/>
        <v>1.1367891387522815</v>
      </c>
      <c r="U77" s="256">
        <f t="shared" ca="1" si="17"/>
        <v>1.204323556242074</v>
      </c>
      <c r="V77" s="256">
        <f t="shared" ca="1" si="17"/>
        <v>1.2381366480774436</v>
      </c>
      <c r="W77" s="256">
        <f t="shared" ca="1" si="17"/>
        <v>1.1348468402680492</v>
      </c>
      <c r="X77" s="256">
        <f t="shared" ca="1" si="17"/>
        <v>1.1525469817077776</v>
      </c>
      <c r="Y77" s="255">
        <f>$Y$16*B77</f>
        <v>0</v>
      </c>
      <c r="Z77" s="255">
        <f>Y77*$Z$18</f>
        <v>0</v>
      </c>
    </row>
    <row r="78" spans="1:26">
      <c r="A78" s="347">
        <f>1-VLOOKUP(D78,'DOE2014 Sales Pen'!$AA$5:$AE$25,5,FALSE)</f>
        <v>0.75</v>
      </c>
      <c r="B78" s="348">
        <v>1</v>
      </c>
      <c r="C78" s="348">
        <f>VLOOKUP(D51,CostMatrix,MATCH($C$61,'Savings and Cost Analysis'!$AM$12:$CV$12,0),FALSE)</f>
        <v>0.26874999999999999</v>
      </c>
      <c r="D78" t="s">
        <v>838</v>
      </c>
      <c r="E78" s="256">
        <f t="shared" ref="E78:T84" ca="1" si="18">E$50*$C78*$B78*$A78</f>
        <v>0</v>
      </c>
      <c r="F78" s="256">
        <f t="shared" ca="1" si="18"/>
        <v>0</v>
      </c>
      <c r="G78" s="256">
        <f t="shared" ca="1" si="18"/>
        <v>0</v>
      </c>
      <c r="H78" s="256">
        <f t="shared" ca="1" si="18"/>
        <v>0</v>
      </c>
      <c r="I78" s="256">
        <f t="shared" ca="1" si="18"/>
        <v>0</v>
      </c>
      <c r="J78" s="256">
        <f t="shared" ca="1" si="18"/>
        <v>9.3476030383373097</v>
      </c>
      <c r="K78" s="256">
        <f t="shared" ca="1" si="18"/>
        <v>6.6214710553462064</v>
      </c>
      <c r="L78" s="256">
        <f t="shared" ca="1" si="18"/>
        <v>4.7671587497792478</v>
      </c>
      <c r="M78" s="256">
        <f t="shared" ca="1" si="18"/>
        <v>3.9888291376694189</v>
      </c>
      <c r="N78" s="256">
        <f t="shared" ca="1" si="18"/>
        <v>2.89990617247543</v>
      </c>
      <c r="O78" s="256">
        <f t="shared" ca="1" si="18"/>
        <v>2.2830364178514744</v>
      </c>
      <c r="P78" s="256">
        <f t="shared" ca="1" si="18"/>
        <v>2.1911644101794723</v>
      </c>
      <c r="Q78" s="256">
        <f t="shared" ca="1" si="18"/>
        <v>1.9398590338286485</v>
      </c>
      <c r="R78" s="256">
        <f t="shared" ca="1" si="18"/>
        <v>1.8863396915381743</v>
      </c>
      <c r="S78" s="256">
        <f t="shared" ca="1" si="18"/>
        <v>1.8481574508155598</v>
      </c>
      <c r="T78" s="256">
        <f t="shared" ca="1" si="18"/>
        <v>1.8269825444233097</v>
      </c>
      <c r="U78" s="256">
        <f t="shared" ca="1" si="17"/>
        <v>1.9355200011033333</v>
      </c>
      <c r="V78" s="256">
        <f t="shared" ca="1" si="17"/>
        <v>1.9898624701244629</v>
      </c>
      <c r="W78" s="256">
        <f t="shared" ca="1" si="17"/>
        <v>1.8238609932879359</v>
      </c>
      <c r="X78" s="256">
        <f t="shared" ca="1" si="17"/>
        <v>1.852307649173214</v>
      </c>
      <c r="Y78" s="255">
        <f t="shared" ref="Y78:Y86" si="19">$Y$16*B78</f>
        <v>0</v>
      </c>
      <c r="Z78" s="255">
        <f t="shared" ref="Z78:Z81" si="20">Y78*$Z$18</f>
        <v>0</v>
      </c>
    </row>
    <row r="79" spans="1:26">
      <c r="A79" s="347">
        <f>1-VLOOKUP(D79,'DOE2014 Sales Pen'!$AA$5:$AE$25,5,FALSE)</f>
        <v>0.75</v>
      </c>
      <c r="B79" s="348">
        <v>1</v>
      </c>
      <c r="C79" s="348">
        <f>VLOOKUP(D52,CostMatrix,MATCH($C$61,'Savings and Cost Analysis'!$AM$12:$CV$12,0),FALSE)</f>
        <v>0.26874999999999999</v>
      </c>
      <c r="D79" t="s">
        <v>838</v>
      </c>
      <c r="E79" s="256">
        <f t="shared" ca="1" si="18"/>
        <v>0</v>
      </c>
      <c r="F79" s="256">
        <f t="shared" ca="1" si="17"/>
        <v>0</v>
      </c>
      <c r="G79" s="256">
        <f t="shared" ca="1" si="17"/>
        <v>0</v>
      </c>
      <c r="H79" s="256">
        <f t="shared" ca="1" si="17"/>
        <v>0</v>
      </c>
      <c r="I79" s="256">
        <f t="shared" ca="1" si="17"/>
        <v>0</v>
      </c>
      <c r="J79" s="256">
        <f t="shared" ca="1" si="17"/>
        <v>9.3476030383373097</v>
      </c>
      <c r="K79" s="256">
        <f t="shared" ca="1" si="17"/>
        <v>6.6214710553462064</v>
      </c>
      <c r="L79" s="256">
        <f t="shared" ca="1" si="17"/>
        <v>4.7671587497792478</v>
      </c>
      <c r="M79" s="256">
        <f t="shared" ca="1" si="17"/>
        <v>3.9888291376694189</v>
      </c>
      <c r="N79" s="256">
        <f t="shared" ca="1" si="17"/>
        <v>2.89990617247543</v>
      </c>
      <c r="O79" s="256">
        <f t="shared" ca="1" si="17"/>
        <v>2.2830364178514744</v>
      </c>
      <c r="P79" s="256">
        <f t="shared" ca="1" si="17"/>
        <v>2.1911644101794723</v>
      </c>
      <c r="Q79" s="256">
        <f t="shared" ca="1" si="17"/>
        <v>1.9398590338286485</v>
      </c>
      <c r="R79" s="256">
        <f t="shared" ca="1" si="17"/>
        <v>1.8863396915381743</v>
      </c>
      <c r="S79" s="256">
        <f t="shared" ca="1" si="17"/>
        <v>1.8481574508155598</v>
      </c>
      <c r="T79" s="256">
        <f t="shared" ca="1" si="17"/>
        <v>1.8269825444233097</v>
      </c>
      <c r="U79" s="256">
        <f t="shared" ca="1" si="17"/>
        <v>1.9355200011033333</v>
      </c>
      <c r="V79" s="256">
        <f t="shared" ca="1" si="17"/>
        <v>1.9898624701244629</v>
      </c>
      <c r="W79" s="256">
        <f t="shared" ca="1" si="17"/>
        <v>1.8238609932879359</v>
      </c>
      <c r="X79" s="256">
        <f t="shared" ca="1" si="17"/>
        <v>1.852307649173214</v>
      </c>
      <c r="Y79" s="255">
        <f t="shared" si="19"/>
        <v>0</v>
      </c>
      <c r="Z79" s="255">
        <f t="shared" si="20"/>
        <v>0</v>
      </c>
    </row>
    <row r="80" spans="1:26">
      <c r="A80" s="347">
        <f>1-VLOOKUP(D80,'DOE2014 Sales Pen'!$AA$5:$AE$25,5,FALSE)</f>
        <v>0.75</v>
      </c>
      <c r="B80" s="348">
        <v>1</v>
      </c>
      <c r="C80" s="348">
        <f>VLOOKUP(D53,CostMatrix,MATCH($C$61,'Savings and Cost Analysis'!$AM$12:$CV$12,0),FALSE)</f>
        <v>0.17916666666666667</v>
      </c>
      <c r="D80" t="s">
        <v>838</v>
      </c>
      <c r="E80" s="256">
        <f t="shared" ca="1" si="18"/>
        <v>0</v>
      </c>
      <c r="F80" s="256">
        <f t="shared" ca="1" si="17"/>
        <v>0</v>
      </c>
      <c r="G80" s="256">
        <f t="shared" ca="1" si="17"/>
        <v>0</v>
      </c>
      <c r="H80" s="256">
        <f t="shared" ca="1" si="17"/>
        <v>0</v>
      </c>
      <c r="I80" s="256">
        <f t="shared" ca="1" si="17"/>
        <v>0</v>
      </c>
      <c r="J80" s="256">
        <f t="shared" ca="1" si="17"/>
        <v>6.231735358891541</v>
      </c>
      <c r="K80" s="256">
        <f t="shared" ca="1" si="17"/>
        <v>4.4143140368974709</v>
      </c>
      <c r="L80" s="256">
        <f t="shared" ca="1" si="17"/>
        <v>3.1781058331861649</v>
      </c>
      <c r="M80" s="256">
        <f t="shared" ca="1" si="17"/>
        <v>2.659219425112946</v>
      </c>
      <c r="N80" s="256">
        <f t="shared" ca="1" si="17"/>
        <v>1.9332707816502865</v>
      </c>
      <c r="O80" s="256">
        <f t="shared" ca="1" si="17"/>
        <v>1.5220242785676499</v>
      </c>
      <c r="P80" s="256">
        <f t="shared" ca="1" si="17"/>
        <v>1.4607762734529817</v>
      </c>
      <c r="Q80" s="256">
        <f t="shared" ca="1" si="17"/>
        <v>1.2932393558857658</v>
      </c>
      <c r="R80" s="256">
        <f t="shared" ca="1" si="17"/>
        <v>1.2575597943587828</v>
      </c>
      <c r="S80" s="256">
        <f t="shared" ca="1" si="17"/>
        <v>1.2321049672103734</v>
      </c>
      <c r="T80" s="256">
        <f t="shared" ca="1" si="17"/>
        <v>1.2179883629488732</v>
      </c>
      <c r="U80" s="256">
        <f t="shared" ca="1" si="17"/>
        <v>1.2903466674022221</v>
      </c>
      <c r="V80" s="256">
        <f t="shared" ca="1" si="17"/>
        <v>1.3265749800829754</v>
      </c>
      <c r="W80" s="256">
        <f t="shared" ca="1" si="17"/>
        <v>1.2159073288586242</v>
      </c>
      <c r="X80" s="256">
        <f t="shared" ca="1" si="17"/>
        <v>1.234871766115476</v>
      </c>
      <c r="Y80" s="255">
        <f t="shared" si="19"/>
        <v>0</v>
      </c>
      <c r="Z80" s="255">
        <f t="shared" si="20"/>
        <v>0</v>
      </c>
    </row>
    <row r="81" spans="1:26">
      <c r="A81" s="347">
        <f>1-VLOOKUP(D81,'DOE2014 Sales Pen'!$AA$5:$AE$25,5,FALSE)</f>
        <v>0.75</v>
      </c>
      <c r="B81" s="348">
        <v>1</v>
      </c>
      <c r="C81" s="348">
        <f>VLOOKUP(D54,CostMatrix,MATCH($C$61,'Savings and Cost Analysis'!$AM$12:$CV$12,0),FALSE)</f>
        <v>0.26874999999999999</v>
      </c>
      <c r="D81" t="s">
        <v>838</v>
      </c>
      <c r="E81" s="256">
        <f t="shared" ca="1" si="18"/>
        <v>0</v>
      </c>
      <c r="F81" s="256">
        <f t="shared" ca="1" si="17"/>
        <v>0</v>
      </c>
      <c r="G81" s="256">
        <f t="shared" ca="1" si="17"/>
        <v>0</v>
      </c>
      <c r="H81" s="256">
        <f t="shared" ca="1" si="17"/>
        <v>0</v>
      </c>
      <c r="I81" s="256">
        <f t="shared" ca="1" si="17"/>
        <v>0</v>
      </c>
      <c r="J81" s="256">
        <f t="shared" ca="1" si="17"/>
        <v>9.3476030383373097</v>
      </c>
      <c r="K81" s="256">
        <f t="shared" ca="1" si="17"/>
        <v>6.6214710553462064</v>
      </c>
      <c r="L81" s="256">
        <f t="shared" ca="1" si="17"/>
        <v>4.7671587497792478</v>
      </c>
      <c r="M81" s="256">
        <f t="shared" ca="1" si="17"/>
        <v>3.9888291376694189</v>
      </c>
      <c r="N81" s="256">
        <f t="shared" ca="1" si="17"/>
        <v>2.89990617247543</v>
      </c>
      <c r="O81" s="256">
        <f t="shared" ca="1" si="17"/>
        <v>2.2830364178514744</v>
      </c>
      <c r="P81" s="256">
        <f t="shared" ca="1" si="17"/>
        <v>2.1911644101794723</v>
      </c>
      <c r="Q81" s="256">
        <f t="shared" ca="1" si="17"/>
        <v>1.9398590338286485</v>
      </c>
      <c r="R81" s="256">
        <f t="shared" ca="1" si="17"/>
        <v>1.8863396915381743</v>
      </c>
      <c r="S81" s="256">
        <f t="shared" ca="1" si="17"/>
        <v>1.8481574508155598</v>
      </c>
      <c r="T81" s="256">
        <f t="shared" ca="1" si="17"/>
        <v>1.8269825444233097</v>
      </c>
      <c r="U81" s="256">
        <f t="shared" ca="1" si="17"/>
        <v>1.9355200011033333</v>
      </c>
      <c r="V81" s="256">
        <f t="shared" ca="1" si="17"/>
        <v>1.9898624701244629</v>
      </c>
      <c r="W81" s="256">
        <f t="shared" ca="1" si="17"/>
        <v>1.8238609932879359</v>
      </c>
      <c r="X81" s="256">
        <f t="shared" ca="1" si="17"/>
        <v>1.852307649173214</v>
      </c>
      <c r="Y81" s="255">
        <f t="shared" si="19"/>
        <v>0</v>
      </c>
      <c r="Z81" s="255">
        <f t="shared" si="20"/>
        <v>0</v>
      </c>
    </row>
    <row r="82" spans="1:26">
      <c r="A82" s="347">
        <f>1-VLOOKUP(D82,'DOE2014 Sales Pen'!$AA$5:$AE$25,5,FALSE)</f>
        <v>0.75</v>
      </c>
      <c r="B82" s="348">
        <v>1</v>
      </c>
      <c r="C82" s="348">
        <f>VLOOKUP(D55,CostMatrix,MATCH($C$61,'Savings and Cost Analysis'!$AM$12:$CV$12,0),FALSE)</f>
        <v>0.17916666666666667</v>
      </c>
      <c r="D82" t="s">
        <v>838</v>
      </c>
      <c r="E82" s="256">
        <f t="shared" ca="1" si="18"/>
        <v>0</v>
      </c>
      <c r="F82" s="256">
        <f t="shared" ca="1" si="17"/>
        <v>0</v>
      </c>
      <c r="G82" s="256">
        <f t="shared" ca="1" si="17"/>
        <v>0</v>
      </c>
      <c r="H82" s="256">
        <f t="shared" ca="1" si="17"/>
        <v>0</v>
      </c>
      <c r="I82" s="256">
        <f t="shared" ca="1" si="17"/>
        <v>0</v>
      </c>
      <c r="J82" s="256">
        <f t="shared" ca="1" si="17"/>
        <v>6.231735358891541</v>
      </c>
      <c r="K82" s="256">
        <f t="shared" ca="1" si="17"/>
        <v>4.4143140368974709</v>
      </c>
      <c r="L82" s="256">
        <f t="shared" ca="1" si="17"/>
        <v>3.1781058331861649</v>
      </c>
      <c r="M82" s="256">
        <f t="shared" ca="1" si="17"/>
        <v>2.659219425112946</v>
      </c>
      <c r="N82" s="256">
        <f t="shared" ca="1" si="17"/>
        <v>1.9332707816502865</v>
      </c>
      <c r="O82" s="256">
        <f t="shared" ca="1" si="17"/>
        <v>1.5220242785676499</v>
      </c>
      <c r="P82" s="256">
        <f t="shared" ca="1" si="17"/>
        <v>1.4607762734529817</v>
      </c>
      <c r="Q82" s="256">
        <f t="shared" ca="1" si="17"/>
        <v>1.2932393558857658</v>
      </c>
      <c r="R82" s="256">
        <f t="shared" ca="1" si="17"/>
        <v>1.2575597943587828</v>
      </c>
      <c r="S82" s="256">
        <f t="shared" ca="1" si="17"/>
        <v>1.2321049672103734</v>
      </c>
      <c r="T82" s="256">
        <f t="shared" ca="1" si="17"/>
        <v>1.2179883629488732</v>
      </c>
      <c r="U82" s="256">
        <f t="shared" ca="1" si="17"/>
        <v>1.2903466674022221</v>
      </c>
      <c r="V82" s="256">
        <f t="shared" ca="1" si="17"/>
        <v>1.3265749800829754</v>
      </c>
      <c r="W82" s="256">
        <f t="shared" ca="1" si="17"/>
        <v>1.2159073288586242</v>
      </c>
      <c r="X82" s="256">
        <f t="shared" ca="1" si="17"/>
        <v>1.234871766115476</v>
      </c>
      <c r="Y82" s="255"/>
      <c r="Z82" s="255"/>
    </row>
    <row r="83" spans="1:26">
      <c r="A83" s="347">
        <f>1-VLOOKUP(D83,'DOE2014 Sales Pen'!$AA$5:$AE$25,5,FALSE)</f>
        <v>0.7</v>
      </c>
      <c r="B83" s="348">
        <v>1</v>
      </c>
      <c r="C83" s="348">
        <f>VLOOKUP(D56,CostMatrix,MATCH($C$61,'Savings and Cost Analysis'!$AM$12:$CV$12,0),FALSE)</f>
        <v>0.17916666666666667</v>
      </c>
      <c r="D83" t="s">
        <v>912</v>
      </c>
      <c r="E83" s="256">
        <f t="shared" ca="1" si="18"/>
        <v>0</v>
      </c>
      <c r="F83" s="256">
        <f t="shared" ca="1" si="17"/>
        <v>0</v>
      </c>
      <c r="G83" s="256">
        <f t="shared" ca="1" si="17"/>
        <v>0</v>
      </c>
      <c r="H83" s="256">
        <f t="shared" ca="1" si="17"/>
        <v>0</v>
      </c>
      <c r="I83" s="256">
        <f t="shared" ca="1" si="17"/>
        <v>0</v>
      </c>
      <c r="J83" s="256">
        <f t="shared" ca="1" si="17"/>
        <v>5.8162863349654375</v>
      </c>
      <c r="K83" s="256">
        <f t="shared" ca="1" si="17"/>
        <v>4.1200264344376398</v>
      </c>
      <c r="L83" s="256">
        <f t="shared" ca="1" si="17"/>
        <v>2.9662321109737539</v>
      </c>
      <c r="M83" s="256">
        <f t="shared" ca="1" si="17"/>
        <v>2.4819381301054158</v>
      </c>
      <c r="N83" s="256">
        <f t="shared" ca="1" si="17"/>
        <v>1.8043860628736006</v>
      </c>
      <c r="O83" s="256">
        <f t="shared" ca="1" si="17"/>
        <v>1.4205559933298064</v>
      </c>
      <c r="P83" s="256">
        <f t="shared" ca="1" si="17"/>
        <v>1.3633911885561161</v>
      </c>
      <c r="Q83" s="256">
        <f t="shared" ca="1" si="17"/>
        <v>1.2070233988267147</v>
      </c>
      <c r="R83" s="256">
        <f t="shared" ca="1" si="17"/>
        <v>1.173722474734864</v>
      </c>
      <c r="S83" s="256">
        <f t="shared" ca="1" si="17"/>
        <v>1.1499646360630151</v>
      </c>
      <c r="T83" s="256">
        <f t="shared" ca="1" si="17"/>
        <v>1.1367891387522815</v>
      </c>
      <c r="U83" s="256">
        <f t="shared" ca="1" si="17"/>
        <v>1.204323556242074</v>
      </c>
      <c r="V83" s="256">
        <f t="shared" ca="1" si="17"/>
        <v>1.2381366480774436</v>
      </c>
      <c r="W83" s="256">
        <f t="shared" ca="1" si="17"/>
        <v>1.1348468402680492</v>
      </c>
      <c r="X83" s="256">
        <f t="shared" ca="1" si="17"/>
        <v>1.1525469817077776</v>
      </c>
      <c r="Y83" s="255"/>
      <c r="Z83" s="255"/>
    </row>
    <row r="84" spans="1:26">
      <c r="A84" s="347">
        <f>1-VLOOKUP(D84,'DOE2014 Sales Pen'!$AA$5:$AE$25,5,FALSE)</f>
        <v>0.7</v>
      </c>
      <c r="B84" s="348">
        <v>1</v>
      </c>
      <c r="C84" s="348">
        <f>VLOOKUP(D57,CostMatrix,MATCH($C$61,'Savings and Cost Analysis'!$AM$12:$CV$12,0),FALSE)</f>
        <v>1</v>
      </c>
      <c r="D84" t="s">
        <v>912</v>
      </c>
      <c r="E84" s="256">
        <f t="shared" ca="1" si="18"/>
        <v>0</v>
      </c>
      <c r="F84" s="256">
        <f t="shared" ca="1" si="17"/>
        <v>0</v>
      </c>
      <c r="G84" s="256">
        <f t="shared" ca="1" si="17"/>
        <v>0</v>
      </c>
      <c r="H84" s="256">
        <f t="shared" ca="1" si="17"/>
        <v>0</v>
      </c>
      <c r="I84" s="256">
        <f t="shared" ca="1" si="17"/>
        <v>0</v>
      </c>
      <c r="J84" s="256">
        <f t="shared" ca="1" si="17"/>
        <v>32.462993497481513</v>
      </c>
      <c r="K84" s="256">
        <f t="shared" ca="1" si="17"/>
        <v>22.995496378256593</v>
      </c>
      <c r="L84" s="256">
        <f t="shared" ca="1" si="17"/>
        <v>16.555714107760487</v>
      </c>
      <c r="M84" s="256">
        <f t="shared" ca="1" si="17"/>
        <v>13.852677935472089</v>
      </c>
      <c r="N84" s="256">
        <f t="shared" ca="1" si="17"/>
        <v>10.070991978829399</v>
      </c>
      <c r="O84" s="256">
        <f t="shared" ca="1" si="17"/>
        <v>7.928684613933803</v>
      </c>
      <c r="P84" s="256">
        <f t="shared" ca="1" si="17"/>
        <v>7.6096252384527405</v>
      </c>
      <c r="Q84" s="256">
        <f t="shared" ca="1" si="17"/>
        <v>6.736874784149105</v>
      </c>
      <c r="R84" s="256">
        <f t="shared" ca="1" si="17"/>
        <v>6.5510091613108683</v>
      </c>
      <c r="S84" s="256">
        <f t="shared" ca="1" si="17"/>
        <v>6.4184072710493858</v>
      </c>
      <c r="T84" s="256">
        <f t="shared" ca="1" si="17"/>
        <v>6.3448696116406413</v>
      </c>
      <c r="U84" s="256">
        <f t="shared" ca="1" si="17"/>
        <v>6.7218058953045983</v>
      </c>
      <c r="V84" s="256">
        <f t="shared" ca="1" si="17"/>
        <v>6.9105301288043366</v>
      </c>
      <c r="W84" s="256">
        <f t="shared" ca="1" si="17"/>
        <v>6.3340288759146928</v>
      </c>
      <c r="X84" s="256">
        <f t="shared" ca="1" si="17"/>
        <v>6.4328203630201539</v>
      </c>
      <c r="Y84" s="255"/>
      <c r="Z84" s="255"/>
    </row>
    <row r="85" spans="1:26">
      <c r="A85" s="24"/>
      <c r="B85" s="24"/>
      <c r="C85" s="24"/>
      <c r="D85" s="24"/>
      <c r="E85" s="254"/>
      <c r="F85" s="254"/>
      <c r="G85" s="254"/>
      <c r="H85" s="254"/>
      <c r="I85" s="254"/>
      <c r="J85" s="254"/>
      <c r="K85" s="254"/>
      <c r="L85" s="254"/>
      <c r="M85" s="254"/>
      <c r="N85" s="254"/>
      <c r="O85" s="254"/>
      <c r="P85" s="254"/>
      <c r="Q85" s="254"/>
      <c r="R85" s="254"/>
      <c r="S85" s="254"/>
      <c r="T85" s="254"/>
      <c r="U85" s="254"/>
      <c r="V85" s="254"/>
      <c r="W85" s="254"/>
      <c r="X85" s="254"/>
      <c r="Y85" s="253">
        <f t="shared" si="19"/>
        <v>0</v>
      </c>
      <c r="Z85" s="257"/>
    </row>
    <row r="86" spans="1:26">
      <c r="A86" s="24"/>
      <c r="B86" s="24"/>
      <c r="C86" s="24"/>
      <c r="D86" s="123" t="s">
        <v>933</v>
      </c>
      <c r="E86" s="256"/>
      <c r="F86" s="256"/>
      <c r="G86" s="256"/>
      <c r="H86" s="256"/>
      <c r="I86" s="256"/>
      <c r="J86" s="256"/>
      <c r="K86" s="256"/>
      <c r="L86" s="256"/>
      <c r="M86" s="256"/>
      <c r="N86" s="256"/>
      <c r="O86" s="256"/>
      <c r="P86" s="256"/>
      <c r="Q86" s="256"/>
      <c r="R86" s="256"/>
      <c r="S86" s="256"/>
      <c r="T86" s="256"/>
      <c r="U86" s="256"/>
      <c r="V86" s="256"/>
      <c r="W86" s="256"/>
      <c r="X86" s="256"/>
      <c r="Y86" s="253">
        <f t="shared" si="19"/>
        <v>0</v>
      </c>
      <c r="Z86" s="253">
        <f>SUM(Z77:Z81)</f>
        <v>0</v>
      </c>
    </row>
    <row r="87" spans="1:26">
      <c r="A87" s="24"/>
      <c r="B87" s="24"/>
      <c r="C87" s="24"/>
      <c r="D87" s="123"/>
      <c r="E87" s="256"/>
      <c r="F87" s="256"/>
      <c r="G87" s="256"/>
      <c r="H87" s="256"/>
      <c r="I87" s="256"/>
      <c r="J87" s="256"/>
      <c r="K87" s="256"/>
      <c r="L87" s="256"/>
      <c r="M87" s="256"/>
      <c r="N87" s="256"/>
      <c r="O87" s="256"/>
      <c r="P87" s="256"/>
      <c r="Q87" s="256"/>
      <c r="R87" s="256"/>
      <c r="S87" s="256"/>
      <c r="T87" s="256"/>
      <c r="U87" s="256"/>
      <c r="V87" s="256"/>
      <c r="W87" s="256"/>
      <c r="X87" s="256"/>
      <c r="Y87" s="253"/>
      <c r="Z87" s="24"/>
    </row>
    <row r="88" spans="1:26" ht="15">
      <c r="A88" s="24"/>
      <c r="B88" s="24"/>
      <c r="C88" s="24"/>
      <c r="D88" s="263" t="s">
        <v>704</v>
      </c>
      <c r="E88" s="24"/>
      <c r="F88" s="24"/>
      <c r="G88" s="24"/>
      <c r="H88" s="24"/>
      <c r="I88" s="24"/>
      <c r="J88" s="24"/>
      <c r="K88" s="24"/>
      <c r="L88" s="24"/>
      <c r="M88" s="24"/>
      <c r="N88" s="24"/>
      <c r="O88" s="24"/>
      <c r="P88" s="24"/>
      <c r="Q88" s="24"/>
      <c r="R88" s="24"/>
      <c r="S88" s="24"/>
      <c r="T88" s="24"/>
      <c r="U88" s="24"/>
      <c r="V88" s="24"/>
      <c r="W88" s="24"/>
      <c r="X88" s="24"/>
      <c r="Y88" s="253"/>
      <c r="Z88" s="24"/>
    </row>
    <row r="89" spans="1:26" ht="15">
      <c r="A89" s="283" t="s">
        <v>935</v>
      </c>
      <c r="B89" s="24"/>
      <c r="C89" s="24"/>
      <c r="D89" s="263" t="str">
        <f>$C$8</f>
        <v>Exterior Building Lighting-NR</v>
      </c>
      <c r="E89" s="264">
        <f>VLOOKUP($D$89,[1]!ACHIEV,MATCH(E$11,$E$11:$Y$11,0)+2,FALSE)</f>
        <v>0.22119921692859512</v>
      </c>
      <c r="F89" s="264">
        <f>VLOOKUP($D$89,[1]!ACHIEV,MATCH(F$11,$E$11:$Y$11,0)+2,FALSE)</f>
        <v>0.39346934028736658</v>
      </c>
      <c r="G89" s="264">
        <f>VLOOKUP($D$89,[1]!ACHIEV,MATCH(G$11,$E$11:$Y$11,0)+2,FALSE)</f>
        <v>0.52763344725898531</v>
      </c>
      <c r="H89" s="264">
        <f>VLOOKUP($D$89,[1]!ACHIEV,MATCH(H$11,$E$11:$Y$11,0)+2,FALSE)</f>
        <v>0.63212055882855767</v>
      </c>
      <c r="I89" s="264">
        <f>VLOOKUP($D$89,[1]!ACHIEV,MATCH(I$11,$E$11:$Y$11,0)+2,FALSE)</f>
        <v>0.71349520313980985</v>
      </c>
      <c r="J89" s="264">
        <f>VLOOKUP($D$89,[1]!ACHIEV,MATCH(J$11,$E$11:$Y$11,0)+2,FALSE)</f>
        <v>0.77686983985157021</v>
      </c>
      <c r="K89" s="264">
        <f>VLOOKUP($D$89,[1]!ACHIEV,MATCH(K$11,$E$11:$Y$11,0)+2,FALSE)</f>
        <v>0.82622605654955483</v>
      </c>
      <c r="L89" s="264">
        <f>VLOOKUP($D$89,[1]!ACHIEV,MATCH(L$11,$E$11:$Y$11,0)+2,FALSE)</f>
        <v>0.8646647167633873</v>
      </c>
      <c r="M89" s="264">
        <f>VLOOKUP($D$89,[1]!ACHIEV,MATCH(M$11,$E$11:$Y$11,0)+2,FALSE)</f>
        <v>0.89460077543813565</v>
      </c>
      <c r="N89" s="264">
        <f>VLOOKUP($D$89,[1]!ACHIEV,MATCH(N$11,$E$11:$Y$11,0)+2,FALSE)</f>
        <v>0.91791500137610116</v>
      </c>
      <c r="O89" s="264">
        <f>VLOOKUP($D$89,[1]!ACHIEV,MATCH(O$11,$E$11:$Y$11,0)+2,FALSE)</f>
        <v>0.93607213879329243</v>
      </c>
      <c r="P89" s="264">
        <f>VLOOKUP($D$89,[1]!ACHIEV,MATCH(P$11,$E$11:$Y$11,0)+2,FALSE)</f>
        <v>0.95021293163213605</v>
      </c>
      <c r="Q89" s="264">
        <f>VLOOKUP($D$89,[1]!ACHIEV,MATCH(Q$11,$E$11:$Y$11,0)+2,FALSE)</f>
        <v>0.96122579216827797</v>
      </c>
      <c r="R89" s="264">
        <f>VLOOKUP($D$89,[1]!ACHIEV,MATCH(R$11,$E$11:$Y$11,0)+2,FALSE)</f>
        <v>0.96980261657768152</v>
      </c>
      <c r="S89" s="264">
        <f>VLOOKUP($D$89,[1]!ACHIEV,MATCH(S$11,$E$11:$Y$11,0)+2,FALSE)</f>
        <v>0.97648225414399092</v>
      </c>
      <c r="T89" s="264">
        <f>VLOOKUP($D$89,[1]!ACHIEV,MATCH(T$11,$E$11:$Y$11,0)+2,FALSE)</f>
        <v>0.98168436111126578</v>
      </c>
      <c r="U89" s="264">
        <f>VLOOKUP($D$89,[1]!ACHIEV,MATCH(U$11,$E$11:$Y$11,0)+2,FALSE)</f>
        <v>0.98573576609100078</v>
      </c>
      <c r="V89" s="264">
        <f>VLOOKUP($D$89,[1]!ACHIEV,MATCH(V$11,$E$11:$Y$11,0)+2,FALSE)</f>
        <v>0.98889100346175773</v>
      </c>
      <c r="W89" s="264">
        <f>VLOOKUP($D$89,[1]!ACHIEV,MATCH(W$11,$E$11:$Y$11,0)+2,FALSE)</f>
        <v>0.99134830479687941</v>
      </c>
      <c r="X89" s="264">
        <f>VLOOKUP($D$89,[1]!ACHIEV,MATCH(X$11,$E$11:$Y$11,0)+2,FALSE)</f>
        <v>0.99326205300091452</v>
      </c>
      <c r="Y89" s="253"/>
      <c r="Z89" s="24"/>
    </row>
    <row r="90" spans="1:26">
      <c r="A90" s="243" t="s">
        <v>703</v>
      </c>
      <c r="B90" s="24"/>
      <c r="C90" s="24"/>
      <c r="D90" s="47" t="str">
        <f t="shared" ref="D90:D97" si="21">D36</f>
        <v>Exterior Lighting: Parking Lot - HPS 250W - NR</v>
      </c>
      <c r="E90" s="256">
        <f ca="1">SUM(E64,E77)*E$89*$Z$12</f>
        <v>77.388185759248415</v>
      </c>
      <c r="F90" s="256">
        <f t="shared" ref="F90:X97" ca="1" si="22">SUM(F64,F77)*F$89*$Z$12</f>
        <v>137.03975264576769</v>
      </c>
      <c r="G90" s="256">
        <f t="shared" ca="1" si="22"/>
        <v>182.94241441011906</v>
      </c>
      <c r="H90" s="256">
        <f t="shared" ca="1" si="22"/>
        <v>218.18769216159959</v>
      </c>
      <c r="I90" s="256">
        <f t="shared" ca="1" si="22"/>
        <v>245.17233110771426</v>
      </c>
      <c r="J90" s="256">
        <f t="shared" ca="1" si="22"/>
        <v>269.59516992913819</v>
      </c>
      <c r="K90" s="256">
        <f t="shared" ca="1" si="22"/>
        <v>284.26804068315488</v>
      </c>
      <c r="L90" s="256">
        <f t="shared" ca="1" si="22"/>
        <v>295.32960788596438</v>
      </c>
      <c r="M90" s="256">
        <f t="shared" ca="1" si="22"/>
        <v>303.83242422901924</v>
      </c>
      <c r="N90" s="256">
        <f t="shared" ca="1" si="22"/>
        <v>309.84046424980738</v>
      </c>
      <c r="O90" s="256">
        <f t="shared" ca="1" si="22"/>
        <v>314.26271419622606</v>
      </c>
      <c r="P90" s="256">
        <f t="shared" ca="1" si="22"/>
        <v>317.54916998484782</v>
      </c>
      <c r="Q90" s="256">
        <f t="shared" ca="1" si="22"/>
        <v>319.67825928106822</v>
      </c>
      <c r="R90" s="256">
        <f t="shared" ca="1" si="22"/>
        <v>321.07471521277455</v>
      </c>
      <c r="S90" s="256">
        <f t="shared" ca="1" si="22"/>
        <v>321.83577914267687</v>
      </c>
      <c r="T90" s="256">
        <f t="shared" ca="1" si="22"/>
        <v>322.10873931247124</v>
      </c>
      <c r="U90" s="256">
        <f t="shared" ca="1" si="22"/>
        <v>322.06584010953208</v>
      </c>
      <c r="V90" s="256">
        <f t="shared" ca="1" si="22"/>
        <v>321.69940835960836</v>
      </c>
      <c r="W90" s="256">
        <f t="shared" ca="1" si="22"/>
        <v>320.99008473060348</v>
      </c>
      <c r="X90" s="256">
        <f t="shared" ca="1" si="22"/>
        <v>320.20784124429741</v>
      </c>
      <c r="Y90" s="253"/>
      <c r="Z90" s="24"/>
    </row>
    <row r="91" spans="1:26">
      <c r="A91" s="24"/>
      <c r="B91" s="24"/>
      <c r="C91" s="24"/>
      <c r="D91" s="47" t="str">
        <f t="shared" si="21"/>
        <v>Exterior Lighting: Walkway - HID 150W - NR</v>
      </c>
      <c r="E91" s="256">
        <f t="shared" ref="E91:T97" ca="1" si="23">SUM(E65,E78)*E$89*$Z$12</f>
        <v>124.37386997022068</v>
      </c>
      <c r="F91" s="256">
        <f t="shared" ca="1" si="23"/>
        <v>220.24245960926953</v>
      </c>
      <c r="G91" s="256">
        <f t="shared" ca="1" si="23"/>
        <v>294.01459458769131</v>
      </c>
      <c r="H91" s="256">
        <f t="shared" ca="1" si="23"/>
        <v>350.65879097399937</v>
      </c>
      <c r="I91" s="256">
        <f t="shared" ca="1" si="23"/>
        <v>394.02696070882644</v>
      </c>
      <c r="J91" s="256">
        <f t="shared" ca="1" si="23"/>
        <v>433.27795167182938</v>
      </c>
      <c r="K91" s="256">
        <f t="shared" ca="1" si="23"/>
        <v>456.85935109792757</v>
      </c>
      <c r="L91" s="256">
        <f t="shared" ca="1" si="23"/>
        <v>474.63686981672834</v>
      </c>
      <c r="M91" s="256">
        <f t="shared" ca="1" si="23"/>
        <v>488.30211036806674</v>
      </c>
      <c r="N91" s="256">
        <f t="shared" ca="1" si="23"/>
        <v>497.9578889729047</v>
      </c>
      <c r="O91" s="256">
        <f t="shared" ca="1" si="23"/>
        <v>505.06507638679176</v>
      </c>
      <c r="P91" s="256">
        <f t="shared" ca="1" si="23"/>
        <v>510.34688033279105</v>
      </c>
      <c r="Q91" s="256">
        <f t="shared" ca="1" si="23"/>
        <v>513.76863098743104</v>
      </c>
      <c r="R91" s="256">
        <f t="shared" ca="1" si="23"/>
        <v>516.01293516338751</v>
      </c>
      <c r="S91" s="256">
        <f t="shared" ca="1" si="23"/>
        <v>517.2360736221591</v>
      </c>
      <c r="T91" s="256">
        <f t="shared" ca="1" si="23"/>
        <v>517.67475960932882</v>
      </c>
      <c r="U91" s="256">
        <f t="shared" ca="1" si="22"/>
        <v>517.6058144617482</v>
      </c>
      <c r="V91" s="256">
        <f t="shared" ca="1" si="22"/>
        <v>517.01690629222765</v>
      </c>
      <c r="W91" s="256">
        <f t="shared" ca="1" si="22"/>
        <v>515.87692188846984</v>
      </c>
      <c r="X91" s="256">
        <f t="shared" ca="1" si="22"/>
        <v>514.61974485690644</v>
      </c>
      <c r="Y91" s="253"/>
      <c r="Z91" s="24"/>
    </row>
    <row r="92" spans="1:26">
      <c r="A92" s="24"/>
      <c r="B92" s="24"/>
      <c r="C92" s="24"/>
      <c r="D92" s="47" t="str">
        <f t="shared" si="21"/>
        <v>Exterior Lighting: Façade - HID 150W - NR</v>
      </c>
      <c r="E92" s="256">
        <f t="shared" ca="1" si="23"/>
        <v>124.37386997022068</v>
      </c>
      <c r="F92" s="256">
        <f t="shared" ca="1" si="22"/>
        <v>220.24245960926953</v>
      </c>
      <c r="G92" s="256">
        <f t="shared" ca="1" si="22"/>
        <v>294.01459458769131</v>
      </c>
      <c r="H92" s="256">
        <f t="shared" ca="1" si="22"/>
        <v>350.65879097399937</v>
      </c>
      <c r="I92" s="256">
        <f t="shared" ca="1" si="22"/>
        <v>394.02696070882644</v>
      </c>
      <c r="J92" s="256">
        <f t="shared" ca="1" si="22"/>
        <v>433.27795167182938</v>
      </c>
      <c r="K92" s="256">
        <f t="shared" ca="1" si="22"/>
        <v>456.85935109792757</v>
      </c>
      <c r="L92" s="256">
        <f t="shared" ca="1" si="22"/>
        <v>474.63686981672834</v>
      </c>
      <c r="M92" s="256">
        <f t="shared" ca="1" si="22"/>
        <v>488.30211036806674</v>
      </c>
      <c r="N92" s="256">
        <f t="shared" ca="1" si="22"/>
        <v>497.9578889729047</v>
      </c>
      <c r="O92" s="256">
        <f t="shared" ca="1" si="22"/>
        <v>505.06507638679176</v>
      </c>
      <c r="P92" s="256">
        <f t="shared" ca="1" si="22"/>
        <v>510.34688033279105</v>
      </c>
      <c r="Q92" s="256">
        <f t="shared" ca="1" si="22"/>
        <v>513.76863098743104</v>
      </c>
      <c r="R92" s="256">
        <f t="shared" ca="1" si="22"/>
        <v>516.01293516338751</v>
      </c>
      <c r="S92" s="256">
        <f t="shared" ca="1" si="22"/>
        <v>517.2360736221591</v>
      </c>
      <c r="T92" s="256">
        <f t="shared" ca="1" si="22"/>
        <v>517.67475960932882</v>
      </c>
      <c r="U92" s="256">
        <f t="shared" ca="1" si="22"/>
        <v>517.6058144617482</v>
      </c>
      <c r="V92" s="256">
        <f t="shared" ca="1" si="22"/>
        <v>517.01690629222765</v>
      </c>
      <c r="W92" s="256">
        <f t="shared" ca="1" si="22"/>
        <v>515.87692188846984</v>
      </c>
      <c r="X92" s="256">
        <f t="shared" ca="1" si="22"/>
        <v>514.61974485690644</v>
      </c>
      <c r="Y92" s="253"/>
      <c r="Z92" s="24"/>
    </row>
    <row r="93" spans="1:26">
      <c r="A93" s="24"/>
      <c r="B93" s="24"/>
      <c r="C93" s="24"/>
      <c r="D93" s="47" t="str">
        <f t="shared" si="21"/>
        <v>Exterior Lighting: Walkway - INC 75W - NR</v>
      </c>
      <c r="E93" s="256">
        <f t="shared" ca="1" si="23"/>
        <v>82.915913313480459</v>
      </c>
      <c r="F93" s="256">
        <f t="shared" ca="1" si="22"/>
        <v>146.82830640617968</v>
      </c>
      <c r="G93" s="256">
        <f t="shared" ca="1" si="22"/>
        <v>196.00972972512758</v>
      </c>
      <c r="H93" s="256">
        <f t="shared" ca="1" si="22"/>
        <v>233.77252731599955</v>
      </c>
      <c r="I93" s="256">
        <f t="shared" ca="1" si="22"/>
        <v>262.684640472551</v>
      </c>
      <c r="J93" s="256">
        <f t="shared" ca="1" si="22"/>
        <v>288.85196778121951</v>
      </c>
      <c r="K93" s="256">
        <f t="shared" ca="1" si="22"/>
        <v>304.57290073195168</v>
      </c>
      <c r="L93" s="256">
        <f t="shared" ca="1" si="22"/>
        <v>316.42457987781893</v>
      </c>
      <c r="M93" s="256">
        <f t="shared" ca="1" si="22"/>
        <v>325.5347402453778</v>
      </c>
      <c r="N93" s="256">
        <f t="shared" ca="1" si="22"/>
        <v>331.97192598193647</v>
      </c>
      <c r="O93" s="256">
        <f t="shared" ca="1" si="22"/>
        <v>336.71005092452793</v>
      </c>
      <c r="P93" s="256">
        <f t="shared" ca="1" si="22"/>
        <v>340.23125355519409</v>
      </c>
      <c r="Q93" s="256">
        <f t="shared" ca="1" si="22"/>
        <v>342.5124206582874</v>
      </c>
      <c r="R93" s="256">
        <f t="shared" ca="1" si="22"/>
        <v>344.0086234422584</v>
      </c>
      <c r="S93" s="256">
        <f t="shared" ca="1" si="22"/>
        <v>344.82404908143945</v>
      </c>
      <c r="T93" s="256">
        <f t="shared" ca="1" si="22"/>
        <v>345.11650640621917</v>
      </c>
      <c r="U93" s="256">
        <f t="shared" ca="1" si="22"/>
        <v>345.07054297449872</v>
      </c>
      <c r="V93" s="256">
        <f t="shared" ca="1" si="22"/>
        <v>344.67793752815174</v>
      </c>
      <c r="W93" s="256">
        <f t="shared" ca="1" si="22"/>
        <v>343.91794792564667</v>
      </c>
      <c r="X93" s="256">
        <f t="shared" ca="1" si="22"/>
        <v>343.07982990460437</v>
      </c>
      <c r="Y93" s="253"/>
      <c r="Z93" s="24"/>
    </row>
    <row r="94" spans="1:26">
      <c r="A94" s="24"/>
      <c r="B94" s="24"/>
      <c r="C94" s="24"/>
      <c r="D94" s="47" t="str">
        <f t="shared" si="21"/>
        <v>Exterior Lighting: Façade - HID 400W - NR</v>
      </c>
      <c r="E94" s="256">
        <f t="shared" ca="1" si="23"/>
        <v>124.37386997022068</v>
      </c>
      <c r="F94" s="256">
        <f t="shared" ca="1" si="22"/>
        <v>220.24245960926953</v>
      </c>
      <c r="G94" s="256">
        <f t="shared" ca="1" si="22"/>
        <v>294.01459458769131</v>
      </c>
      <c r="H94" s="256">
        <f t="shared" ca="1" si="22"/>
        <v>350.65879097399937</v>
      </c>
      <c r="I94" s="256">
        <f t="shared" ca="1" si="22"/>
        <v>394.02696070882644</v>
      </c>
      <c r="J94" s="256">
        <f t="shared" ca="1" si="22"/>
        <v>433.27795167182938</v>
      </c>
      <c r="K94" s="256">
        <f t="shared" ca="1" si="22"/>
        <v>456.85935109792757</v>
      </c>
      <c r="L94" s="256">
        <f t="shared" ca="1" si="22"/>
        <v>474.63686981672834</v>
      </c>
      <c r="M94" s="256">
        <f t="shared" ca="1" si="22"/>
        <v>488.30211036806674</v>
      </c>
      <c r="N94" s="256">
        <f t="shared" ca="1" si="22"/>
        <v>497.9578889729047</v>
      </c>
      <c r="O94" s="256">
        <f t="shared" ca="1" si="22"/>
        <v>505.06507638679176</v>
      </c>
      <c r="P94" s="256">
        <f t="shared" ca="1" si="22"/>
        <v>510.34688033279105</v>
      </c>
      <c r="Q94" s="256">
        <f t="shared" ca="1" si="22"/>
        <v>513.76863098743104</v>
      </c>
      <c r="R94" s="256">
        <f t="shared" ca="1" si="22"/>
        <v>516.01293516338751</v>
      </c>
      <c r="S94" s="256">
        <f t="shared" ca="1" si="22"/>
        <v>517.2360736221591</v>
      </c>
      <c r="T94" s="256">
        <f t="shared" ca="1" si="22"/>
        <v>517.67475960932882</v>
      </c>
      <c r="U94" s="256">
        <f t="shared" ca="1" si="22"/>
        <v>517.6058144617482</v>
      </c>
      <c r="V94" s="256">
        <f t="shared" ca="1" si="22"/>
        <v>517.01690629222765</v>
      </c>
      <c r="W94" s="256">
        <f t="shared" ca="1" si="22"/>
        <v>515.87692188846984</v>
      </c>
      <c r="X94" s="256">
        <f t="shared" ca="1" si="22"/>
        <v>514.61974485690644</v>
      </c>
      <c r="Y94" s="253"/>
      <c r="Z94" s="24"/>
    </row>
    <row r="95" spans="1:26">
      <c r="A95" s="24"/>
      <c r="B95" s="24"/>
      <c r="C95" s="24"/>
      <c r="D95" s="47" t="str">
        <f t="shared" si="21"/>
        <v>Exterior Lighting: Walkway - CFL 26W - NR</v>
      </c>
      <c r="E95" s="256">
        <f t="shared" ca="1" si="23"/>
        <v>82.915913313480459</v>
      </c>
      <c r="F95" s="256">
        <f t="shared" ca="1" si="22"/>
        <v>146.82830640617968</v>
      </c>
      <c r="G95" s="256">
        <f t="shared" ca="1" si="22"/>
        <v>196.00972972512758</v>
      </c>
      <c r="H95" s="256">
        <f t="shared" ca="1" si="22"/>
        <v>233.77252731599955</v>
      </c>
      <c r="I95" s="256">
        <f t="shared" ca="1" si="22"/>
        <v>262.684640472551</v>
      </c>
      <c r="J95" s="256">
        <f t="shared" ca="1" si="22"/>
        <v>288.85196778121951</v>
      </c>
      <c r="K95" s="256">
        <f t="shared" ca="1" si="22"/>
        <v>304.57290073195168</v>
      </c>
      <c r="L95" s="256">
        <f t="shared" ca="1" si="22"/>
        <v>316.42457987781893</v>
      </c>
      <c r="M95" s="256">
        <f t="shared" ca="1" si="22"/>
        <v>325.5347402453778</v>
      </c>
      <c r="N95" s="256">
        <f t="shared" ca="1" si="22"/>
        <v>331.97192598193647</v>
      </c>
      <c r="O95" s="256">
        <f t="shared" ca="1" si="22"/>
        <v>336.71005092452793</v>
      </c>
      <c r="P95" s="256">
        <f t="shared" ca="1" si="22"/>
        <v>340.23125355519409</v>
      </c>
      <c r="Q95" s="256">
        <f t="shared" ca="1" si="22"/>
        <v>342.5124206582874</v>
      </c>
      <c r="R95" s="256">
        <f t="shared" ca="1" si="22"/>
        <v>344.0086234422584</v>
      </c>
      <c r="S95" s="256">
        <f t="shared" ca="1" si="22"/>
        <v>344.82404908143945</v>
      </c>
      <c r="T95" s="256">
        <f t="shared" ca="1" si="22"/>
        <v>345.11650640621917</v>
      </c>
      <c r="U95" s="256">
        <f t="shared" ca="1" si="22"/>
        <v>345.07054297449872</v>
      </c>
      <c r="V95" s="256">
        <f t="shared" ca="1" si="22"/>
        <v>344.67793752815174</v>
      </c>
      <c r="W95" s="256">
        <f t="shared" ca="1" si="22"/>
        <v>343.91794792564667</v>
      </c>
      <c r="X95" s="256">
        <f t="shared" ca="1" si="22"/>
        <v>343.07982990460437</v>
      </c>
      <c r="Y95" s="253"/>
      <c r="Z95" s="24"/>
    </row>
    <row r="96" spans="1:26">
      <c r="A96" s="24"/>
      <c r="B96" s="24"/>
      <c r="C96" s="24"/>
      <c r="D96" s="47" t="str">
        <f t="shared" si="21"/>
        <v>Exterior Lighting: Parking Lot - MH 400W - NR</v>
      </c>
      <c r="E96" s="256">
        <f t="shared" ca="1" si="23"/>
        <v>77.388185759248415</v>
      </c>
      <c r="F96" s="256">
        <f t="shared" ca="1" si="22"/>
        <v>137.03975264576769</v>
      </c>
      <c r="G96" s="256">
        <f t="shared" ca="1" si="22"/>
        <v>182.94241441011906</v>
      </c>
      <c r="H96" s="256">
        <f t="shared" ca="1" si="22"/>
        <v>218.18769216159959</v>
      </c>
      <c r="I96" s="256">
        <f t="shared" ca="1" si="22"/>
        <v>245.17233110771426</v>
      </c>
      <c r="J96" s="256">
        <f t="shared" ca="1" si="22"/>
        <v>269.59516992913819</v>
      </c>
      <c r="K96" s="256">
        <f t="shared" ca="1" si="22"/>
        <v>284.26804068315488</v>
      </c>
      <c r="L96" s="256">
        <f t="shared" ca="1" si="22"/>
        <v>295.32960788596438</v>
      </c>
      <c r="M96" s="256">
        <f t="shared" ca="1" si="22"/>
        <v>303.83242422901924</v>
      </c>
      <c r="N96" s="256">
        <f t="shared" ca="1" si="22"/>
        <v>309.84046424980738</v>
      </c>
      <c r="O96" s="256">
        <f t="shared" ca="1" si="22"/>
        <v>314.26271419622606</v>
      </c>
      <c r="P96" s="256">
        <f t="shared" ca="1" si="22"/>
        <v>317.54916998484782</v>
      </c>
      <c r="Q96" s="256">
        <f t="shared" ca="1" si="22"/>
        <v>319.67825928106822</v>
      </c>
      <c r="R96" s="256">
        <f t="shared" ca="1" si="22"/>
        <v>321.07471521277455</v>
      </c>
      <c r="S96" s="256">
        <f t="shared" ca="1" si="22"/>
        <v>321.83577914267687</v>
      </c>
      <c r="T96" s="256">
        <f t="shared" ca="1" si="22"/>
        <v>322.10873931247124</v>
      </c>
      <c r="U96" s="256">
        <f t="shared" ca="1" si="22"/>
        <v>322.06584010953208</v>
      </c>
      <c r="V96" s="256">
        <f t="shared" ca="1" si="22"/>
        <v>321.69940835960836</v>
      </c>
      <c r="W96" s="256">
        <f t="shared" ca="1" si="22"/>
        <v>320.99008473060348</v>
      </c>
      <c r="X96" s="256">
        <f t="shared" ca="1" si="22"/>
        <v>320.20784124429741</v>
      </c>
      <c r="Y96" s="253"/>
      <c r="Z96" s="24"/>
    </row>
    <row r="97" spans="1:26">
      <c r="A97" s="24"/>
      <c r="B97" s="24"/>
      <c r="C97" s="24"/>
      <c r="D97" s="47" t="str">
        <f t="shared" si="21"/>
        <v>Exterior Lighting: Parking Lot - MH 1000W - NR</v>
      </c>
      <c r="E97" s="256">
        <f t="shared" ca="1" si="23"/>
        <v>431.9340600516191</v>
      </c>
      <c r="F97" s="256">
        <f t="shared" ca="1" si="22"/>
        <v>764.87303802288943</v>
      </c>
      <c r="G97" s="256">
        <f t="shared" ca="1" si="22"/>
        <v>1021.0739408936878</v>
      </c>
      <c r="H97" s="256">
        <f t="shared" ca="1" si="22"/>
        <v>1217.7917702042769</v>
      </c>
      <c r="I97" s="256">
        <f t="shared" ca="1" si="22"/>
        <v>1368.4037085081723</v>
      </c>
      <c r="J97" s="256">
        <f t="shared" ca="1" si="22"/>
        <v>1504.717227511469</v>
      </c>
      <c r="K97" s="256">
        <f t="shared" ca="1" si="22"/>
        <v>1586.6123200920276</v>
      </c>
      <c r="L97" s="256">
        <f t="shared" ca="1" si="22"/>
        <v>1648.351299828638</v>
      </c>
      <c r="M97" s="256">
        <f t="shared" ca="1" si="22"/>
        <v>1695.8088794177822</v>
      </c>
      <c r="N97" s="256">
        <f t="shared" ca="1" si="22"/>
        <v>1729.3421260454365</v>
      </c>
      <c r="O97" s="256">
        <f t="shared" ca="1" si="22"/>
        <v>1754.0244513277735</v>
      </c>
      <c r="P97" s="256">
        <f t="shared" ca="1" si="22"/>
        <v>1772.3674603805457</v>
      </c>
      <c r="Q97" s="256">
        <f t="shared" ca="1" si="22"/>
        <v>1784.2507494757297</v>
      </c>
      <c r="R97" s="256">
        <f t="shared" ca="1" si="22"/>
        <v>1792.0449221178112</v>
      </c>
      <c r="S97" s="256">
        <f t="shared" ca="1" si="22"/>
        <v>1796.292720796336</v>
      </c>
      <c r="T97" s="256">
        <f t="shared" ca="1" si="22"/>
        <v>1797.8162194184445</v>
      </c>
      <c r="U97" s="256">
        <f t="shared" ca="1" si="22"/>
        <v>1797.576782006691</v>
      </c>
      <c r="V97" s="256">
        <f t="shared" ca="1" si="22"/>
        <v>1795.5315815419997</v>
      </c>
      <c r="W97" s="256">
        <f t="shared" ca="1" si="22"/>
        <v>1791.5725659382517</v>
      </c>
      <c r="X97" s="256">
        <f t="shared" ca="1" si="22"/>
        <v>1787.2065557821252</v>
      </c>
      <c r="Y97" s="253"/>
      <c r="Z97" s="24"/>
    </row>
    <row r="98" spans="1:26">
      <c r="A98" s="24"/>
      <c r="B98" s="24"/>
      <c r="C98" s="24"/>
      <c r="D98" s="123"/>
      <c r="E98" s="256"/>
      <c r="F98" s="256"/>
      <c r="G98" s="256"/>
      <c r="H98" s="256"/>
      <c r="I98" s="256"/>
      <c r="J98" s="256"/>
      <c r="K98" s="256"/>
      <c r="L98" s="256"/>
      <c r="M98" s="256"/>
      <c r="N98" s="256"/>
      <c r="O98" s="256"/>
      <c r="P98" s="256"/>
      <c r="Q98" s="256"/>
      <c r="R98" s="256"/>
      <c r="S98" s="256"/>
      <c r="T98" s="256"/>
      <c r="U98" s="256"/>
      <c r="V98" s="256"/>
      <c r="W98" s="256"/>
      <c r="X98" s="256"/>
      <c r="Y98" s="253"/>
      <c r="Z98" s="24"/>
    </row>
    <row r="99" spans="1:26">
      <c r="A99" s="24"/>
      <c r="B99" s="24"/>
      <c r="C99" s="24"/>
      <c r="D99" s="123" t="s">
        <v>936</v>
      </c>
      <c r="E99" s="256">
        <f ca="1">SUM(E90:E94)</f>
        <v>533.4257089833909</v>
      </c>
      <c r="F99" s="256">
        <f t="shared" ref="F99:X99" ca="1" si="24">SUM(F90:F94)</f>
        <v>944.59543787975599</v>
      </c>
      <c r="G99" s="256">
        <f t="shared" ca="1" si="24"/>
        <v>1260.9959278983206</v>
      </c>
      <c r="H99" s="256">
        <f t="shared" ca="1" si="24"/>
        <v>1503.9365923995972</v>
      </c>
      <c r="I99" s="256">
        <f t="shared" ca="1" si="24"/>
        <v>1689.9378537067448</v>
      </c>
      <c r="J99" s="256">
        <f t="shared" ca="1" si="24"/>
        <v>1858.2809927258461</v>
      </c>
      <c r="K99" s="256">
        <f t="shared" ca="1" si="24"/>
        <v>1959.4189947088894</v>
      </c>
      <c r="L99" s="256">
        <f t="shared" ca="1" si="24"/>
        <v>2035.6647972139685</v>
      </c>
      <c r="M99" s="256">
        <f t="shared" ca="1" si="24"/>
        <v>2094.2734955785972</v>
      </c>
      <c r="N99" s="256">
        <f t="shared" ca="1" si="24"/>
        <v>2135.6860571504581</v>
      </c>
      <c r="O99" s="256">
        <f t="shared" ca="1" si="24"/>
        <v>2166.1679942811293</v>
      </c>
      <c r="P99" s="256">
        <f t="shared" ca="1" si="24"/>
        <v>2188.8210645384152</v>
      </c>
      <c r="Q99" s="256">
        <f t="shared" ca="1" si="24"/>
        <v>2203.496572901649</v>
      </c>
      <c r="R99" s="256">
        <f t="shared" ca="1" si="24"/>
        <v>2213.1221441451953</v>
      </c>
      <c r="S99" s="256">
        <f t="shared" ca="1" si="24"/>
        <v>2218.3680490905936</v>
      </c>
      <c r="T99" s="256">
        <f t="shared" ca="1" si="24"/>
        <v>2220.2495245466766</v>
      </c>
      <c r="U99" s="256">
        <f t="shared" ca="1" si="24"/>
        <v>2219.9538264692756</v>
      </c>
      <c r="V99" s="256">
        <f t="shared" ca="1" si="24"/>
        <v>2217.4280647644432</v>
      </c>
      <c r="W99" s="256">
        <f t="shared" ca="1" si="24"/>
        <v>2212.5387983216597</v>
      </c>
      <c r="X99" s="256">
        <f t="shared" ca="1" si="24"/>
        <v>2207.1469057196209</v>
      </c>
      <c r="Y99" s="253"/>
      <c r="Z99" s="24"/>
    </row>
    <row r="100" spans="1:26">
      <c r="A100" s="24"/>
      <c r="B100" s="24"/>
      <c r="C100" s="24"/>
      <c r="D100" s="123"/>
      <c r="E100" s="256"/>
      <c r="F100" s="256"/>
      <c r="G100" s="256"/>
      <c r="H100" s="256"/>
      <c r="I100" s="256"/>
      <c r="J100" s="256"/>
      <c r="K100" s="256"/>
      <c r="L100" s="256"/>
      <c r="M100" s="256"/>
      <c r="N100" s="256"/>
      <c r="O100" s="256"/>
      <c r="P100" s="256"/>
      <c r="Q100" s="256"/>
      <c r="R100" s="256"/>
      <c r="S100" s="256"/>
      <c r="T100" s="256"/>
      <c r="U100" s="256"/>
      <c r="V100" s="256"/>
      <c r="W100" s="256"/>
      <c r="X100" s="256"/>
      <c r="Y100" s="253"/>
      <c r="Z100" s="24"/>
    </row>
    <row r="101" spans="1:26">
      <c r="A101" s="24"/>
      <c r="B101" s="24"/>
      <c r="C101" s="24"/>
      <c r="D101" s="123"/>
      <c r="E101" s="256"/>
      <c r="F101" s="256"/>
      <c r="G101" s="256"/>
      <c r="H101" s="256"/>
      <c r="I101" s="256"/>
      <c r="J101" s="256"/>
      <c r="K101" s="256"/>
      <c r="L101" s="256"/>
      <c r="M101" s="256"/>
      <c r="N101" s="256"/>
      <c r="O101" s="256"/>
      <c r="P101" s="256"/>
      <c r="Q101" s="256"/>
      <c r="R101" s="256"/>
      <c r="S101" s="256"/>
      <c r="T101" s="256"/>
      <c r="U101" s="256"/>
      <c r="V101" s="256"/>
      <c r="W101" s="256"/>
      <c r="X101" s="256"/>
      <c r="Y101" s="253"/>
      <c r="Z101" s="24"/>
    </row>
    <row r="102" spans="1:26" ht="15">
      <c r="A102" s="283" t="s">
        <v>937</v>
      </c>
      <c r="B102" s="24"/>
      <c r="C102" s="24"/>
      <c r="D102" s="263" t="str">
        <f>$C$8</f>
        <v>Exterior Building Lighting-NR</v>
      </c>
      <c r="E102" s="263">
        <v>1</v>
      </c>
      <c r="F102" s="263">
        <v>2</v>
      </c>
      <c r="G102" s="263">
        <v>3</v>
      </c>
      <c r="H102" s="263">
        <v>4</v>
      </c>
      <c r="I102" s="263">
        <v>5</v>
      </c>
      <c r="J102" s="263">
        <v>6</v>
      </c>
      <c r="K102" s="263">
        <v>7</v>
      </c>
      <c r="L102" s="263">
        <v>8</v>
      </c>
      <c r="M102" s="263">
        <v>9</v>
      </c>
      <c r="N102" s="263">
        <v>10</v>
      </c>
      <c r="O102" s="263">
        <v>11</v>
      </c>
      <c r="P102" s="263">
        <v>12</v>
      </c>
      <c r="Q102" s="263">
        <v>13</v>
      </c>
      <c r="R102" s="263">
        <v>14</v>
      </c>
      <c r="S102" s="263">
        <v>15</v>
      </c>
      <c r="T102" s="263">
        <v>16</v>
      </c>
      <c r="U102" s="263">
        <v>17</v>
      </c>
      <c r="V102" s="263">
        <v>18</v>
      </c>
      <c r="W102" s="263">
        <v>19</v>
      </c>
      <c r="X102" s="263">
        <v>20</v>
      </c>
      <c r="Y102" s="253"/>
      <c r="Z102" s="24"/>
    </row>
    <row r="103" spans="1:26">
      <c r="A103" s="243" t="s">
        <v>703</v>
      </c>
      <c r="B103" s="24"/>
      <c r="D103" s="47" t="str">
        <f t="shared" ref="D103:D110" si="25">D36</f>
        <v>Exterior Lighting: Parking Lot - HPS 250W - NR</v>
      </c>
      <c r="E103" s="256">
        <f ca="1">E90</f>
        <v>77.388185759248415</v>
      </c>
      <c r="F103" s="256">
        <f ca="1">E103+F90</f>
        <v>214.42793840501611</v>
      </c>
      <c r="G103" s="256">
        <f t="shared" ref="G103:X110" ca="1" si="26">F103+G90</f>
        <v>397.37035281513516</v>
      </c>
      <c r="H103" s="256">
        <f t="shared" ca="1" si="26"/>
        <v>615.55804497673478</v>
      </c>
      <c r="I103" s="256">
        <f t="shared" ca="1" si="26"/>
        <v>860.73037608444906</v>
      </c>
      <c r="J103" s="256">
        <f t="shared" ca="1" si="26"/>
        <v>1130.3255460135872</v>
      </c>
      <c r="K103" s="256">
        <f t="shared" ca="1" si="26"/>
        <v>1414.593586696742</v>
      </c>
      <c r="L103" s="256">
        <f t="shared" ca="1" si="26"/>
        <v>1709.9231945827064</v>
      </c>
      <c r="M103" s="256">
        <f t="shared" ca="1" si="26"/>
        <v>2013.7556188117255</v>
      </c>
      <c r="N103" s="256">
        <f t="shared" ca="1" si="26"/>
        <v>2323.5960830615331</v>
      </c>
      <c r="O103" s="256">
        <f t="shared" ca="1" si="26"/>
        <v>2637.8587972577593</v>
      </c>
      <c r="P103" s="256">
        <f t="shared" ca="1" si="26"/>
        <v>2955.4079672426069</v>
      </c>
      <c r="Q103" s="256">
        <f t="shared" ca="1" si="26"/>
        <v>3275.0862265236751</v>
      </c>
      <c r="R103" s="256">
        <f t="shared" ca="1" si="26"/>
        <v>3596.1609417364498</v>
      </c>
      <c r="S103" s="256">
        <f t="shared" ca="1" si="26"/>
        <v>3917.9967208791268</v>
      </c>
      <c r="T103" s="256">
        <f t="shared" ca="1" si="26"/>
        <v>4240.1054601915985</v>
      </c>
      <c r="U103" s="256">
        <f t="shared" ca="1" si="26"/>
        <v>4562.1713003011309</v>
      </c>
      <c r="V103" s="256">
        <f t="shared" ca="1" si="26"/>
        <v>4883.8707086607392</v>
      </c>
      <c r="W103" s="256">
        <f t="shared" ca="1" si="26"/>
        <v>5204.8607933913427</v>
      </c>
      <c r="X103" s="256">
        <f t="shared" ca="1" si="26"/>
        <v>5525.0686346356397</v>
      </c>
      <c r="Y103" s="253"/>
      <c r="Z103" s="24"/>
    </row>
    <row r="104" spans="1:26">
      <c r="A104" s="24"/>
      <c r="D104" s="47" t="str">
        <f t="shared" si="25"/>
        <v>Exterior Lighting: Walkway - HID 150W - NR</v>
      </c>
      <c r="E104" s="256">
        <f t="shared" ref="E104:E110" ca="1" si="27">E91</f>
        <v>124.37386997022068</v>
      </c>
      <c r="F104" s="256">
        <f t="shared" ref="F104:U110" ca="1" si="28">E104+F91</f>
        <v>344.61632957949018</v>
      </c>
      <c r="G104" s="256">
        <f t="shared" ca="1" si="28"/>
        <v>638.63092416718155</v>
      </c>
      <c r="H104" s="256">
        <f t="shared" ca="1" si="28"/>
        <v>989.28971514118098</v>
      </c>
      <c r="I104" s="256">
        <f t="shared" ca="1" si="28"/>
        <v>1383.3166758500074</v>
      </c>
      <c r="J104" s="256">
        <f t="shared" ca="1" si="28"/>
        <v>1816.5946275218369</v>
      </c>
      <c r="K104" s="256">
        <f t="shared" ca="1" si="28"/>
        <v>2273.4539786197643</v>
      </c>
      <c r="L104" s="256">
        <f t="shared" ca="1" si="28"/>
        <v>2748.0908484364927</v>
      </c>
      <c r="M104" s="256">
        <f t="shared" ca="1" si="28"/>
        <v>3236.3929588045594</v>
      </c>
      <c r="N104" s="256">
        <f t="shared" ca="1" si="28"/>
        <v>3734.350847777464</v>
      </c>
      <c r="O104" s="256">
        <f t="shared" ca="1" si="28"/>
        <v>4239.4159241642556</v>
      </c>
      <c r="P104" s="256">
        <f t="shared" ca="1" si="28"/>
        <v>4749.762804497047</v>
      </c>
      <c r="Q104" s="256">
        <f t="shared" ca="1" si="28"/>
        <v>5263.5314354844777</v>
      </c>
      <c r="R104" s="256">
        <f t="shared" ca="1" si="28"/>
        <v>5779.5443706478654</v>
      </c>
      <c r="S104" s="256">
        <f t="shared" ca="1" si="28"/>
        <v>6296.7804442700244</v>
      </c>
      <c r="T104" s="256">
        <f t="shared" ca="1" si="28"/>
        <v>6814.4552038793536</v>
      </c>
      <c r="U104" s="256">
        <f t="shared" ca="1" si="28"/>
        <v>7332.0610183411018</v>
      </c>
      <c r="V104" s="256">
        <f t="shared" ca="1" si="26"/>
        <v>7849.0779246333295</v>
      </c>
      <c r="W104" s="256">
        <f t="shared" ca="1" si="26"/>
        <v>8364.9548465217995</v>
      </c>
      <c r="X104" s="256">
        <f t="shared" ca="1" si="26"/>
        <v>8879.5745913787068</v>
      </c>
      <c r="Y104" s="253"/>
      <c r="Z104" s="24"/>
    </row>
    <row r="105" spans="1:26">
      <c r="A105" s="24"/>
      <c r="D105" s="47" t="str">
        <f t="shared" si="25"/>
        <v>Exterior Lighting: Façade - HID 150W - NR</v>
      </c>
      <c r="E105" s="256">
        <f t="shared" ca="1" si="27"/>
        <v>124.37386997022068</v>
      </c>
      <c r="F105" s="256">
        <f t="shared" ca="1" si="28"/>
        <v>344.61632957949018</v>
      </c>
      <c r="G105" s="256">
        <f t="shared" ca="1" si="26"/>
        <v>638.63092416718155</v>
      </c>
      <c r="H105" s="256">
        <f t="shared" ca="1" si="26"/>
        <v>989.28971514118098</v>
      </c>
      <c r="I105" s="256">
        <f t="shared" ca="1" si="26"/>
        <v>1383.3166758500074</v>
      </c>
      <c r="J105" s="256">
        <f t="shared" ca="1" si="26"/>
        <v>1816.5946275218369</v>
      </c>
      <c r="K105" s="256">
        <f t="shared" ca="1" si="26"/>
        <v>2273.4539786197643</v>
      </c>
      <c r="L105" s="256">
        <f t="shared" ca="1" si="26"/>
        <v>2748.0908484364927</v>
      </c>
      <c r="M105" s="256">
        <f t="shared" ca="1" si="26"/>
        <v>3236.3929588045594</v>
      </c>
      <c r="N105" s="256">
        <f t="shared" ca="1" si="26"/>
        <v>3734.350847777464</v>
      </c>
      <c r="O105" s="256">
        <f t="shared" ca="1" si="26"/>
        <v>4239.4159241642556</v>
      </c>
      <c r="P105" s="256">
        <f t="shared" ca="1" si="26"/>
        <v>4749.762804497047</v>
      </c>
      <c r="Q105" s="256">
        <f t="shared" ca="1" si="26"/>
        <v>5263.5314354844777</v>
      </c>
      <c r="R105" s="256">
        <f t="shared" ca="1" si="26"/>
        <v>5779.5443706478654</v>
      </c>
      <c r="S105" s="256">
        <f t="shared" ca="1" si="26"/>
        <v>6296.7804442700244</v>
      </c>
      <c r="T105" s="256">
        <f t="shared" ca="1" si="26"/>
        <v>6814.4552038793536</v>
      </c>
      <c r="U105" s="256">
        <f t="shared" ca="1" si="26"/>
        <v>7332.0610183411018</v>
      </c>
      <c r="V105" s="256">
        <f t="shared" ca="1" si="26"/>
        <v>7849.0779246333295</v>
      </c>
      <c r="W105" s="256">
        <f t="shared" ca="1" si="26"/>
        <v>8364.9548465217995</v>
      </c>
      <c r="X105" s="256">
        <f t="shared" ca="1" si="26"/>
        <v>8879.5745913787068</v>
      </c>
      <c r="Y105" s="253"/>
      <c r="Z105" s="24"/>
    </row>
    <row r="106" spans="1:26">
      <c r="A106" s="24"/>
      <c r="D106" s="47" t="str">
        <f t="shared" si="25"/>
        <v>Exterior Lighting: Walkway - INC 75W - NR</v>
      </c>
      <c r="E106" s="256">
        <f t="shared" ca="1" si="27"/>
        <v>82.915913313480459</v>
      </c>
      <c r="F106" s="256">
        <f t="shared" ca="1" si="28"/>
        <v>229.74421971966012</v>
      </c>
      <c r="G106" s="256">
        <f t="shared" ca="1" si="26"/>
        <v>425.75394944478774</v>
      </c>
      <c r="H106" s="256">
        <f t="shared" ca="1" si="26"/>
        <v>659.52647676078732</v>
      </c>
      <c r="I106" s="256">
        <f t="shared" ca="1" si="26"/>
        <v>922.21111723333831</v>
      </c>
      <c r="J106" s="256">
        <f t="shared" ca="1" si="26"/>
        <v>1211.0630850145578</v>
      </c>
      <c r="K106" s="256">
        <f t="shared" ca="1" si="26"/>
        <v>1515.6359857465095</v>
      </c>
      <c r="L106" s="256">
        <f t="shared" ca="1" si="26"/>
        <v>1832.0605656243283</v>
      </c>
      <c r="M106" s="256">
        <f t="shared" ca="1" si="26"/>
        <v>2157.595305869706</v>
      </c>
      <c r="N106" s="256">
        <f t="shared" ca="1" si="26"/>
        <v>2489.5672318516426</v>
      </c>
      <c r="O106" s="256">
        <f t="shared" ca="1" si="26"/>
        <v>2826.2772827761705</v>
      </c>
      <c r="P106" s="256">
        <f t="shared" ca="1" si="26"/>
        <v>3166.5085363313647</v>
      </c>
      <c r="Q106" s="256">
        <f t="shared" ca="1" si="26"/>
        <v>3509.0209569896519</v>
      </c>
      <c r="R106" s="256">
        <f t="shared" ca="1" si="26"/>
        <v>3853.0295804319103</v>
      </c>
      <c r="S106" s="256">
        <f t="shared" ca="1" si="26"/>
        <v>4197.8536295133499</v>
      </c>
      <c r="T106" s="256">
        <f t="shared" ca="1" si="26"/>
        <v>4542.9701359195687</v>
      </c>
      <c r="U106" s="256">
        <f t="shared" ca="1" si="26"/>
        <v>4888.0406788940672</v>
      </c>
      <c r="V106" s="256">
        <f t="shared" ca="1" si="26"/>
        <v>5232.7186164222194</v>
      </c>
      <c r="W106" s="256">
        <f t="shared" ca="1" si="26"/>
        <v>5576.6365643478657</v>
      </c>
      <c r="X106" s="256">
        <f t="shared" ca="1" si="26"/>
        <v>5919.7163942524703</v>
      </c>
      <c r="Y106" s="253"/>
      <c r="Z106" s="24"/>
    </row>
    <row r="107" spans="1:26">
      <c r="A107" s="24"/>
      <c r="D107" s="47" t="str">
        <f t="shared" si="25"/>
        <v>Exterior Lighting: Façade - HID 400W - NR</v>
      </c>
      <c r="E107" s="256">
        <f t="shared" ca="1" si="27"/>
        <v>124.37386997022068</v>
      </c>
      <c r="F107" s="256">
        <f t="shared" ca="1" si="28"/>
        <v>344.61632957949018</v>
      </c>
      <c r="G107" s="256">
        <f t="shared" ca="1" si="26"/>
        <v>638.63092416718155</v>
      </c>
      <c r="H107" s="256">
        <f t="shared" ca="1" si="26"/>
        <v>989.28971514118098</v>
      </c>
      <c r="I107" s="256">
        <f t="shared" ca="1" si="26"/>
        <v>1383.3166758500074</v>
      </c>
      <c r="J107" s="256">
        <f t="shared" ca="1" si="26"/>
        <v>1816.5946275218369</v>
      </c>
      <c r="K107" s="256">
        <f t="shared" ca="1" si="26"/>
        <v>2273.4539786197643</v>
      </c>
      <c r="L107" s="256">
        <f t="shared" ca="1" si="26"/>
        <v>2748.0908484364927</v>
      </c>
      <c r="M107" s="256">
        <f t="shared" ca="1" si="26"/>
        <v>3236.3929588045594</v>
      </c>
      <c r="N107" s="256">
        <f t="shared" ca="1" si="26"/>
        <v>3734.350847777464</v>
      </c>
      <c r="O107" s="256">
        <f t="shared" ca="1" si="26"/>
        <v>4239.4159241642556</v>
      </c>
      <c r="P107" s="256">
        <f t="shared" ca="1" si="26"/>
        <v>4749.762804497047</v>
      </c>
      <c r="Q107" s="256">
        <f t="shared" ca="1" si="26"/>
        <v>5263.5314354844777</v>
      </c>
      <c r="R107" s="256">
        <f t="shared" ca="1" si="26"/>
        <v>5779.5443706478654</v>
      </c>
      <c r="S107" s="256">
        <f t="shared" ca="1" si="26"/>
        <v>6296.7804442700244</v>
      </c>
      <c r="T107" s="256">
        <f t="shared" ca="1" si="26"/>
        <v>6814.4552038793536</v>
      </c>
      <c r="U107" s="256">
        <f t="shared" ca="1" si="26"/>
        <v>7332.0610183411018</v>
      </c>
      <c r="V107" s="256">
        <f t="shared" ca="1" si="26"/>
        <v>7849.0779246333295</v>
      </c>
      <c r="W107" s="256">
        <f t="shared" ca="1" si="26"/>
        <v>8364.9548465217995</v>
      </c>
      <c r="X107" s="256">
        <f t="shared" ca="1" si="26"/>
        <v>8879.5745913787068</v>
      </c>
      <c r="Y107" s="253"/>
      <c r="Z107" s="24"/>
    </row>
    <row r="108" spans="1:26">
      <c r="A108" s="24"/>
      <c r="D108" s="47" t="str">
        <f t="shared" si="25"/>
        <v>Exterior Lighting: Walkway - CFL 26W - NR</v>
      </c>
      <c r="E108" s="256">
        <f t="shared" ca="1" si="27"/>
        <v>82.915913313480459</v>
      </c>
      <c r="F108" s="256">
        <f t="shared" ca="1" si="28"/>
        <v>229.74421971966012</v>
      </c>
      <c r="G108" s="256">
        <f t="shared" ca="1" si="26"/>
        <v>425.75394944478774</v>
      </c>
      <c r="H108" s="256">
        <f t="shared" ca="1" si="26"/>
        <v>659.52647676078732</v>
      </c>
      <c r="I108" s="256">
        <f t="shared" ca="1" si="26"/>
        <v>922.21111723333831</v>
      </c>
      <c r="J108" s="256">
        <f t="shared" ca="1" si="26"/>
        <v>1211.0630850145578</v>
      </c>
      <c r="K108" s="256">
        <f t="shared" ca="1" si="26"/>
        <v>1515.6359857465095</v>
      </c>
      <c r="L108" s="256">
        <f t="shared" ca="1" si="26"/>
        <v>1832.0605656243283</v>
      </c>
      <c r="M108" s="256">
        <f t="shared" ca="1" si="26"/>
        <v>2157.595305869706</v>
      </c>
      <c r="N108" s="256">
        <f t="shared" ca="1" si="26"/>
        <v>2489.5672318516426</v>
      </c>
      <c r="O108" s="256">
        <f t="shared" ca="1" si="26"/>
        <v>2826.2772827761705</v>
      </c>
      <c r="P108" s="256">
        <f t="shared" ca="1" si="26"/>
        <v>3166.5085363313647</v>
      </c>
      <c r="Q108" s="256">
        <f t="shared" ca="1" si="26"/>
        <v>3509.0209569896519</v>
      </c>
      <c r="R108" s="256">
        <f t="shared" ca="1" si="26"/>
        <v>3853.0295804319103</v>
      </c>
      <c r="S108" s="256">
        <f t="shared" ca="1" si="26"/>
        <v>4197.8536295133499</v>
      </c>
      <c r="T108" s="256">
        <f t="shared" ca="1" si="26"/>
        <v>4542.9701359195687</v>
      </c>
      <c r="U108" s="256">
        <f t="shared" ca="1" si="26"/>
        <v>4888.0406788940672</v>
      </c>
      <c r="V108" s="256">
        <f t="shared" ca="1" si="26"/>
        <v>5232.7186164222194</v>
      </c>
      <c r="W108" s="256">
        <f t="shared" ca="1" si="26"/>
        <v>5576.6365643478657</v>
      </c>
      <c r="X108" s="256">
        <f t="shared" ca="1" si="26"/>
        <v>5919.7163942524703</v>
      </c>
      <c r="Y108" s="253"/>
      <c r="Z108" s="24"/>
    </row>
    <row r="109" spans="1:26">
      <c r="A109" s="24"/>
      <c r="D109" s="47" t="str">
        <f t="shared" si="25"/>
        <v>Exterior Lighting: Parking Lot - MH 400W - NR</v>
      </c>
      <c r="E109" s="256">
        <f t="shared" ca="1" si="27"/>
        <v>77.388185759248415</v>
      </c>
      <c r="F109" s="256">
        <f t="shared" ca="1" si="28"/>
        <v>214.42793840501611</v>
      </c>
      <c r="G109" s="256">
        <f t="shared" ca="1" si="26"/>
        <v>397.37035281513516</v>
      </c>
      <c r="H109" s="256">
        <f t="shared" ca="1" si="26"/>
        <v>615.55804497673478</v>
      </c>
      <c r="I109" s="256">
        <f t="shared" ca="1" si="26"/>
        <v>860.73037608444906</v>
      </c>
      <c r="J109" s="256">
        <f t="shared" ca="1" si="26"/>
        <v>1130.3255460135872</v>
      </c>
      <c r="K109" s="256">
        <f t="shared" ca="1" si="26"/>
        <v>1414.593586696742</v>
      </c>
      <c r="L109" s="256">
        <f t="shared" ca="1" si="26"/>
        <v>1709.9231945827064</v>
      </c>
      <c r="M109" s="256">
        <f t="shared" ca="1" si="26"/>
        <v>2013.7556188117255</v>
      </c>
      <c r="N109" s="256">
        <f t="shared" ca="1" si="26"/>
        <v>2323.5960830615331</v>
      </c>
      <c r="O109" s="256">
        <f t="shared" ca="1" si="26"/>
        <v>2637.8587972577593</v>
      </c>
      <c r="P109" s="256">
        <f t="shared" ca="1" si="26"/>
        <v>2955.4079672426069</v>
      </c>
      <c r="Q109" s="256">
        <f t="shared" ca="1" si="26"/>
        <v>3275.0862265236751</v>
      </c>
      <c r="R109" s="256">
        <f t="shared" ca="1" si="26"/>
        <v>3596.1609417364498</v>
      </c>
      <c r="S109" s="256">
        <f t="shared" ca="1" si="26"/>
        <v>3917.9967208791268</v>
      </c>
      <c r="T109" s="256">
        <f t="shared" ca="1" si="26"/>
        <v>4240.1054601915985</v>
      </c>
      <c r="U109" s="256">
        <f t="shared" ca="1" si="26"/>
        <v>4562.1713003011309</v>
      </c>
      <c r="V109" s="256">
        <f t="shared" ca="1" si="26"/>
        <v>4883.8707086607392</v>
      </c>
      <c r="W109" s="256">
        <f t="shared" ca="1" si="26"/>
        <v>5204.8607933913427</v>
      </c>
      <c r="X109" s="256">
        <f t="shared" ca="1" si="26"/>
        <v>5525.0686346356397</v>
      </c>
      <c r="Y109" s="253"/>
      <c r="Z109" s="24"/>
    </row>
    <row r="110" spans="1:26">
      <c r="A110" s="24"/>
      <c r="D110" s="47" t="str">
        <f t="shared" si="25"/>
        <v>Exterior Lighting: Parking Lot - MH 1000W - NR</v>
      </c>
      <c r="E110" s="256">
        <f t="shared" ca="1" si="27"/>
        <v>431.9340600516191</v>
      </c>
      <c r="F110" s="256">
        <f t="shared" ca="1" si="28"/>
        <v>1196.8070980745085</v>
      </c>
      <c r="G110" s="256">
        <f t="shared" ca="1" si="26"/>
        <v>2217.8810389681962</v>
      </c>
      <c r="H110" s="256">
        <f t="shared" ca="1" si="26"/>
        <v>3435.6728091724731</v>
      </c>
      <c r="I110" s="256">
        <f t="shared" ca="1" si="26"/>
        <v>4804.0765176806453</v>
      </c>
      <c r="J110" s="256">
        <f t="shared" ca="1" si="26"/>
        <v>6308.7937451921143</v>
      </c>
      <c r="K110" s="256">
        <f t="shared" ca="1" si="26"/>
        <v>7895.4060652841417</v>
      </c>
      <c r="L110" s="256">
        <f t="shared" ca="1" si="26"/>
        <v>9543.7573651127805</v>
      </c>
      <c r="M110" s="256">
        <f t="shared" ca="1" si="26"/>
        <v>11239.566244530562</v>
      </c>
      <c r="N110" s="256">
        <f t="shared" ca="1" si="26"/>
        <v>12968.908370575999</v>
      </c>
      <c r="O110" s="256">
        <f t="shared" ca="1" si="26"/>
        <v>14722.932821903772</v>
      </c>
      <c r="P110" s="256">
        <f t="shared" ca="1" si="26"/>
        <v>16495.300282284319</v>
      </c>
      <c r="Q110" s="256">
        <f t="shared" ca="1" si="26"/>
        <v>18279.551031760049</v>
      </c>
      <c r="R110" s="256">
        <f t="shared" ca="1" si="26"/>
        <v>20071.595953877859</v>
      </c>
      <c r="S110" s="256">
        <f t="shared" ca="1" si="26"/>
        <v>21867.888674674195</v>
      </c>
      <c r="T110" s="256">
        <f t="shared" ca="1" si="26"/>
        <v>23665.70489409264</v>
      </c>
      <c r="U110" s="256">
        <f t="shared" ca="1" si="26"/>
        <v>25463.28167609933</v>
      </c>
      <c r="V110" s="256">
        <f t="shared" ca="1" si="26"/>
        <v>27258.81325764133</v>
      </c>
      <c r="W110" s="256">
        <f t="shared" ca="1" si="26"/>
        <v>29050.385823579581</v>
      </c>
      <c r="X110" s="256">
        <f t="shared" ca="1" si="26"/>
        <v>30837.592379361708</v>
      </c>
      <c r="Y110" s="253"/>
      <c r="Z110" s="24"/>
    </row>
    <row r="111" spans="1:26">
      <c r="A111" s="24"/>
      <c r="C111" s="24"/>
      <c r="D111" s="123"/>
      <c r="E111" s="24"/>
      <c r="F111" s="24"/>
      <c r="G111" s="24"/>
      <c r="H111" s="24"/>
      <c r="I111" s="24"/>
      <c r="J111" s="24"/>
      <c r="K111" s="24"/>
      <c r="L111" s="24"/>
      <c r="M111" s="24"/>
      <c r="N111" s="24"/>
      <c r="O111" s="24"/>
      <c r="P111" s="24"/>
      <c r="Q111" s="24"/>
      <c r="R111" s="24"/>
      <c r="S111" s="24"/>
      <c r="T111" s="24"/>
      <c r="U111" s="24"/>
      <c r="V111" s="24"/>
      <c r="W111" s="24"/>
      <c r="X111" s="24"/>
      <c r="Y111" s="253"/>
      <c r="Z111" s="24"/>
    </row>
    <row r="112" spans="1:26">
      <c r="A112" s="24"/>
      <c r="B112" s="24"/>
      <c r="C112" s="24"/>
      <c r="D112" s="123" t="s">
        <v>936</v>
      </c>
      <c r="E112" s="256">
        <f ca="1">SUM(E103:E107)</f>
        <v>533.4257089833909</v>
      </c>
      <c r="F112" s="256">
        <f t="shared" ref="F112:X112" ca="1" si="29">SUM(F103:F107)</f>
        <v>1478.0211468631467</v>
      </c>
      <c r="G112" s="256">
        <f t="shared" ca="1" si="29"/>
        <v>2739.0170747614675</v>
      </c>
      <c r="H112" s="256">
        <f t="shared" ca="1" si="29"/>
        <v>4242.9536671610649</v>
      </c>
      <c r="I112" s="256">
        <f t="shared" ca="1" si="29"/>
        <v>5932.891520867809</v>
      </c>
      <c r="J112" s="256">
        <f t="shared" ca="1" si="29"/>
        <v>7791.1725135936558</v>
      </c>
      <c r="K112" s="256">
        <f t="shared" ca="1" si="29"/>
        <v>9750.5915083025448</v>
      </c>
      <c r="L112" s="256">
        <f t="shared" ca="1" si="29"/>
        <v>11786.256305516512</v>
      </c>
      <c r="M112" s="256">
        <f t="shared" ca="1" si="29"/>
        <v>13880.52980109511</v>
      </c>
      <c r="N112" s="256">
        <f t="shared" ca="1" si="29"/>
        <v>16016.215858245567</v>
      </c>
      <c r="O112" s="256">
        <f t="shared" ca="1" si="29"/>
        <v>18182.383852526698</v>
      </c>
      <c r="P112" s="256">
        <f t="shared" ca="1" si="29"/>
        <v>20371.204917065112</v>
      </c>
      <c r="Q112" s="256">
        <f t="shared" ca="1" si="29"/>
        <v>22574.701489966759</v>
      </c>
      <c r="R112" s="256">
        <f t="shared" ca="1" si="29"/>
        <v>24787.823634111955</v>
      </c>
      <c r="S112" s="256">
        <f t="shared" ca="1" si="29"/>
        <v>27006.191683202549</v>
      </c>
      <c r="T112" s="256">
        <f t="shared" ca="1" si="29"/>
        <v>29226.441207749231</v>
      </c>
      <c r="U112" s="256">
        <f t="shared" ca="1" si="29"/>
        <v>31446.395034218502</v>
      </c>
      <c r="V112" s="256">
        <f t="shared" ca="1" si="29"/>
        <v>33663.823098982946</v>
      </c>
      <c r="W112" s="256">
        <f t="shared" ca="1" si="29"/>
        <v>35876.36189730461</v>
      </c>
      <c r="X112" s="256">
        <f t="shared" ca="1" si="29"/>
        <v>38083.508803024233</v>
      </c>
      <c r="Y112" s="253"/>
      <c r="Z112" s="24"/>
    </row>
    <row r="113" spans="1:26">
      <c r="A113" s="24"/>
      <c r="B113" s="24"/>
      <c r="C113" s="24"/>
      <c r="D113" s="123"/>
      <c r="E113" s="256"/>
      <c r="F113" s="256"/>
      <c r="G113" s="256"/>
      <c r="H113" s="256"/>
      <c r="I113" s="256"/>
      <c r="J113" s="256"/>
      <c r="K113" s="256"/>
      <c r="L113" s="256"/>
      <c r="M113" s="256"/>
      <c r="N113" s="256"/>
      <c r="O113" s="256"/>
      <c r="P113" s="256"/>
      <c r="Q113" s="256"/>
      <c r="R113" s="256"/>
      <c r="S113" s="256"/>
      <c r="T113" s="256"/>
      <c r="U113" s="256"/>
      <c r="V113" s="256"/>
      <c r="W113" s="256"/>
      <c r="X113" s="256"/>
      <c r="Y113" s="253"/>
      <c r="Z113" s="24"/>
    </row>
    <row r="114" spans="1:26">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
      <c r="A115" s="283" t="s">
        <v>707</v>
      </c>
      <c r="B115" s="24"/>
      <c r="C115" s="284"/>
      <c r="D115" s="266" t="s">
        <v>303</v>
      </c>
      <c r="E115" s="353" t="s">
        <v>879</v>
      </c>
      <c r="F115" s="24"/>
      <c r="G115" s="24"/>
      <c r="H115" s="24"/>
      <c r="I115" s="24"/>
      <c r="J115" s="24"/>
      <c r="K115" s="24"/>
      <c r="L115" s="24"/>
      <c r="M115" s="24"/>
      <c r="N115" s="24"/>
      <c r="O115" s="24"/>
      <c r="P115" s="24"/>
      <c r="Q115" s="24"/>
      <c r="R115" s="24"/>
      <c r="S115" s="24"/>
      <c r="T115" s="24"/>
      <c r="U115" s="24"/>
      <c r="V115" s="24"/>
      <c r="W115" s="24"/>
      <c r="X115" s="24"/>
      <c r="Y115" s="24"/>
      <c r="Z115" s="24"/>
    </row>
    <row r="116" spans="1:26" ht="15">
      <c r="A116" s="263" t="s">
        <v>938</v>
      </c>
      <c r="B116" s="263" t="s">
        <v>398</v>
      </c>
      <c r="C116" s="263"/>
      <c r="D116" s="263">
        <v>1000</v>
      </c>
      <c r="E116" s="267">
        <f t="shared" ref="E116:X116" si="30">E11</f>
        <v>2016</v>
      </c>
      <c r="F116" s="267">
        <f t="shared" si="30"/>
        <v>2017</v>
      </c>
      <c r="G116" s="267">
        <f t="shared" si="30"/>
        <v>2018</v>
      </c>
      <c r="H116" s="267">
        <f t="shared" si="30"/>
        <v>2019</v>
      </c>
      <c r="I116" s="267">
        <f t="shared" si="30"/>
        <v>2020</v>
      </c>
      <c r="J116" s="267">
        <f t="shared" si="30"/>
        <v>2021</v>
      </c>
      <c r="K116" s="267">
        <f t="shared" si="30"/>
        <v>2022</v>
      </c>
      <c r="L116" s="267">
        <f t="shared" si="30"/>
        <v>2023</v>
      </c>
      <c r="M116" s="267">
        <f t="shared" si="30"/>
        <v>2024</v>
      </c>
      <c r="N116" s="267">
        <f t="shared" si="30"/>
        <v>2025</v>
      </c>
      <c r="O116" s="267">
        <f t="shared" si="30"/>
        <v>2026</v>
      </c>
      <c r="P116" s="267">
        <f t="shared" si="30"/>
        <v>2027</v>
      </c>
      <c r="Q116" s="267">
        <f t="shared" si="30"/>
        <v>2028</v>
      </c>
      <c r="R116" s="267">
        <f t="shared" si="30"/>
        <v>2029</v>
      </c>
      <c r="S116" s="267">
        <f t="shared" si="30"/>
        <v>2030</v>
      </c>
      <c r="T116" s="267">
        <f t="shared" si="30"/>
        <v>2031</v>
      </c>
      <c r="U116" s="267">
        <f t="shared" si="30"/>
        <v>2032</v>
      </c>
      <c r="V116" s="267">
        <f t="shared" si="30"/>
        <v>2033</v>
      </c>
      <c r="W116" s="267">
        <f t="shared" si="30"/>
        <v>2034</v>
      </c>
      <c r="X116" s="267">
        <f t="shared" si="30"/>
        <v>2035</v>
      </c>
      <c r="Y116" s="235"/>
      <c r="Z116" s="251" t="s">
        <v>699</v>
      </c>
    </row>
    <row r="117" spans="1:26" ht="15">
      <c r="A117" s="263" t="s">
        <v>390</v>
      </c>
      <c r="B117" s="263" t="s">
        <v>709</v>
      </c>
      <c r="C117" s="263" t="s">
        <v>710</v>
      </c>
      <c r="D117" s="263" t="s">
        <v>711</v>
      </c>
      <c r="E117" s="269" t="str">
        <f>CONCATENATE("aMW_",E$11)</f>
        <v>aMW_2016</v>
      </c>
      <c r="F117" s="269" t="str">
        <f t="shared" ref="F117:X117" si="31">CONCATENATE("aMW_",F$11)</f>
        <v>aMW_2017</v>
      </c>
      <c r="G117" s="269" t="str">
        <f t="shared" si="31"/>
        <v>aMW_2018</v>
      </c>
      <c r="H117" s="269" t="str">
        <f t="shared" si="31"/>
        <v>aMW_2019</v>
      </c>
      <c r="I117" s="269" t="str">
        <f t="shared" si="31"/>
        <v>aMW_2020</v>
      </c>
      <c r="J117" s="269" t="str">
        <f t="shared" si="31"/>
        <v>aMW_2021</v>
      </c>
      <c r="K117" s="269" t="str">
        <f t="shared" si="31"/>
        <v>aMW_2022</v>
      </c>
      <c r="L117" s="269" t="str">
        <f t="shared" si="31"/>
        <v>aMW_2023</v>
      </c>
      <c r="M117" s="269" t="str">
        <f t="shared" si="31"/>
        <v>aMW_2024</v>
      </c>
      <c r="N117" s="269" t="str">
        <f t="shared" si="31"/>
        <v>aMW_2025</v>
      </c>
      <c r="O117" s="269" t="str">
        <f t="shared" si="31"/>
        <v>aMW_2026</v>
      </c>
      <c r="P117" s="269" t="str">
        <f t="shared" si="31"/>
        <v>aMW_2027</v>
      </c>
      <c r="Q117" s="269" t="str">
        <f t="shared" si="31"/>
        <v>aMW_2028</v>
      </c>
      <c r="R117" s="269" t="str">
        <f t="shared" si="31"/>
        <v>aMW_2029</v>
      </c>
      <c r="S117" s="269" t="str">
        <f t="shared" si="31"/>
        <v>aMW_2030</v>
      </c>
      <c r="T117" s="269" t="str">
        <f t="shared" si="31"/>
        <v>aMW_2031</v>
      </c>
      <c r="U117" s="269" t="str">
        <f t="shared" si="31"/>
        <v>aMW_2032</v>
      </c>
      <c r="V117" s="269" t="str">
        <f t="shared" si="31"/>
        <v>aMW_2033</v>
      </c>
      <c r="W117" s="269" t="str">
        <f t="shared" si="31"/>
        <v>aMW_2034</v>
      </c>
      <c r="X117" s="269" t="str">
        <f t="shared" si="31"/>
        <v>aMW_2035</v>
      </c>
      <c r="Y117" s="235"/>
      <c r="Z117" s="251" t="s">
        <v>699</v>
      </c>
    </row>
    <row r="118" spans="1:26">
      <c r="A118" s="271">
        <f>VLOOKUP(D118,M_Input_Out!$A$1:$AM$3999,3,FALSE)</f>
        <v>147.30939530738755</v>
      </c>
      <c r="B118" s="272">
        <f>VLOOKUP(D118,M_Input_Out!$A$1:$AM$3999,11,FALSE)</f>
        <v>1.7690625707805541</v>
      </c>
      <c r="C118" t="s">
        <v>912</v>
      </c>
      <c r="D118" s="24" t="str">
        <f t="shared" ref="D118:D125" si="32">D36</f>
        <v>Exterior Lighting: Parking Lot - HPS 250W - NR</v>
      </c>
      <c r="E118" s="273">
        <f ca="1">E90*$D$116*$A118/8760/1000</f>
        <v>1.3013706447637745</v>
      </c>
      <c r="F118" s="273">
        <f t="shared" ref="F118:X125" ca="1" si="33">F90*$D$116*$A118/8760/1000</f>
        <v>2.304479805402055</v>
      </c>
      <c r="G118" s="273">
        <f t="shared" ca="1" si="33"/>
        <v>3.0763854386790119</v>
      </c>
      <c r="H118" s="273">
        <f t="shared" ca="1" si="33"/>
        <v>3.6690749995250749</v>
      </c>
      <c r="I118" s="273">
        <f t="shared" ca="1" si="33"/>
        <v>4.1228524933310489</v>
      </c>
      <c r="J118" s="273">
        <f t="shared" ca="1" si="33"/>
        <v>4.5335503949833038</v>
      </c>
      <c r="K118" s="273">
        <f t="shared" ca="1" si="33"/>
        <v>4.7802914587044958</v>
      </c>
      <c r="L118" s="273">
        <f t="shared" ca="1" si="33"/>
        <v>4.9663043326540279</v>
      </c>
      <c r="M118" s="273">
        <f t="shared" ca="1" si="33"/>
        <v>5.1092888913190038</v>
      </c>
      <c r="N118" s="273">
        <f t="shared" ca="1" si="33"/>
        <v>5.2103209395433057</v>
      </c>
      <c r="O118" s="273">
        <f t="shared" ca="1" si="33"/>
        <v>5.2846861182539291</v>
      </c>
      <c r="P118" s="273">
        <f t="shared" ca="1" si="33"/>
        <v>5.339951622240954</v>
      </c>
      <c r="Q118" s="273">
        <f t="shared" ca="1" si="33"/>
        <v>5.3757546880836085</v>
      </c>
      <c r="R118" s="273">
        <f t="shared" ca="1" si="33"/>
        <v>5.3992376879549626</v>
      </c>
      <c r="S118" s="273">
        <f t="shared" ca="1" si="33"/>
        <v>5.4120358463230192</v>
      </c>
      <c r="T118" s="273">
        <f t="shared" ca="1" si="33"/>
        <v>5.4166259830302588</v>
      </c>
      <c r="U118" s="273">
        <f t="shared" ca="1" si="33"/>
        <v>5.4159045839841244</v>
      </c>
      <c r="V118" s="273">
        <f t="shared" ca="1" si="33"/>
        <v>5.4097426160043662</v>
      </c>
      <c r="W118" s="273">
        <f t="shared" ca="1" si="33"/>
        <v>5.3978145298324538</v>
      </c>
      <c r="X118" s="273">
        <f t="shared" ca="1" si="33"/>
        <v>5.384660213057237</v>
      </c>
      <c r="Y118" s="24"/>
      <c r="Z118" s="255">
        <f ca="1">($Z$46+$Z$57)*$A118*$D$116/8760/1000</f>
        <v>46.441376909409669</v>
      </c>
    </row>
    <row r="119" spans="1:26">
      <c r="A119" s="271">
        <f>VLOOKUP(D119,M_Input_Out!$A$1:$AM$3999,3,FALSE)</f>
        <v>74.660780013982716</v>
      </c>
      <c r="B119" s="272">
        <f>VLOOKUP(D119,M_Input_Out!$A$1:$AM$3999,11,FALSE)</f>
        <v>1.6105494991589777</v>
      </c>
      <c r="C119" t="s">
        <v>838</v>
      </c>
      <c r="D119" s="24" t="str">
        <f t="shared" si="32"/>
        <v>Exterior Lighting: Walkway - HID 150W - NR</v>
      </c>
      <c r="E119" s="273">
        <f t="shared" ref="E119:T125" ca="1" si="34">E91*$D$116*$A119/8760/1000</f>
        <v>1.0600285554034632</v>
      </c>
      <c r="F119" s="273">
        <f t="shared" ca="1" si="34"/>
        <v>1.8771088843180532</v>
      </c>
      <c r="G119" s="273">
        <f t="shared" ca="1" si="34"/>
        <v>2.5058628958232805</v>
      </c>
      <c r="H119" s="273">
        <f t="shared" ca="1" si="34"/>
        <v>2.9886368553514742</v>
      </c>
      <c r="I119" s="273">
        <f t="shared" ca="1" si="34"/>
        <v>3.3582603005776144</v>
      </c>
      <c r="J119" s="273">
        <f t="shared" ca="1" si="34"/>
        <v>3.6927933601232295</v>
      </c>
      <c r="K119" s="273">
        <f t="shared" ca="1" si="34"/>
        <v>3.8937757431111031</v>
      </c>
      <c r="L119" s="273">
        <f t="shared" ca="1" si="34"/>
        <v>4.045292114601839</v>
      </c>
      <c r="M119" s="273">
        <f t="shared" ca="1" si="34"/>
        <v>4.1617598678714325</v>
      </c>
      <c r="N119" s="273">
        <f t="shared" ca="1" si="34"/>
        <v>4.2440552973553958</v>
      </c>
      <c r="O119" s="273">
        <f t="shared" ca="1" si="34"/>
        <v>4.304629287769365</v>
      </c>
      <c r="P119" s="273">
        <f t="shared" ca="1" si="34"/>
        <v>4.3496456807475887</v>
      </c>
      <c r="Q119" s="273">
        <f t="shared" ca="1" si="34"/>
        <v>4.378808988154983</v>
      </c>
      <c r="R119" s="273">
        <f t="shared" ca="1" si="34"/>
        <v>4.3979370133108677</v>
      </c>
      <c r="S119" s="273">
        <f t="shared" ca="1" si="34"/>
        <v>4.4083617246575555</v>
      </c>
      <c r="T119" s="273">
        <f t="shared" ca="1" si="34"/>
        <v>4.4121006102720868</v>
      </c>
      <c r="U119" s="273">
        <f t="shared" ca="1" si="33"/>
        <v>4.4115129962884634</v>
      </c>
      <c r="V119" s="273">
        <f t="shared" ca="1" si="33"/>
        <v>4.4064937790175707</v>
      </c>
      <c r="W119" s="273">
        <f t="shared" ca="1" si="33"/>
        <v>4.3967777830371677</v>
      </c>
      <c r="X119" s="273">
        <f t="shared" ca="1" si="33"/>
        <v>4.3860629636544983</v>
      </c>
      <c r="Y119" s="24"/>
      <c r="Z119" s="255">
        <f t="shared" ref="Z119:Z124" ca="1" si="35">($Z$46+$Z$57)*$A119*$D$116/8760/1000</f>
        <v>23.537870193171617</v>
      </c>
    </row>
    <row r="120" spans="1:26">
      <c r="A120" s="271">
        <f>VLOOKUP(D120,M_Input_Out!$A$1:$AM$3999,3,FALSE)</f>
        <v>75.7337104936271</v>
      </c>
      <c r="B120" s="272">
        <f>VLOOKUP(D120,M_Input_Out!$A$1:$AM$3999,11,FALSE)</f>
        <v>3.0265333512445136</v>
      </c>
      <c r="C120" t="s">
        <v>838</v>
      </c>
      <c r="D120" s="24" t="str">
        <f t="shared" si="32"/>
        <v>Exterior Lighting: Façade - HID 150W - NR</v>
      </c>
      <c r="E120" s="273">
        <f t="shared" ca="1" si="34"/>
        <v>1.0752619476366112</v>
      </c>
      <c r="F120" s="273">
        <f t="shared" ca="1" si="33"/>
        <v>1.904084323567669</v>
      </c>
      <c r="G120" s="273">
        <f t="shared" ca="1" si="33"/>
        <v>2.5418739939960453</v>
      </c>
      <c r="H120" s="273">
        <f t="shared" ca="1" si="33"/>
        <v>3.0315857714235355</v>
      </c>
      <c r="I120" s="273">
        <f t="shared" ca="1" si="33"/>
        <v>3.4065209781970367</v>
      </c>
      <c r="J120" s="273">
        <f t="shared" ca="1" si="33"/>
        <v>3.7458615245646212</v>
      </c>
      <c r="K120" s="273">
        <f t="shared" ca="1" si="33"/>
        <v>3.949732172643468</v>
      </c>
      <c r="L120" s="273">
        <f t="shared" ca="1" si="33"/>
        <v>4.1034259461531377</v>
      </c>
      <c r="M120" s="273">
        <f t="shared" ca="1" si="33"/>
        <v>4.2215674269454695</v>
      </c>
      <c r="N120" s="273">
        <f t="shared" ca="1" si="33"/>
        <v>4.305045502453388</v>
      </c>
      <c r="O120" s="273">
        <f t="shared" ca="1" si="33"/>
        <v>4.3664899857898343</v>
      </c>
      <c r="P120" s="273">
        <f t="shared" ca="1" si="33"/>
        <v>4.4121532975398807</v>
      </c>
      <c r="Q120" s="273">
        <f t="shared" ca="1" si="33"/>
        <v>4.4417357031859854</v>
      </c>
      <c r="R120" s="273">
        <f t="shared" ca="1" si="33"/>
        <v>4.4611386121724612</v>
      </c>
      <c r="S120" s="273">
        <f t="shared" ca="1" si="33"/>
        <v>4.4717131343106145</v>
      </c>
      <c r="T120" s="273">
        <f t="shared" ca="1" si="33"/>
        <v>4.4755057504692823</v>
      </c>
      <c r="U120" s="273">
        <f t="shared" ca="1" si="33"/>
        <v>4.4749096920392812</v>
      </c>
      <c r="V120" s="273">
        <f t="shared" ca="1" si="33"/>
        <v>4.4698183449139606</v>
      </c>
      <c r="W120" s="273">
        <f t="shared" ca="1" si="33"/>
        <v>4.4599627229046641</v>
      </c>
      <c r="X120" s="273">
        <f t="shared" ca="1" si="33"/>
        <v>4.449093923664063</v>
      </c>
      <c r="Y120" s="24"/>
      <c r="Z120" s="255">
        <f t="shared" ca="1" si="35"/>
        <v>23.876126749712242</v>
      </c>
    </row>
    <row r="121" spans="1:26">
      <c r="A121" s="271">
        <f>VLOOKUP(D121,M_Input_Out!$A$1:$AM$3999,3,FALSE)</f>
        <v>1.9411307694657556</v>
      </c>
      <c r="B121" s="272">
        <f>VLOOKUP(D121,M_Input_Out!$A$1:$AM$3999,11,FALSE)</f>
        <v>-126.37002300184083</v>
      </c>
      <c r="C121" t="s">
        <v>838</v>
      </c>
      <c r="D121" s="24" t="str">
        <f t="shared" si="32"/>
        <v>Exterior Lighting: Walkway - INC 75W - NR</v>
      </c>
      <c r="E121" s="273">
        <f t="shared" ca="1" si="34"/>
        <v>1.837335965880733E-2</v>
      </c>
      <c r="F121" s="273">
        <f t="shared" ca="1" si="33"/>
        <v>3.2535724131687357E-2</v>
      </c>
      <c r="G121" s="273">
        <f t="shared" ca="1" si="33"/>
        <v>4.3433849027866629E-2</v>
      </c>
      <c r="H121" s="273">
        <f t="shared" ca="1" si="33"/>
        <v>5.1801717560372218E-2</v>
      </c>
      <c r="I121" s="273">
        <f t="shared" ca="1" si="33"/>
        <v>5.8208360535081993E-2</v>
      </c>
      <c r="J121" s="273">
        <f t="shared" ca="1" si="33"/>
        <v>6.4006785671330627E-2</v>
      </c>
      <c r="K121" s="273">
        <f t="shared" ca="1" si="33"/>
        <v>6.7490391456190707E-2</v>
      </c>
      <c r="L121" s="273">
        <f t="shared" ca="1" si="33"/>
        <v>7.0116608243848078E-2</v>
      </c>
      <c r="M121" s="273">
        <f t="shared" ca="1" si="33"/>
        <v>7.213533114387502E-2</v>
      </c>
      <c r="N121" s="273">
        <f t="shared" ca="1" si="33"/>
        <v>7.3561748872413846E-2</v>
      </c>
      <c r="O121" s="273">
        <f t="shared" ca="1" si="33"/>
        <v>7.4611671260043672E-2</v>
      </c>
      <c r="P121" s="273">
        <f t="shared" ca="1" si="33"/>
        <v>7.5391935503412388E-2</v>
      </c>
      <c r="Q121" s="273">
        <f t="shared" ca="1" si="33"/>
        <v>7.5897419938812785E-2</v>
      </c>
      <c r="R121" s="273">
        <f t="shared" ca="1" si="33"/>
        <v>7.6228963918416257E-2</v>
      </c>
      <c r="S121" s="273">
        <f t="shared" ca="1" si="33"/>
        <v>7.6409654306364386E-2</v>
      </c>
      <c r="T121" s="273">
        <f t="shared" ca="1" si="33"/>
        <v>7.6474460004068212E-2</v>
      </c>
      <c r="U121" s="273">
        <f t="shared" ca="1" si="33"/>
        <v>7.6464274954800765E-2</v>
      </c>
      <c r="V121" s="273">
        <f t="shared" ca="1" si="33"/>
        <v>7.6377277407750091E-2</v>
      </c>
      <c r="W121" s="273">
        <f t="shared" ca="1" si="33"/>
        <v>7.6208871106163714E-2</v>
      </c>
      <c r="X121" s="273">
        <f t="shared" ca="1" si="33"/>
        <v>7.6023152307180958E-2</v>
      </c>
      <c r="Y121" s="24"/>
      <c r="Z121" s="255">
        <f t="shared" ca="1" si="35"/>
        <v>0.61196901600946707</v>
      </c>
    </row>
    <row r="122" spans="1:26">
      <c r="A122" s="271">
        <f>VLOOKUP(D122,M_Input_Out!$A$1:$AM$3999,3,FALSE)</f>
        <v>32.677068971184418</v>
      </c>
      <c r="B122" s="272">
        <f>VLOOKUP(D122,M_Input_Out!$A$1:$AM$3999,11,FALSE)</f>
        <v>-2.977504018819626</v>
      </c>
      <c r="C122" t="s">
        <v>838</v>
      </c>
      <c r="D122" s="24" t="str">
        <f t="shared" si="32"/>
        <v>Exterior Lighting: Façade - HID 400W - NR</v>
      </c>
      <c r="E122" s="273">
        <f t="shared" ca="1" si="34"/>
        <v>0.46394674968379268</v>
      </c>
      <c r="F122" s="273">
        <f t="shared" ca="1" si="33"/>
        <v>0.82156142043783098</v>
      </c>
      <c r="G122" s="273">
        <f t="shared" ca="1" si="33"/>
        <v>1.0967505919950702</v>
      </c>
      <c r="H122" s="273">
        <f t="shared" ca="1" si="33"/>
        <v>1.3080481162111322</v>
      </c>
      <c r="I122" s="273">
        <f t="shared" ca="1" si="33"/>
        <v>1.4698226223274538</v>
      </c>
      <c r="J122" s="273">
        <f t="shared" ca="1" si="33"/>
        <v>1.6162389852139132</v>
      </c>
      <c r="K122" s="273">
        <f t="shared" ca="1" si="33"/>
        <v>1.704203713008851</v>
      </c>
      <c r="L122" s="273">
        <f t="shared" ca="1" si="33"/>
        <v>1.7705184624735517</v>
      </c>
      <c r="M122" s="273">
        <f t="shared" ca="1" si="33"/>
        <v>1.8214933492319889</v>
      </c>
      <c r="N122" s="273">
        <f t="shared" ca="1" si="33"/>
        <v>1.8575119044192923</v>
      </c>
      <c r="O122" s="273">
        <f t="shared" ca="1" si="33"/>
        <v>1.8840235543410639</v>
      </c>
      <c r="P122" s="273">
        <f t="shared" ca="1" si="33"/>
        <v>1.9037260511259606</v>
      </c>
      <c r="Q122" s="273">
        <f t="shared" ca="1" si="33"/>
        <v>1.9164900673524294</v>
      </c>
      <c r="R122" s="273">
        <f t="shared" ca="1" si="33"/>
        <v>1.9248619032371377</v>
      </c>
      <c r="S122" s="273">
        <f t="shared" ca="1" si="33"/>
        <v>1.9294245264995336</v>
      </c>
      <c r="T122" s="273">
        <f t="shared" ca="1" si="33"/>
        <v>1.931060938857917</v>
      </c>
      <c r="U122" s="273">
        <f t="shared" ca="1" si="33"/>
        <v>1.9308037555996154</v>
      </c>
      <c r="V122" s="273">
        <f t="shared" ca="1" si="33"/>
        <v>1.9286069755912685</v>
      </c>
      <c r="W122" s="273">
        <f t="shared" ca="1" si="33"/>
        <v>1.9243545384922198</v>
      </c>
      <c r="X122" s="273">
        <f t="shared" ca="1" si="33"/>
        <v>1.9196649425368104</v>
      </c>
      <c r="Y122" s="24"/>
      <c r="Z122" s="255">
        <f t="shared" ca="1" si="35"/>
        <v>10.30190961831642</v>
      </c>
    </row>
    <row r="123" spans="1:26">
      <c r="A123" s="271">
        <f>VLOOKUP(D123,M_Input_Out!$A$1:$AM$3999,3,FALSE)</f>
        <v>2.6150142699850236</v>
      </c>
      <c r="B123" s="272">
        <f>VLOOKUP(D123,M_Input_Out!$A$1:$AM$3999,11,FALSE)</f>
        <v>-43.838014609514389</v>
      </c>
      <c r="C123" t="s">
        <v>838</v>
      </c>
      <c r="D123" s="24" t="str">
        <f t="shared" si="32"/>
        <v>Exterior Lighting: Walkway - CFL 26W - NR</v>
      </c>
      <c r="E123" s="273">
        <f t="shared" ca="1" si="34"/>
        <v>2.4751860333743447E-2</v>
      </c>
      <c r="F123" s="273">
        <f t="shared" ca="1" si="33"/>
        <v>4.3830835215741243E-2</v>
      </c>
      <c r="G123" s="273">
        <f t="shared" ca="1" si="33"/>
        <v>5.8512356197159394E-2</v>
      </c>
      <c r="H123" s="273">
        <f t="shared" ca="1" si="33"/>
        <v>6.9785216308424949E-2</v>
      </c>
      <c r="I123" s="273">
        <f t="shared" ca="1" si="33"/>
        <v>7.8415991249041805E-2</v>
      </c>
      <c r="J123" s="273">
        <f t="shared" ca="1" si="33"/>
        <v>8.6227399276386216E-2</v>
      </c>
      <c r="K123" s="273">
        <f t="shared" ca="1" si="33"/>
        <v>9.0920374619267774E-2</v>
      </c>
      <c r="L123" s="273">
        <f t="shared" ca="1" si="33"/>
        <v>9.4458309561017403E-2</v>
      </c>
      <c r="M123" s="273">
        <f t="shared" ca="1" si="33"/>
        <v>9.7177852867298062E-2</v>
      </c>
      <c r="N123" s="273">
        <f t="shared" ca="1" si="33"/>
        <v>9.9099466173193596E-2</v>
      </c>
      <c r="O123" s="273">
        <f t="shared" ca="1" si="33"/>
        <v>0.10051387991039093</v>
      </c>
      <c r="P123" s="273">
        <f t="shared" ca="1" si="33"/>
        <v>0.10156502090658964</v>
      </c>
      <c r="Q123" s="273">
        <f t="shared" ca="1" si="33"/>
        <v>0.10224598945987841</v>
      </c>
      <c r="R123" s="273">
        <f t="shared" ca="1" si="33"/>
        <v>0.10269263234011533</v>
      </c>
      <c r="S123" s="273">
        <f t="shared" ca="1" si="33"/>
        <v>0.10293605125365071</v>
      </c>
      <c r="T123" s="273">
        <f t="shared" ca="1" si="33"/>
        <v>0.10302335491548412</v>
      </c>
      <c r="U123" s="273">
        <f t="shared" ca="1" si="33"/>
        <v>0.10300963402166605</v>
      </c>
      <c r="V123" s="273">
        <f t="shared" ca="1" si="33"/>
        <v>0.10289243438186338</v>
      </c>
      <c r="W123" s="273">
        <f t="shared" ca="1" si="33"/>
        <v>0.10266556410154479</v>
      </c>
      <c r="X123" s="273">
        <f t="shared" ca="1" si="33"/>
        <v>0.1024153711123944</v>
      </c>
      <c r="Y123" s="24"/>
      <c r="Z123" s="255">
        <f t="shared" ca="1" si="35"/>
        <v>0.82442035066699393</v>
      </c>
    </row>
    <row r="124" spans="1:26">
      <c r="A124" s="271">
        <f>VLOOKUP(D124,M_Input_Out!$A$1:$AM$3999,3,FALSE)</f>
        <v>58.159445328717929</v>
      </c>
      <c r="B124" s="272">
        <f>VLOOKUP(D124,M_Input_Out!$A$1:$AM$3999,11,FALSE)</f>
        <v>2.8261335494413684</v>
      </c>
      <c r="C124" t="s">
        <v>912</v>
      </c>
      <c r="D124" s="24" t="str">
        <f t="shared" si="32"/>
        <v>Exterior Lighting: Parking Lot - MH 400W - NR</v>
      </c>
      <c r="E124" s="273">
        <f t="shared" ca="1" si="34"/>
        <v>0.51379611401297665</v>
      </c>
      <c r="F124" s="273">
        <f t="shared" ca="1" si="33"/>
        <v>0.909835160029972</v>
      </c>
      <c r="G124" s="273">
        <f t="shared" ca="1" si="33"/>
        <v>1.2145923914599288</v>
      </c>
      <c r="H124" s="273">
        <f t="shared" ca="1" si="33"/>
        <v>1.4485930540721104</v>
      </c>
      <c r="I124" s="273">
        <f t="shared" ca="1" si="33"/>
        <v>1.6277496332389769</v>
      </c>
      <c r="J124" s="273">
        <f t="shared" ca="1" si="33"/>
        <v>1.7898978934223899</v>
      </c>
      <c r="K124" s="273">
        <f t="shared" ca="1" si="33"/>
        <v>1.8873141062572731</v>
      </c>
      <c r="L124" s="273">
        <f t="shared" ca="1" si="33"/>
        <v>1.9607541305702567</v>
      </c>
      <c r="M124" s="273">
        <f t="shared" ca="1" si="33"/>
        <v>2.0172060805981142</v>
      </c>
      <c r="N124" s="273">
        <f t="shared" ca="1" si="33"/>
        <v>2.057094696479596</v>
      </c>
      <c r="O124" s="273">
        <f t="shared" ca="1" si="33"/>
        <v>2.0864549252454245</v>
      </c>
      <c r="P124" s="273">
        <f t="shared" ca="1" si="33"/>
        <v>2.1082743825243737</v>
      </c>
      <c r="Q124" s="273">
        <f t="shared" ca="1" si="33"/>
        <v>2.1224098451412106</v>
      </c>
      <c r="R124" s="273">
        <f t="shared" ca="1" si="33"/>
        <v>2.1316812038642738</v>
      </c>
      <c r="S124" s="273">
        <f t="shared" ca="1" si="33"/>
        <v>2.136734064140851</v>
      </c>
      <c r="T124" s="273">
        <f t="shared" ca="1" si="33"/>
        <v>2.1385463029618639</v>
      </c>
      <c r="U124" s="273">
        <f t="shared" ca="1" si="33"/>
        <v>2.1382614863125502</v>
      </c>
      <c r="V124" s="273">
        <f t="shared" ca="1" si="33"/>
        <v>2.1358286704077107</v>
      </c>
      <c r="W124" s="273">
        <f t="shared" ca="1" si="33"/>
        <v>2.1311193246518347</v>
      </c>
      <c r="X124" s="273">
        <f t="shared" ca="1" si="33"/>
        <v>2.1259258489354456</v>
      </c>
      <c r="Y124" s="24"/>
      <c r="Z124" s="255">
        <f t="shared" ca="1" si="35"/>
        <v>18.335590311242967</v>
      </c>
    </row>
    <row r="125" spans="1:26">
      <c r="A125" s="271">
        <f>VLOOKUP(D125,M_Input_Out!$A$1:$AM$3999,3,FALSE)</f>
        <v>7.0735978583603307</v>
      </c>
      <c r="B125" s="272">
        <f>VLOOKUP(D125,M_Input_Out!$A$1:$AM$3999,11,FALSE)</f>
        <v>9.8227590078014355</v>
      </c>
      <c r="C125" t="s">
        <v>912</v>
      </c>
      <c r="D125" s="24" t="str">
        <f t="shared" si="32"/>
        <v>Exterior Lighting: Parking Lot - MH 1000W - NR</v>
      </c>
      <c r="E125" s="273">
        <f t="shared" ca="1" si="34"/>
        <v>0.34878171713858619</v>
      </c>
      <c r="F125" s="273">
        <f t="shared" ca="1" si="33"/>
        <v>0.6176260597803962</v>
      </c>
      <c r="G125" s="273">
        <f t="shared" ca="1" si="33"/>
        <v>0.82450530154487811</v>
      </c>
      <c r="H125" s="273">
        <f t="shared" ca="1" si="33"/>
        <v>0.98335265498239821</v>
      </c>
      <c r="I125" s="273">
        <f t="shared" ca="1" si="33"/>
        <v>1.1049700390269113</v>
      </c>
      <c r="J125" s="273">
        <f t="shared" ca="1" si="33"/>
        <v>1.2150416162058244</v>
      </c>
      <c r="K125" s="273">
        <f t="shared" ca="1" si="33"/>
        <v>1.2811709485674752</v>
      </c>
      <c r="L125" s="273">
        <f t="shared" ca="1" si="33"/>
        <v>1.3310244548280048</v>
      </c>
      <c r="M125" s="273">
        <f t="shared" ca="1" si="33"/>
        <v>1.3693458969906458</v>
      </c>
      <c r="N125" s="273">
        <f t="shared" ca="1" si="33"/>
        <v>1.396423602644669</v>
      </c>
      <c r="O125" s="273">
        <f t="shared" ca="1" si="33"/>
        <v>1.4163542925141317</v>
      </c>
      <c r="P125" s="273">
        <f t="shared" ca="1" si="33"/>
        <v>1.4311660584446766</v>
      </c>
      <c r="Q125" s="273">
        <f t="shared" ca="1" si="33"/>
        <v>1.4407616758298329</v>
      </c>
      <c r="R125" s="273">
        <f t="shared" ca="1" si="33"/>
        <v>1.4470553793582255</v>
      </c>
      <c r="S125" s="273">
        <f t="shared" ca="1" si="33"/>
        <v>1.4504854272617824</v>
      </c>
      <c r="T125" s="273">
        <f t="shared" ca="1" si="33"/>
        <v>1.4517156346351341</v>
      </c>
      <c r="U125" s="273">
        <f t="shared" ca="1" si="33"/>
        <v>1.4515222917169845</v>
      </c>
      <c r="V125" s="273">
        <f t="shared" ca="1" si="33"/>
        <v>1.449870816188793</v>
      </c>
      <c r="W125" s="273">
        <f t="shared" ca="1" si="33"/>
        <v>1.4466739572509064</v>
      </c>
      <c r="X125" s="273">
        <f t="shared" ca="1" si="33"/>
        <v>1.4431484549575322</v>
      </c>
      <c r="Y125" s="24"/>
      <c r="Z125" s="255">
        <f ca="1">($Z$46+$Z$57)*$A125*$D$116/8760/1000</f>
        <v>2.2300520856813981</v>
      </c>
    </row>
    <row r="126" spans="1:26">
      <c r="A126" s="24"/>
      <c r="B126" s="24"/>
      <c r="C126" s="24"/>
      <c r="D126" s="24"/>
      <c r="E126" s="273"/>
      <c r="F126" s="273"/>
      <c r="G126" s="273"/>
      <c r="H126" s="273"/>
      <c r="I126" s="273"/>
      <c r="J126" s="273"/>
      <c r="K126" s="273"/>
      <c r="L126" s="273"/>
      <c r="M126" s="273"/>
      <c r="N126" s="273"/>
      <c r="O126" s="273"/>
      <c r="P126" s="273"/>
      <c r="Q126" s="273"/>
      <c r="R126" s="273"/>
      <c r="S126" s="273"/>
      <c r="T126" s="273"/>
      <c r="U126" s="273"/>
      <c r="V126" s="273"/>
      <c r="W126" s="273"/>
      <c r="X126" s="273"/>
      <c r="Y126" s="24"/>
      <c r="Z126" s="349"/>
    </row>
    <row r="127" spans="1:26">
      <c r="A127" s="24"/>
      <c r="B127" s="272">
        <f>SUMPRODUCT(B118:B122,A118:A122)/SUM(A118:A122)</f>
        <v>0.80481613319290235</v>
      </c>
      <c r="C127" s="24"/>
      <c r="D127" s="24" t="s">
        <v>939</v>
      </c>
      <c r="E127" s="198">
        <f ca="1">SUM(E118:E125)</f>
        <v>4.8063109486317561</v>
      </c>
      <c r="F127" s="198">
        <f t="shared" ref="F127:X127" ca="1" si="36">SUM(F118:F125)</f>
        <v>8.5110622128834041</v>
      </c>
      <c r="G127" s="198">
        <f t="shared" ca="1" si="36"/>
        <v>11.361916818723241</v>
      </c>
      <c r="H127" s="198">
        <f t="shared" ca="1" si="36"/>
        <v>13.550878385434526</v>
      </c>
      <c r="I127" s="198">
        <f t="shared" ca="1" si="36"/>
        <v>15.226800418483165</v>
      </c>
      <c r="J127" s="198">
        <f t="shared" ca="1" si="36"/>
        <v>16.743617959460998</v>
      </c>
      <c r="K127" s="198">
        <f t="shared" ca="1" si="36"/>
        <v>17.654898908368128</v>
      </c>
      <c r="L127" s="198">
        <f t="shared" ca="1" si="36"/>
        <v>18.341894359085686</v>
      </c>
      <c r="M127" s="198">
        <f t="shared" ca="1" si="36"/>
        <v>18.869974696967827</v>
      </c>
      <c r="N127" s="198">
        <f t="shared" ca="1" si="36"/>
        <v>19.243113157941256</v>
      </c>
      <c r="O127" s="198">
        <f t="shared" ca="1" si="36"/>
        <v>19.517763715084183</v>
      </c>
      <c r="P127" s="198">
        <f t="shared" ca="1" si="36"/>
        <v>19.721874049033438</v>
      </c>
      <c r="Q127" s="198">
        <f t="shared" ca="1" si="36"/>
        <v>19.85410437714674</v>
      </c>
      <c r="R127" s="198">
        <f t="shared" ca="1" si="36"/>
        <v>19.940833396156464</v>
      </c>
      <c r="S127" s="198">
        <f t="shared" ca="1" si="36"/>
        <v>19.98810042875337</v>
      </c>
      <c r="T127" s="198">
        <f t="shared" ca="1" si="36"/>
        <v>20.005053035146098</v>
      </c>
      <c r="U127" s="198">
        <f t="shared" ca="1" si="36"/>
        <v>20.002388714917487</v>
      </c>
      <c r="V127" s="198">
        <f t="shared" ca="1" si="36"/>
        <v>19.979630913913283</v>
      </c>
      <c r="W127" s="198">
        <f t="shared" ca="1" si="36"/>
        <v>19.935577291376955</v>
      </c>
      <c r="X127" s="198">
        <f t="shared" ca="1" si="36"/>
        <v>19.886994870225163</v>
      </c>
      <c r="Y127" s="24"/>
      <c r="Z127" s="255">
        <f ca="1">SUM(Z118:Z122)</f>
        <v>104.76925248661941</v>
      </c>
    </row>
    <row r="128" spans="1:26">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
      <c r="A130" s="350" t="s">
        <v>713</v>
      </c>
      <c r="B130" s="350"/>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
      <c r="A131" s="24"/>
      <c r="B131" s="24"/>
      <c r="C131" s="24"/>
      <c r="D131" s="24"/>
      <c r="E131" s="267">
        <f t="shared" ref="E131:X131" si="37">E11</f>
        <v>2016</v>
      </c>
      <c r="F131" s="267">
        <f t="shared" si="37"/>
        <v>2017</v>
      </c>
      <c r="G131" s="267">
        <f t="shared" si="37"/>
        <v>2018</v>
      </c>
      <c r="H131" s="267">
        <f t="shared" si="37"/>
        <v>2019</v>
      </c>
      <c r="I131" s="267">
        <f t="shared" si="37"/>
        <v>2020</v>
      </c>
      <c r="J131" s="267">
        <f t="shared" si="37"/>
        <v>2021</v>
      </c>
      <c r="K131" s="267">
        <f t="shared" si="37"/>
        <v>2022</v>
      </c>
      <c r="L131" s="267">
        <f t="shared" si="37"/>
        <v>2023</v>
      </c>
      <c r="M131" s="267">
        <f t="shared" si="37"/>
        <v>2024</v>
      </c>
      <c r="N131" s="267">
        <f t="shared" si="37"/>
        <v>2025</v>
      </c>
      <c r="O131" s="267">
        <f t="shared" si="37"/>
        <v>2026</v>
      </c>
      <c r="P131" s="267">
        <f t="shared" si="37"/>
        <v>2027</v>
      </c>
      <c r="Q131" s="267">
        <f t="shared" si="37"/>
        <v>2028</v>
      </c>
      <c r="R131" s="267">
        <f t="shared" si="37"/>
        <v>2029</v>
      </c>
      <c r="S131" s="267">
        <f t="shared" si="37"/>
        <v>2030</v>
      </c>
      <c r="T131" s="267">
        <f t="shared" si="37"/>
        <v>2031</v>
      </c>
      <c r="U131" s="267">
        <f t="shared" si="37"/>
        <v>2032</v>
      </c>
      <c r="V131" s="267">
        <f t="shared" si="37"/>
        <v>2033</v>
      </c>
      <c r="W131" s="267">
        <f t="shared" si="37"/>
        <v>2034</v>
      </c>
      <c r="X131" s="267">
        <f t="shared" si="37"/>
        <v>2035</v>
      </c>
      <c r="Y131" s="243"/>
      <c r="Z131" s="251" t="s">
        <v>699</v>
      </c>
    </row>
    <row r="132" spans="1:26" ht="15">
      <c r="A132" s="24"/>
      <c r="B132" s="24"/>
      <c r="C132" s="275" t="s">
        <v>709</v>
      </c>
      <c r="D132" s="275" t="s">
        <v>709</v>
      </c>
      <c r="E132" s="269" t="str">
        <f>CONCATENATE("aMW_",E$11)</f>
        <v>aMW_2016</v>
      </c>
      <c r="F132" s="269" t="str">
        <f t="shared" ref="F132:X132" si="38">CONCATENATE("aMW_",F$11)</f>
        <v>aMW_2017</v>
      </c>
      <c r="G132" s="269" t="str">
        <f t="shared" si="38"/>
        <v>aMW_2018</v>
      </c>
      <c r="H132" s="269" t="str">
        <f t="shared" si="38"/>
        <v>aMW_2019</v>
      </c>
      <c r="I132" s="269" t="str">
        <f t="shared" si="38"/>
        <v>aMW_2020</v>
      </c>
      <c r="J132" s="269" t="str">
        <f t="shared" si="38"/>
        <v>aMW_2021</v>
      </c>
      <c r="K132" s="269" t="str">
        <f t="shared" si="38"/>
        <v>aMW_2022</v>
      </c>
      <c r="L132" s="269" t="str">
        <f t="shared" si="38"/>
        <v>aMW_2023</v>
      </c>
      <c r="M132" s="269" t="str">
        <f t="shared" si="38"/>
        <v>aMW_2024</v>
      </c>
      <c r="N132" s="269" t="str">
        <f t="shared" si="38"/>
        <v>aMW_2025</v>
      </c>
      <c r="O132" s="269" t="str">
        <f t="shared" si="38"/>
        <v>aMW_2026</v>
      </c>
      <c r="P132" s="269" t="str">
        <f t="shared" si="38"/>
        <v>aMW_2027</v>
      </c>
      <c r="Q132" s="269" t="str">
        <f t="shared" si="38"/>
        <v>aMW_2028</v>
      </c>
      <c r="R132" s="269" t="str">
        <f t="shared" si="38"/>
        <v>aMW_2029</v>
      </c>
      <c r="S132" s="269" t="str">
        <f t="shared" si="38"/>
        <v>aMW_2030</v>
      </c>
      <c r="T132" s="269" t="str">
        <f t="shared" si="38"/>
        <v>aMW_2031</v>
      </c>
      <c r="U132" s="269" t="str">
        <f t="shared" si="38"/>
        <v>aMW_2032</v>
      </c>
      <c r="V132" s="269" t="str">
        <f t="shared" si="38"/>
        <v>aMW_2033</v>
      </c>
      <c r="W132" s="269" t="str">
        <f t="shared" si="38"/>
        <v>aMW_2034</v>
      </c>
      <c r="X132" s="269" t="str">
        <f t="shared" si="38"/>
        <v>aMW_2035</v>
      </c>
      <c r="Y132" s="351"/>
      <c r="Z132" s="251" t="s">
        <v>699</v>
      </c>
    </row>
    <row r="133" spans="1:26">
      <c r="A133" s="24"/>
      <c r="B133" s="24" t="s">
        <v>643</v>
      </c>
      <c r="C133" s="276" t="s">
        <v>714</v>
      </c>
      <c r="D133" s="276" t="s">
        <v>715</v>
      </c>
      <c r="E133" s="277">
        <f ca="1">DSUM($B$117:$Z$125,E$132,$C$132:$D133)</f>
        <v>0.50707196967634349</v>
      </c>
      <c r="F133" s="277">
        <f ca="1">DSUM($B$117:$Z$125,F$132,$C$132:$D133)</f>
        <v>0.89792797978525962</v>
      </c>
      <c r="G133" s="277">
        <f ca="1">DSUM($B$117:$Z$125,G$132,$C$132:$D133)</f>
        <v>1.1986967972200964</v>
      </c>
      <c r="H133" s="277">
        <f ca="1">DSUM($B$117:$Z$125,H$132,$C$132:$D133)</f>
        <v>1.4296350500799293</v>
      </c>
      <c r="I133" s="277">
        <f ca="1">DSUM($B$117:$Z$125,I$132,$C$132:$D133)</f>
        <v>1.6064469741115777</v>
      </c>
      <c r="J133" s="277">
        <f ca="1">DSUM($B$117:$Z$125,J$132,$C$132:$D133)</f>
        <v>1.7664731701616301</v>
      </c>
      <c r="K133" s="277">
        <f ca="1">DSUM($B$117:$Z$125,K$132,$C$132:$D133)</f>
        <v>1.8626144790843093</v>
      </c>
      <c r="L133" s="277">
        <f ca="1">DSUM($B$117:$Z$125,L$132,$C$132:$D133)</f>
        <v>1.9350933802784172</v>
      </c>
      <c r="M133" s="277">
        <f ca="1">DSUM($B$117:$Z$125,M$132,$C$132:$D133)</f>
        <v>1.9908065332431619</v>
      </c>
      <c r="N133" s="277">
        <f ca="1">DSUM($B$117:$Z$125,N$132,$C$132:$D133)</f>
        <v>2.0301731194648998</v>
      </c>
      <c r="O133" s="277">
        <f ca="1">DSUM($B$117:$Z$125,O$132,$C$132:$D133)</f>
        <v>2.0591491055114988</v>
      </c>
      <c r="P133" s="277">
        <f ca="1">DSUM($B$117:$Z$125,P$132,$C$132:$D133)</f>
        <v>2.0806830075359626</v>
      </c>
      <c r="Q133" s="277">
        <f ca="1">DSUM($B$117:$Z$125,Q$132,$C$132:$D133)</f>
        <v>2.0946334767511208</v>
      </c>
      <c r="R133" s="277">
        <f ca="1">DSUM($B$117:$Z$125,R$132,$C$132:$D133)</f>
        <v>2.1037834994956692</v>
      </c>
      <c r="S133" s="277">
        <f ca="1">DSUM($B$117:$Z$125,S$132,$C$132:$D133)</f>
        <v>2.1087702320595487</v>
      </c>
      <c r="T133" s="277">
        <f ca="1">DSUM($B$117:$Z$125,T$132,$C$132:$D133)</f>
        <v>2.110558753777469</v>
      </c>
      <c r="U133" s="277">
        <f ca="1">DSUM($B$117:$Z$125,U$132,$C$132:$D133)</f>
        <v>2.1102776645760821</v>
      </c>
      <c r="V133" s="277">
        <f ca="1">DSUM($B$117:$Z$125,V$132,$C$132:$D133)</f>
        <v>2.1078766873808821</v>
      </c>
      <c r="W133" s="277">
        <f ca="1">DSUM($B$117:$Z$125,W$132,$C$132:$D133)</f>
        <v>2.1032289736999283</v>
      </c>
      <c r="X133" s="277">
        <f ca="1">DSUM($B$117:$Z$125,X$132,$C$132:$D133)</f>
        <v>2.098103465956386</v>
      </c>
      <c r="Y133" s="277"/>
      <c r="Z133" s="198">
        <f ca="1">DSUM($B$117:$Z$125,Z$117,$C$132:$D133)</f>
        <v>11.738298984992882</v>
      </c>
    </row>
    <row r="134" spans="1:26">
      <c r="A134" s="24"/>
      <c r="B134" s="24" t="s">
        <v>644</v>
      </c>
      <c r="C134" s="276" t="s">
        <v>716</v>
      </c>
      <c r="D134" s="276" t="s">
        <v>717</v>
      </c>
      <c r="E134" s="277">
        <f ca="1">DSUM($B$117:$Z$125,E$132,$C$132:$D134)</f>
        <v>4.8063109486317561</v>
      </c>
      <c r="F134" s="277">
        <f ca="1">DSUM($B$117:$Z$125,F$132,$C$132:$D134)</f>
        <v>8.5110622128834041</v>
      </c>
      <c r="G134" s="277">
        <f ca="1">DSUM($B$117:$Z$125,G$132,$C$132:$D134)</f>
        <v>11.361916818723241</v>
      </c>
      <c r="H134" s="277">
        <f ca="1">DSUM($B$117:$Z$125,H$132,$C$132:$D134)</f>
        <v>13.550878385434526</v>
      </c>
      <c r="I134" s="277">
        <f ca="1">DSUM($B$117:$Z$125,I$132,$C$132:$D134)</f>
        <v>15.226800418483165</v>
      </c>
      <c r="J134" s="277">
        <f ca="1">DSUM($B$117:$Z$125,J$132,$C$132:$D134)</f>
        <v>16.743617959460998</v>
      </c>
      <c r="K134" s="277">
        <f ca="1">DSUM($B$117:$Z$125,K$132,$C$132:$D134)</f>
        <v>17.654898908368128</v>
      </c>
      <c r="L134" s="277">
        <f ca="1">DSUM($B$117:$Z$125,L$132,$C$132:$D134)</f>
        <v>18.341894359085686</v>
      </c>
      <c r="M134" s="277">
        <f ca="1">DSUM($B$117:$Z$125,M$132,$C$132:$D134)</f>
        <v>18.869974696967827</v>
      </c>
      <c r="N134" s="277">
        <f ca="1">DSUM($B$117:$Z$125,N$132,$C$132:$D134)</f>
        <v>19.243113157941256</v>
      </c>
      <c r="O134" s="277">
        <f ca="1">DSUM($B$117:$Z$125,O$132,$C$132:$D134)</f>
        <v>19.517763715084183</v>
      </c>
      <c r="P134" s="277">
        <f ca="1">DSUM($B$117:$Z$125,P$132,$C$132:$D134)</f>
        <v>19.721874049033438</v>
      </c>
      <c r="Q134" s="277">
        <f ca="1">DSUM($B$117:$Z$125,Q$132,$C$132:$D134)</f>
        <v>19.85410437714674</v>
      </c>
      <c r="R134" s="277">
        <f ca="1">DSUM($B$117:$Z$125,R$132,$C$132:$D134)</f>
        <v>19.940833396156464</v>
      </c>
      <c r="S134" s="277">
        <f ca="1">DSUM($B$117:$Z$125,S$132,$C$132:$D134)</f>
        <v>19.98810042875337</v>
      </c>
      <c r="T134" s="277">
        <f ca="1">DSUM($B$117:$Z$125,T$132,$C$132:$D134)</f>
        <v>20.005053035146098</v>
      </c>
      <c r="U134" s="277">
        <f ca="1">DSUM($B$117:$Z$125,U$132,$C$132:$D134)</f>
        <v>20.002388714917487</v>
      </c>
      <c r="V134" s="277">
        <f ca="1">DSUM($B$117:$Z$125,V$132,$C$132:$D134)</f>
        <v>19.979630913913283</v>
      </c>
      <c r="W134" s="277">
        <f ca="1">DSUM($B$117:$Z$125,W$132,$C$132:$D134)</f>
        <v>19.935577291376955</v>
      </c>
      <c r="X134" s="277">
        <f ca="1">DSUM($B$117:$Z$125,X$132,$C$132:$D134)</f>
        <v>19.886994870225163</v>
      </c>
      <c r="Y134" s="277"/>
      <c r="Z134" s="198">
        <f ca="1">DSUM($B$117:$Z$125,Z$117,$C$132:$D134)</f>
        <v>126.15931523421077</v>
      </c>
    </row>
    <row r="135" spans="1:26">
      <c r="A135" s="24"/>
      <c r="B135" s="24" t="s">
        <v>645</v>
      </c>
      <c r="C135" s="276" t="s">
        <v>718</v>
      </c>
      <c r="D135" s="276" t="s">
        <v>719</v>
      </c>
      <c r="E135" s="277">
        <f ca="1">DSUM($B$117:$Z$125,E$132,$C$132:$D135)</f>
        <v>4.8063109486317561</v>
      </c>
      <c r="F135" s="277">
        <f ca="1">DSUM($B$117:$Z$125,F$132,$C$132:$D135)</f>
        <v>8.5110622128834041</v>
      </c>
      <c r="G135" s="277">
        <f ca="1">DSUM($B$117:$Z$125,G$132,$C$132:$D135)</f>
        <v>11.361916818723241</v>
      </c>
      <c r="H135" s="277">
        <f ca="1">DSUM($B$117:$Z$125,H$132,$C$132:$D135)</f>
        <v>13.550878385434526</v>
      </c>
      <c r="I135" s="277">
        <f ca="1">DSUM($B$117:$Z$125,I$132,$C$132:$D135)</f>
        <v>15.226800418483165</v>
      </c>
      <c r="J135" s="277">
        <f ca="1">DSUM($B$117:$Z$125,J$132,$C$132:$D135)</f>
        <v>16.743617959460998</v>
      </c>
      <c r="K135" s="277">
        <f ca="1">DSUM($B$117:$Z$125,K$132,$C$132:$D135)</f>
        <v>17.654898908368128</v>
      </c>
      <c r="L135" s="277">
        <f ca="1">DSUM($B$117:$Z$125,L$132,$C$132:$D135)</f>
        <v>18.341894359085686</v>
      </c>
      <c r="M135" s="277">
        <f ca="1">DSUM($B$117:$Z$125,M$132,$C$132:$D135)</f>
        <v>18.869974696967827</v>
      </c>
      <c r="N135" s="277">
        <f ca="1">DSUM($B$117:$Z$125,N$132,$C$132:$D135)</f>
        <v>19.243113157941256</v>
      </c>
      <c r="O135" s="277">
        <f ca="1">DSUM($B$117:$Z$125,O$132,$C$132:$D135)</f>
        <v>19.517763715084183</v>
      </c>
      <c r="P135" s="277">
        <f ca="1">DSUM($B$117:$Z$125,P$132,$C$132:$D135)</f>
        <v>19.721874049033438</v>
      </c>
      <c r="Q135" s="277">
        <f ca="1">DSUM($B$117:$Z$125,Q$132,$C$132:$D135)</f>
        <v>19.85410437714674</v>
      </c>
      <c r="R135" s="277">
        <f ca="1">DSUM($B$117:$Z$125,R$132,$C$132:$D135)</f>
        <v>19.940833396156464</v>
      </c>
      <c r="S135" s="277">
        <f ca="1">DSUM($B$117:$Z$125,S$132,$C$132:$D135)</f>
        <v>19.98810042875337</v>
      </c>
      <c r="T135" s="277">
        <f ca="1">DSUM($B$117:$Z$125,T$132,$C$132:$D135)</f>
        <v>20.005053035146098</v>
      </c>
      <c r="U135" s="277">
        <f ca="1">DSUM($B$117:$Z$125,U$132,$C$132:$D135)</f>
        <v>20.002388714917487</v>
      </c>
      <c r="V135" s="277">
        <f ca="1">DSUM($B$117:$Z$125,V$132,$C$132:$D135)</f>
        <v>19.979630913913283</v>
      </c>
      <c r="W135" s="277">
        <f ca="1">DSUM($B$117:$Z$125,W$132,$C$132:$D135)</f>
        <v>19.935577291376955</v>
      </c>
      <c r="X135" s="277">
        <f ca="1">DSUM($B$117:$Z$125,X$132,$C$132:$D135)</f>
        <v>19.886994870225163</v>
      </c>
      <c r="Y135" s="277"/>
      <c r="Z135" s="198">
        <f ca="1">DSUM($B$117:$Z$125,Z$117,$C$132:$D135)</f>
        <v>126.15931523421077</v>
      </c>
    </row>
    <row r="136" spans="1:26">
      <c r="A136" s="24"/>
      <c r="B136" s="24" t="s">
        <v>646</v>
      </c>
      <c r="C136" s="276" t="s">
        <v>720</v>
      </c>
      <c r="D136" s="276" t="s">
        <v>721</v>
      </c>
      <c r="E136" s="277">
        <f ca="1">DSUM($B$117:$Z$125,E$132,$C$132:$D136)</f>
        <v>4.8063109486317561</v>
      </c>
      <c r="F136" s="277">
        <f ca="1">DSUM($B$117:$Z$125,F$132,$C$132:$D136)</f>
        <v>8.5110622128834041</v>
      </c>
      <c r="G136" s="277">
        <f ca="1">DSUM($B$117:$Z$125,G$132,$C$132:$D136)</f>
        <v>11.361916818723241</v>
      </c>
      <c r="H136" s="277">
        <f ca="1">DSUM($B$117:$Z$125,H$132,$C$132:$D136)</f>
        <v>13.550878385434526</v>
      </c>
      <c r="I136" s="277">
        <f ca="1">DSUM($B$117:$Z$125,I$132,$C$132:$D136)</f>
        <v>15.226800418483165</v>
      </c>
      <c r="J136" s="277">
        <f ca="1">DSUM($B$117:$Z$125,J$132,$C$132:$D136)</f>
        <v>16.743617959460998</v>
      </c>
      <c r="K136" s="277">
        <f ca="1">DSUM($B$117:$Z$125,K$132,$C$132:$D136)</f>
        <v>17.654898908368128</v>
      </c>
      <c r="L136" s="277">
        <f ca="1">DSUM($B$117:$Z$125,L$132,$C$132:$D136)</f>
        <v>18.341894359085686</v>
      </c>
      <c r="M136" s="277">
        <f ca="1">DSUM($B$117:$Z$125,M$132,$C$132:$D136)</f>
        <v>18.869974696967827</v>
      </c>
      <c r="N136" s="277">
        <f ca="1">DSUM($B$117:$Z$125,N$132,$C$132:$D136)</f>
        <v>19.243113157941256</v>
      </c>
      <c r="O136" s="277">
        <f ca="1">DSUM($B$117:$Z$125,O$132,$C$132:$D136)</f>
        <v>19.517763715084183</v>
      </c>
      <c r="P136" s="277">
        <f ca="1">DSUM($B$117:$Z$125,P$132,$C$132:$D136)</f>
        <v>19.721874049033438</v>
      </c>
      <c r="Q136" s="277">
        <f ca="1">DSUM($B$117:$Z$125,Q$132,$C$132:$D136)</f>
        <v>19.85410437714674</v>
      </c>
      <c r="R136" s="277">
        <f ca="1">DSUM($B$117:$Z$125,R$132,$C$132:$D136)</f>
        <v>19.940833396156464</v>
      </c>
      <c r="S136" s="277">
        <f ca="1">DSUM($B$117:$Z$125,S$132,$C$132:$D136)</f>
        <v>19.98810042875337</v>
      </c>
      <c r="T136" s="277">
        <f ca="1">DSUM($B$117:$Z$125,T$132,$C$132:$D136)</f>
        <v>20.005053035146098</v>
      </c>
      <c r="U136" s="277">
        <f ca="1">DSUM($B$117:$Z$125,U$132,$C$132:$D136)</f>
        <v>20.002388714917487</v>
      </c>
      <c r="V136" s="277">
        <f ca="1">DSUM($B$117:$Z$125,V$132,$C$132:$D136)</f>
        <v>19.979630913913283</v>
      </c>
      <c r="W136" s="277">
        <f ca="1">DSUM($B$117:$Z$125,W$132,$C$132:$D136)</f>
        <v>19.935577291376955</v>
      </c>
      <c r="X136" s="277">
        <f ca="1">DSUM($B$117:$Z$125,X$132,$C$132:$D136)</f>
        <v>19.886994870225163</v>
      </c>
      <c r="Y136" s="277"/>
      <c r="Z136" s="198">
        <f ca="1">DSUM($B$117:$Z$125,Z$117,$C$132:$D136)</f>
        <v>126.15931523421077</v>
      </c>
    </row>
    <row r="137" spans="1:26">
      <c r="A137" s="24"/>
      <c r="B137" s="24" t="s">
        <v>647</v>
      </c>
      <c r="C137" s="276" t="s">
        <v>722</v>
      </c>
      <c r="D137" s="276" t="s">
        <v>723</v>
      </c>
      <c r="E137" s="277">
        <f ca="1">DSUM($B$117:$Z$125,E$132,$C$132:$D137)</f>
        <v>4.8063109486317561</v>
      </c>
      <c r="F137" s="277">
        <f ca="1">DSUM($B$117:$Z$125,F$132,$C$132:$D137)</f>
        <v>8.5110622128834041</v>
      </c>
      <c r="G137" s="277">
        <f ca="1">DSUM($B$117:$Z$125,G$132,$C$132:$D137)</f>
        <v>11.361916818723241</v>
      </c>
      <c r="H137" s="277">
        <f ca="1">DSUM($B$117:$Z$125,H$132,$C$132:$D137)</f>
        <v>13.550878385434526</v>
      </c>
      <c r="I137" s="277">
        <f ca="1">DSUM($B$117:$Z$125,I$132,$C$132:$D137)</f>
        <v>15.226800418483165</v>
      </c>
      <c r="J137" s="277">
        <f ca="1">DSUM($B$117:$Z$125,J$132,$C$132:$D137)</f>
        <v>16.743617959460998</v>
      </c>
      <c r="K137" s="277">
        <f ca="1">DSUM($B$117:$Z$125,K$132,$C$132:$D137)</f>
        <v>17.654898908368128</v>
      </c>
      <c r="L137" s="277">
        <f ca="1">DSUM($B$117:$Z$125,L$132,$C$132:$D137)</f>
        <v>18.341894359085686</v>
      </c>
      <c r="M137" s="277">
        <f ca="1">DSUM($B$117:$Z$125,M$132,$C$132:$D137)</f>
        <v>18.869974696967827</v>
      </c>
      <c r="N137" s="277">
        <f ca="1">DSUM($B$117:$Z$125,N$132,$C$132:$D137)</f>
        <v>19.243113157941256</v>
      </c>
      <c r="O137" s="277">
        <f ca="1">DSUM($B$117:$Z$125,O$132,$C$132:$D137)</f>
        <v>19.517763715084183</v>
      </c>
      <c r="P137" s="277">
        <f ca="1">DSUM($B$117:$Z$125,P$132,$C$132:$D137)</f>
        <v>19.721874049033438</v>
      </c>
      <c r="Q137" s="277">
        <f ca="1">DSUM($B$117:$Z$125,Q$132,$C$132:$D137)</f>
        <v>19.85410437714674</v>
      </c>
      <c r="R137" s="277">
        <f ca="1">DSUM($B$117:$Z$125,R$132,$C$132:$D137)</f>
        <v>19.940833396156464</v>
      </c>
      <c r="S137" s="277">
        <f ca="1">DSUM($B$117:$Z$125,S$132,$C$132:$D137)</f>
        <v>19.98810042875337</v>
      </c>
      <c r="T137" s="277">
        <f ca="1">DSUM($B$117:$Z$125,T$132,$C$132:$D137)</f>
        <v>20.005053035146098</v>
      </c>
      <c r="U137" s="277">
        <f ca="1">DSUM($B$117:$Z$125,U$132,$C$132:$D137)</f>
        <v>20.002388714917487</v>
      </c>
      <c r="V137" s="277">
        <f ca="1">DSUM($B$117:$Z$125,V$132,$C$132:$D137)</f>
        <v>19.979630913913283</v>
      </c>
      <c r="W137" s="277">
        <f ca="1">DSUM($B$117:$Z$125,W$132,$C$132:$D137)</f>
        <v>19.935577291376955</v>
      </c>
      <c r="X137" s="277">
        <f ca="1">DSUM($B$117:$Z$125,X$132,$C$132:$D137)</f>
        <v>19.886994870225163</v>
      </c>
      <c r="Y137" s="277"/>
      <c r="Z137" s="198">
        <f ca="1">DSUM($B$117:$Z$125,Z$117,$C$132:$D137)</f>
        <v>126.15931523421077</v>
      </c>
    </row>
    <row r="138" spans="1:26">
      <c r="A138" s="24"/>
      <c r="B138" s="24" t="s">
        <v>648</v>
      </c>
      <c r="C138" s="276" t="s">
        <v>724</v>
      </c>
      <c r="D138" s="276" t="s">
        <v>725</v>
      </c>
      <c r="E138" s="277">
        <f ca="1">DSUM($B$117:$Z$125,E$132,$C$132:$D138)</f>
        <v>4.8063109486317561</v>
      </c>
      <c r="F138" s="277">
        <f ca="1">DSUM($B$117:$Z$125,F$132,$C$132:$D138)</f>
        <v>8.5110622128834041</v>
      </c>
      <c r="G138" s="277">
        <f ca="1">DSUM($B$117:$Z$125,G$132,$C$132:$D138)</f>
        <v>11.361916818723241</v>
      </c>
      <c r="H138" s="277">
        <f ca="1">DSUM($B$117:$Z$125,H$132,$C$132:$D138)</f>
        <v>13.550878385434526</v>
      </c>
      <c r="I138" s="277">
        <f ca="1">DSUM($B$117:$Z$125,I$132,$C$132:$D138)</f>
        <v>15.226800418483165</v>
      </c>
      <c r="J138" s="277">
        <f ca="1">DSUM($B$117:$Z$125,J$132,$C$132:$D138)</f>
        <v>16.743617959460998</v>
      </c>
      <c r="K138" s="277">
        <f ca="1">DSUM($B$117:$Z$125,K$132,$C$132:$D138)</f>
        <v>17.654898908368128</v>
      </c>
      <c r="L138" s="277">
        <f ca="1">DSUM($B$117:$Z$125,L$132,$C$132:$D138)</f>
        <v>18.341894359085686</v>
      </c>
      <c r="M138" s="277">
        <f ca="1">DSUM($B$117:$Z$125,M$132,$C$132:$D138)</f>
        <v>18.869974696967827</v>
      </c>
      <c r="N138" s="277">
        <f ca="1">DSUM($B$117:$Z$125,N$132,$C$132:$D138)</f>
        <v>19.243113157941256</v>
      </c>
      <c r="O138" s="277">
        <f ca="1">DSUM($B$117:$Z$125,O$132,$C$132:$D138)</f>
        <v>19.517763715084183</v>
      </c>
      <c r="P138" s="277">
        <f ca="1">DSUM($B$117:$Z$125,P$132,$C$132:$D138)</f>
        <v>19.721874049033438</v>
      </c>
      <c r="Q138" s="277">
        <f ca="1">DSUM($B$117:$Z$125,Q$132,$C$132:$D138)</f>
        <v>19.85410437714674</v>
      </c>
      <c r="R138" s="277">
        <f ca="1">DSUM($B$117:$Z$125,R$132,$C$132:$D138)</f>
        <v>19.940833396156464</v>
      </c>
      <c r="S138" s="277">
        <f ca="1">DSUM($B$117:$Z$125,S$132,$C$132:$D138)</f>
        <v>19.98810042875337</v>
      </c>
      <c r="T138" s="277">
        <f ca="1">DSUM($B$117:$Z$125,T$132,$C$132:$D138)</f>
        <v>20.005053035146098</v>
      </c>
      <c r="U138" s="277">
        <f ca="1">DSUM($B$117:$Z$125,U$132,$C$132:$D138)</f>
        <v>20.002388714917487</v>
      </c>
      <c r="V138" s="277">
        <f ca="1">DSUM($B$117:$Z$125,V$132,$C$132:$D138)</f>
        <v>19.979630913913283</v>
      </c>
      <c r="W138" s="277">
        <f ca="1">DSUM($B$117:$Z$125,W$132,$C$132:$D138)</f>
        <v>19.935577291376955</v>
      </c>
      <c r="X138" s="277">
        <f ca="1">DSUM($B$117:$Z$125,X$132,$C$132:$D138)</f>
        <v>19.886994870225163</v>
      </c>
      <c r="Y138" s="277"/>
      <c r="Z138" s="198">
        <f ca="1">DSUM($B$117:$Z$125,Z$117,$C$132:$D138)</f>
        <v>126.15931523421077</v>
      </c>
    </row>
    <row r="139" spans="1:26">
      <c r="A139" s="24"/>
      <c r="B139" s="24" t="s">
        <v>649</v>
      </c>
      <c r="C139" s="276" t="s">
        <v>726</v>
      </c>
      <c r="D139" s="276" t="s">
        <v>727</v>
      </c>
      <c r="E139" s="277">
        <f ca="1">DSUM($B$117:$Z$125,E$132,$C$132:$D139)</f>
        <v>4.8063109486317561</v>
      </c>
      <c r="F139" s="277">
        <f ca="1">DSUM($B$117:$Z$125,F$132,$C$132:$D139)</f>
        <v>8.5110622128834041</v>
      </c>
      <c r="G139" s="277">
        <f ca="1">DSUM($B$117:$Z$125,G$132,$C$132:$D139)</f>
        <v>11.361916818723241</v>
      </c>
      <c r="H139" s="277">
        <f ca="1">DSUM($B$117:$Z$125,H$132,$C$132:$D139)</f>
        <v>13.550878385434526</v>
      </c>
      <c r="I139" s="277">
        <f ca="1">DSUM($B$117:$Z$125,I$132,$C$132:$D139)</f>
        <v>15.226800418483165</v>
      </c>
      <c r="J139" s="277">
        <f ca="1">DSUM($B$117:$Z$125,J$132,$C$132:$D139)</f>
        <v>16.743617959460998</v>
      </c>
      <c r="K139" s="277">
        <f ca="1">DSUM($B$117:$Z$125,K$132,$C$132:$D139)</f>
        <v>17.654898908368128</v>
      </c>
      <c r="L139" s="277">
        <f ca="1">DSUM($B$117:$Z$125,L$132,$C$132:$D139)</f>
        <v>18.341894359085686</v>
      </c>
      <c r="M139" s="277">
        <f ca="1">DSUM($B$117:$Z$125,M$132,$C$132:$D139)</f>
        <v>18.869974696967827</v>
      </c>
      <c r="N139" s="277">
        <f ca="1">DSUM($B$117:$Z$125,N$132,$C$132:$D139)</f>
        <v>19.243113157941256</v>
      </c>
      <c r="O139" s="277">
        <f ca="1">DSUM($B$117:$Z$125,O$132,$C$132:$D139)</f>
        <v>19.517763715084183</v>
      </c>
      <c r="P139" s="277">
        <f ca="1">DSUM($B$117:$Z$125,P$132,$C$132:$D139)</f>
        <v>19.721874049033438</v>
      </c>
      <c r="Q139" s="277">
        <f ca="1">DSUM($B$117:$Z$125,Q$132,$C$132:$D139)</f>
        <v>19.85410437714674</v>
      </c>
      <c r="R139" s="277">
        <f ca="1">DSUM($B$117:$Z$125,R$132,$C$132:$D139)</f>
        <v>19.940833396156464</v>
      </c>
      <c r="S139" s="277">
        <f ca="1">DSUM($B$117:$Z$125,S$132,$C$132:$D139)</f>
        <v>19.98810042875337</v>
      </c>
      <c r="T139" s="277">
        <f ca="1">DSUM($B$117:$Z$125,T$132,$C$132:$D139)</f>
        <v>20.005053035146098</v>
      </c>
      <c r="U139" s="277">
        <f ca="1">DSUM($B$117:$Z$125,U$132,$C$132:$D139)</f>
        <v>20.002388714917487</v>
      </c>
      <c r="V139" s="277">
        <f ca="1">DSUM($B$117:$Z$125,V$132,$C$132:$D139)</f>
        <v>19.979630913913283</v>
      </c>
      <c r="W139" s="277">
        <f ca="1">DSUM($B$117:$Z$125,W$132,$C$132:$D139)</f>
        <v>19.935577291376955</v>
      </c>
      <c r="X139" s="277">
        <f ca="1">DSUM($B$117:$Z$125,X$132,$C$132:$D139)</f>
        <v>19.886994870225163</v>
      </c>
      <c r="Y139" s="277"/>
      <c r="Z139" s="198">
        <f ca="1">DSUM($B$117:$Z$125,Z$117,$C$132:$D139)</f>
        <v>126.15931523421077</v>
      </c>
    </row>
    <row r="140" spans="1:26">
      <c r="A140" s="24"/>
      <c r="B140" s="24" t="s">
        <v>650</v>
      </c>
      <c r="C140" s="276" t="s">
        <v>728</v>
      </c>
      <c r="D140" s="276" t="s">
        <v>729</v>
      </c>
      <c r="E140" s="277">
        <f ca="1">DSUM($B$117:$Z$125,E$132,$C$132:$D140)</f>
        <v>4.8063109486317561</v>
      </c>
      <c r="F140" s="277">
        <f ca="1">DSUM($B$117:$Z$125,F$132,$C$132:$D140)</f>
        <v>8.5110622128834041</v>
      </c>
      <c r="G140" s="277">
        <f ca="1">DSUM($B$117:$Z$125,G$132,$C$132:$D140)</f>
        <v>11.361916818723241</v>
      </c>
      <c r="H140" s="277">
        <f ca="1">DSUM($B$117:$Z$125,H$132,$C$132:$D140)</f>
        <v>13.550878385434526</v>
      </c>
      <c r="I140" s="277">
        <f ca="1">DSUM($B$117:$Z$125,I$132,$C$132:$D140)</f>
        <v>15.226800418483165</v>
      </c>
      <c r="J140" s="277">
        <f ca="1">DSUM($B$117:$Z$125,J$132,$C$132:$D140)</f>
        <v>16.743617959460998</v>
      </c>
      <c r="K140" s="277">
        <f ca="1">DSUM($B$117:$Z$125,K$132,$C$132:$D140)</f>
        <v>17.654898908368128</v>
      </c>
      <c r="L140" s="277">
        <f ca="1">DSUM($B$117:$Z$125,L$132,$C$132:$D140)</f>
        <v>18.341894359085686</v>
      </c>
      <c r="M140" s="277">
        <f ca="1">DSUM($B$117:$Z$125,M$132,$C$132:$D140)</f>
        <v>18.869974696967827</v>
      </c>
      <c r="N140" s="277">
        <f ca="1">DSUM($B$117:$Z$125,N$132,$C$132:$D140)</f>
        <v>19.243113157941256</v>
      </c>
      <c r="O140" s="277">
        <f ca="1">DSUM($B$117:$Z$125,O$132,$C$132:$D140)</f>
        <v>19.517763715084183</v>
      </c>
      <c r="P140" s="277">
        <f ca="1">DSUM($B$117:$Z$125,P$132,$C$132:$D140)</f>
        <v>19.721874049033438</v>
      </c>
      <c r="Q140" s="277">
        <f ca="1">DSUM($B$117:$Z$125,Q$132,$C$132:$D140)</f>
        <v>19.85410437714674</v>
      </c>
      <c r="R140" s="277">
        <f ca="1">DSUM($B$117:$Z$125,R$132,$C$132:$D140)</f>
        <v>19.940833396156464</v>
      </c>
      <c r="S140" s="277">
        <f ca="1">DSUM($B$117:$Z$125,S$132,$C$132:$D140)</f>
        <v>19.98810042875337</v>
      </c>
      <c r="T140" s="277">
        <f ca="1">DSUM($B$117:$Z$125,T$132,$C$132:$D140)</f>
        <v>20.005053035146098</v>
      </c>
      <c r="U140" s="277">
        <f ca="1">DSUM($B$117:$Z$125,U$132,$C$132:$D140)</f>
        <v>20.002388714917487</v>
      </c>
      <c r="V140" s="277">
        <f ca="1">DSUM($B$117:$Z$125,V$132,$C$132:$D140)</f>
        <v>19.979630913913283</v>
      </c>
      <c r="W140" s="277">
        <f ca="1">DSUM($B$117:$Z$125,W$132,$C$132:$D140)</f>
        <v>19.935577291376955</v>
      </c>
      <c r="X140" s="277">
        <f ca="1">DSUM($B$117:$Z$125,X$132,$C$132:$D140)</f>
        <v>19.886994870225163</v>
      </c>
      <c r="Y140" s="277"/>
      <c r="Z140" s="198">
        <f ca="1">DSUM($B$117:$Z$125,Z$117,$C$132:$D140)</f>
        <v>126.15931523421077</v>
      </c>
    </row>
    <row r="141" spans="1:26">
      <c r="A141" s="24"/>
      <c r="B141" s="24" t="s">
        <v>651</v>
      </c>
      <c r="C141" s="276" t="s">
        <v>730</v>
      </c>
      <c r="D141" s="276" t="s">
        <v>731</v>
      </c>
      <c r="E141" s="277">
        <f ca="1">DSUM($B$117:$Z$125,E$132,$C$132:$D141)</f>
        <v>4.8063109486317561</v>
      </c>
      <c r="F141" s="277">
        <f ca="1">DSUM($B$117:$Z$125,F$132,$C$132:$D141)</f>
        <v>8.5110622128834041</v>
      </c>
      <c r="G141" s="277">
        <f ca="1">DSUM($B$117:$Z$125,G$132,$C$132:$D141)</f>
        <v>11.361916818723241</v>
      </c>
      <c r="H141" s="277">
        <f ca="1">DSUM($B$117:$Z$125,H$132,$C$132:$D141)</f>
        <v>13.550878385434526</v>
      </c>
      <c r="I141" s="277">
        <f ca="1">DSUM($B$117:$Z$125,I$132,$C$132:$D141)</f>
        <v>15.226800418483165</v>
      </c>
      <c r="J141" s="277">
        <f ca="1">DSUM($B$117:$Z$125,J$132,$C$132:$D141)</f>
        <v>16.743617959460998</v>
      </c>
      <c r="K141" s="277">
        <f ca="1">DSUM($B$117:$Z$125,K$132,$C$132:$D141)</f>
        <v>17.654898908368128</v>
      </c>
      <c r="L141" s="277">
        <f ca="1">DSUM($B$117:$Z$125,L$132,$C$132:$D141)</f>
        <v>18.341894359085686</v>
      </c>
      <c r="M141" s="277">
        <f ca="1">DSUM($B$117:$Z$125,M$132,$C$132:$D141)</f>
        <v>18.869974696967827</v>
      </c>
      <c r="N141" s="277">
        <f ca="1">DSUM($B$117:$Z$125,N$132,$C$132:$D141)</f>
        <v>19.243113157941256</v>
      </c>
      <c r="O141" s="277">
        <f ca="1">DSUM($B$117:$Z$125,O$132,$C$132:$D141)</f>
        <v>19.517763715084183</v>
      </c>
      <c r="P141" s="277">
        <f ca="1">DSUM($B$117:$Z$125,P$132,$C$132:$D141)</f>
        <v>19.721874049033438</v>
      </c>
      <c r="Q141" s="277">
        <f ca="1">DSUM($B$117:$Z$125,Q$132,$C$132:$D141)</f>
        <v>19.85410437714674</v>
      </c>
      <c r="R141" s="277">
        <f ca="1">DSUM($B$117:$Z$125,R$132,$C$132:$D141)</f>
        <v>19.940833396156464</v>
      </c>
      <c r="S141" s="277">
        <f ca="1">DSUM($B$117:$Z$125,S$132,$C$132:$D141)</f>
        <v>19.98810042875337</v>
      </c>
      <c r="T141" s="277">
        <f ca="1">DSUM($B$117:$Z$125,T$132,$C$132:$D141)</f>
        <v>20.005053035146098</v>
      </c>
      <c r="U141" s="277">
        <f ca="1">DSUM($B$117:$Z$125,U$132,$C$132:$D141)</f>
        <v>20.002388714917487</v>
      </c>
      <c r="V141" s="277">
        <f ca="1">DSUM($B$117:$Z$125,V$132,$C$132:$D141)</f>
        <v>19.979630913913283</v>
      </c>
      <c r="W141" s="277">
        <f ca="1">DSUM($B$117:$Z$125,W$132,$C$132:$D141)</f>
        <v>19.935577291376955</v>
      </c>
      <c r="X141" s="277">
        <f ca="1">DSUM($B$117:$Z$125,X$132,$C$132:$D141)</f>
        <v>19.886994870225163</v>
      </c>
      <c r="Y141" s="277"/>
      <c r="Z141" s="198">
        <f ca="1">DSUM($B$117:$Z$125,Z$117,$C$132:$D141)</f>
        <v>126.15931523421077</v>
      </c>
    </row>
    <row r="142" spans="1:26">
      <c r="A142" s="24"/>
      <c r="B142" s="24" t="s">
        <v>652</v>
      </c>
      <c r="C142" s="276" t="s">
        <v>732</v>
      </c>
      <c r="D142" s="276" t="s">
        <v>733</v>
      </c>
      <c r="E142" s="277">
        <f ca="1">DSUM($B$117:$Z$125,E$132,$C$132:$D142)</f>
        <v>4.8063109486317561</v>
      </c>
      <c r="F142" s="277">
        <f ca="1">DSUM($B$117:$Z$125,F$132,$C$132:$D142)</f>
        <v>8.5110622128834041</v>
      </c>
      <c r="G142" s="277">
        <f ca="1">DSUM($B$117:$Z$125,G$132,$C$132:$D142)</f>
        <v>11.361916818723241</v>
      </c>
      <c r="H142" s="277">
        <f ca="1">DSUM($B$117:$Z$125,H$132,$C$132:$D142)</f>
        <v>13.550878385434526</v>
      </c>
      <c r="I142" s="277">
        <f ca="1">DSUM($B$117:$Z$125,I$132,$C$132:$D142)</f>
        <v>15.226800418483165</v>
      </c>
      <c r="J142" s="277">
        <f ca="1">DSUM($B$117:$Z$125,J$132,$C$132:$D142)</f>
        <v>16.743617959460998</v>
      </c>
      <c r="K142" s="277">
        <f ca="1">DSUM($B$117:$Z$125,K$132,$C$132:$D142)</f>
        <v>17.654898908368128</v>
      </c>
      <c r="L142" s="277">
        <f ca="1">DSUM($B$117:$Z$125,L$132,$C$132:$D142)</f>
        <v>18.341894359085686</v>
      </c>
      <c r="M142" s="277">
        <f ca="1">DSUM($B$117:$Z$125,M$132,$C$132:$D142)</f>
        <v>18.869974696967827</v>
      </c>
      <c r="N142" s="277">
        <f ca="1">DSUM($B$117:$Z$125,N$132,$C$132:$D142)</f>
        <v>19.243113157941256</v>
      </c>
      <c r="O142" s="277">
        <f ca="1">DSUM($B$117:$Z$125,O$132,$C$132:$D142)</f>
        <v>19.517763715084183</v>
      </c>
      <c r="P142" s="277">
        <f ca="1">DSUM($B$117:$Z$125,P$132,$C$132:$D142)</f>
        <v>19.721874049033438</v>
      </c>
      <c r="Q142" s="277">
        <f ca="1">DSUM($B$117:$Z$125,Q$132,$C$132:$D142)</f>
        <v>19.85410437714674</v>
      </c>
      <c r="R142" s="277">
        <f ca="1">DSUM($B$117:$Z$125,R$132,$C$132:$D142)</f>
        <v>19.940833396156464</v>
      </c>
      <c r="S142" s="277">
        <f ca="1">DSUM($B$117:$Z$125,S$132,$C$132:$D142)</f>
        <v>19.98810042875337</v>
      </c>
      <c r="T142" s="277">
        <f ca="1">DSUM($B$117:$Z$125,T$132,$C$132:$D142)</f>
        <v>20.005053035146098</v>
      </c>
      <c r="U142" s="277">
        <f ca="1">DSUM($B$117:$Z$125,U$132,$C$132:$D142)</f>
        <v>20.002388714917487</v>
      </c>
      <c r="V142" s="277">
        <f ca="1">DSUM($B$117:$Z$125,V$132,$C$132:$D142)</f>
        <v>19.979630913913283</v>
      </c>
      <c r="W142" s="277">
        <f ca="1">DSUM($B$117:$Z$125,W$132,$C$132:$D142)</f>
        <v>19.935577291376955</v>
      </c>
      <c r="X142" s="277">
        <f ca="1">DSUM($B$117:$Z$125,X$132,$C$132:$D142)</f>
        <v>19.886994870225163</v>
      </c>
      <c r="Y142" s="277"/>
      <c r="Z142" s="198">
        <f ca="1">DSUM($B$117:$Z$125,Z$117,$C$132:$D142)</f>
        <v>126.15931523421077</v>
      </c>
    </row>
    <row r="143" spans="1:26">
      <c r="A143" s="24"/>
      <c r="B143" s="24" t="s">
        <v>653</v>
      </c>
      <c r="C143" s="276" t="s">
        <v>734</v>
      </c>
      <c r="D143" s="276" t="s">
        <v>735</v>
      </c>
      <c r="E143" s="277">
        <f ca="1">DSUM($B$117:$Z$125,E$132,$C$132:$D143)</f>
        <v>4.8063109486317561</v>
      </c>
      <c r="F143" s="277">
        <f ca="1">DSUM($B$117:$Z$125,F$132,$C$132:$D143)</f>
        <v>8.5110622128834041</v>
      </c>
      <c r="G143" s="277">
        <f ca="1">DSUM($B$117:$Z$125,G$132,$C$132:$D143)</f>
        <v>11.361916818723241</v>
      </c>
      <c r="H143" s="277">
        <f ca="1">DSUM($B$117:$Z$125,H$132,$C$132:$D143)</f>
        <v>13.550878385434526</v>
      </c>
      <c r="I143" s="277">
        <f ca="1">DSUM($B$117:$Z$125,I$132,$C$132:$D143)</f>
        <v>15.226800418483165</v>
      </c>
      <c r="J143" s="277">
        <f ca="1">DSUM($B$117:$Z$125,J$132,$C$132:$D143)</f>
        <v>16.743617959460998</v>
      </c>
      <c r="K143" s="277">
        <f ca="1">DSUM($B$117:$Z$125,K$132,$C$132:$D143)</f>
        <v>17.654898908368128</v>
      </c>
      <c r="L143" s="277">
        <f ca="1">DSUM($B$117:$Z$125,L$132,$C$132:$D143)</f>
        <v>18.341894359085686</v>
      </c>
      <c r="M143" s="277">
        <f ca="1">DSUM($B$117:$Z$125,M$132,$C$132:$D143)</f>
        <v>18.869974696967827</v>
      </c>
      <c r="N143" s="277">
        <f ca="1">DSUM($B$117:$Z$125,N$132,$C$132:$D143)</f>
        <v>19.243113157941256</v>
      </c>
      <c r="O143" s="277">
        <f ca="1">DSUM($B$117:$Z$125,O$132,$C$132:$D143)</f>
        <v>19.517763715084183</v>
      </c>
      <c r="P143" s="277">
        <f ca="1">DSUM($B$117:$Z$125,P$132,$C$132:$D143)</f>
        <v>19.721874049033438</v>
      </c>
      <c r="Q143" s="277">
        <f ca="1">DSUM($B$117:$Z$125,Q$132,$C$132:$D143)</f>
        <v>19.85410437714674</v>
      </c>
      <c r="R143" s="277">
        <f ca="1">DSUM($B$117:$Z$125,R$132,$C$132:$D143)</f>
        <v>19.940833396156464</v>
      </c>
      <c r="S143" s="277">
        <f ca="1">DSUM($B$117:$Z$125,S$132,$C$132:$D143)</f>
        <v>19.98810042875337</v>
      </c>
      <c r="T143" s="277">
        <f ca="1">DSUM($B$117:$Z$125,T$132,$C$132:$D143)</f>
        <v>20.005053035146098</v>
      </c>
      <c r="U143" s="277">
        <f ca="1">DSUM($B$117:$Z$125,U$132,$C$132:$D143)</f>
        <v>20.002388714917487</v>
      </c>
      <c r="V143" s="277">
        <f ca="1">DSUM($B$117:$Z$125,V$132,$C$132:$D143)</f>
        <v>19.979630913913283</v>
      </c>
      <c r="W143" s="277">
        <f ca="1">DSUM($B$117:$Z$125,W$132,$C$132:$D143)</f>
        <v>19.935577291376955</v>
      </c>
      <c r="X143" s="277">
        <f ca="1">DSUM($B$117:$Z$125,X$132,$C$132:$D143)</f>
        <v>19.886994870225163</v>
      </c>
      <c r="Y143" s="277"/>
      <c r="Z143" s="198">
        <f ca="1">DSUM($B$117:$Z$125,Z$117,$C$132:$D143)</f>
        <v>126.15931523421077</v>
      </c>
    </row>
    <row r="144" spans="1:26">
      <c r="A144" s="24"/>
      <c r="B144" s="24" t="s">
        <v>654</v>
      </c>
      <c r="C144" s="276" t="s">
        <v>736</v>
      </c>
      <c r="D144" s="276" t="s">
        <v>737</v>
      </c>
      <c r="E144" s="277">
        <f ca="1">DSUM($B$117:$Z$125,E$132,$C$132:$D144)</f>
        <v>4.8063109486317561</v>
      </c>
      <c r="F144" s="277">
        <f ca="1">DSUM($B$117:$Z$125,F$132,$C$132:$D144)</f>
        <v>8.5110622128834041</v>
      </c>
      <c r="G144" s="277">
        <f ca="1">DSUM($B$117:$Z$125,G$132,$C$132:$D144)</f>
        <v>11.361916818723241</v>
      </c>
      <c r="H144" s="277">
        <f ca="1">DSUM($B$117:$Z$125,H$132,$C$132:$D144)</f>
        <v>13.550878385434526</v>
      </c>
      <c r="I144" s="277">
        <f ca="1">DSUM($B$117:$Z$125,I$132,$C$132:$D144)</f>
        <v>15.226800418483165</v>
      </c>
      <c r="J144" s="277">
        <f ca="1">DSUM($B$117:$Z$125,J$132,$C$132:$D144)</f>
        <v>16.743617959460998</v>
      </c>
      <c r="K144" s="277">
        <f ca="1">DSUM($B$117:$Z$125,K$132,$C$132:$D144)</f>
        <v>17.654898908368128</v>
      </c>
      <c r="L144" s="277">
        <f ca="1">DSUM($B$117:$Z$125,L$132,$C$132:$D144)</f>
        <v>18.341894359085686</v>
      </c>
      <c r="M144" s="277">
        <f ca="1">DSUM($B$117:$Z$125,M$132,$C$132:$D144)</f>
        <v>18.869974696967827</v>
      </c>
      <c r="N144" s="277">
        <f ca="1">DSUM($B$117:$Z$125,N$132,$C$132:$D144)</f>
        <v>19.243113157941256</v>
      </c>
      <c r="O144" s="277">
        <f ca="1">DSUM($B$117:$Z$125,O$132,$C$132:$D144)</f>
        <v>19.517763715084183</v>
      </c>
      <c r="P144" s="277">
        <f ca="1">DSUM($B$117:$Z$125,P$132,$C$132:$D144)</f>
        <v>19.721874049033438</v>
      </c>
      <c r="Q144" s="277">
        <f ca="1">DSUM($B$117:$Z$125,Q$132,$C$132:$D144)</f>
        <v>19.85410437714674</v>
      </c>
      <c r="R144" s="277">
        <f ca="1">DSUM($B$117:$Z$125,R$132,$C$132:$D144)</f>
        <v>19.940833396156464</v>
      </c>
      <c r="S144" s="277">
        <f ca="1">DSUM($B$117:$Z$125,S$132,$C$132:$D144)</f>
        <v>19.98810042875337</v>
      </c>
      <c r="T144" s="277">
        <f ca="1">DSUM($B$117:$Z$125,T$132,$C$132:$D144)</f>
        <v>20.005053035146098</v>
      </c>
      <c r="U144" s="277">
        <f ca="1">DSUM($B$117:$Z$125,U$132,$C$132:$D144)</f>
        <v>20.002388714917487</v>
      </c>
      <c r="V144" s="277">
        <f ca="1">DSUM($B$117:$Z$125,V$132,$C$132:$D144)</f>
        <v>19.979630913913283</v>
      </c>
      <c r="W144" s="277">
        <f ca="1">DSUM($B$117:$Z$125,W$132,$C$132:$D144)</f>
        <v>19.935577291376955</v>
      </c>
      <c r="X144" s="277">
        <f ca="1">DSUM($B$117:$Z$125,X$132,$C$132:$D144)</f>
        <v>19.886994870225163</v>
      </c>
      <c r="Y144" s="277"/>
      <c r="Z144" s="198">
        <f ca="1">DSUM($B$117:$Z$125,Z$117,$C$132:$D144)</f>
        <v>126.15931523421077</v>
      </c>
    </row>
    <row r="145" spans="1:26">
      <c r="A145" s="24"/>
      <c r="B145" s="24" t="s">
        <v>655</v>
      </c>
      <c r="C145" s="276" t="s">
        <v>738</v>
      </c>
      <c r="D145" s="276" t="s">
        <v>739</v>
      </c>
      <c r="E145" s="277">
        <f ca="1">DSUM($B$117:$Z$125,E$132,$C$132:$D145)</f>
        <v>4.8063109486317561</v>
      </c>
      <c r="F145" s="277">
        <f ca="1">DSUM($B$117:$Z$125,F$132,$C$132:$D145)</f>
        <v>8.5110622128834041</v>
      </c>
      <c r="G145" s="277">
        <f ca="1">DSUM($B$117:$Z$125,G$132,$C$132:$D145)</f>
        <v>11.361916818723241</v>
      </c>
      <c r="H145" s="277">
        <f ca="1">DSUM($B$117:$Z$125,H$132,$C$132:$D145)</f>
        <v>13.550878385434526</v>
      </c>
      <c r="I145" s="277">
        <f ca="1">DSUM($B$117:$Z$125,I$132,$C$132:$D145)</f>
        <v>15.226800418483165</v>
      </c>
      <c r="J145" s="277">
        <f ca="1">DSUM($B$117:$Z$125,J$132,$C$132:$D145)</f>
        <v>16.743617959460998</v>
      </c>
      <c r="K145" s="277">
        <f ca="1">DSUM($B$117:$Z$125,K$132,$C$132:$D145)</f>
        <v>17.654898908368128</v>
      </c>
      <c r="L145" s="277">
        <f ca="1">DSUM($B$117:$Z$125,L$132,$C$132:$D145)</f>
        <v>18.341894359085686</v>
      </c>
      <c r="M145" s="277">
        <f ca="1">DSUM($B$117:$Z$125,M$132,$C$132:$D145)</f>
        <v>18.869974696967827</v>
      </c>
      <c r="N145" s="277">
        <f ca="1">DSUM($B$117:$Z$125,N$132,$C$132:$D145)</f>
        <v>19.243113157941256</v>
      </c>
      <c r="O145" s="277">
        <f ca="1">DSUM($B$117:$Z$125,O$132,$C$132:$D145)</f>
        <v>19.517763715084183</v>
      </c>
      <c r="P145" s="277">
        <f ca="1">DSUM($B$117:$Z$125,P$132,$C$132:$D145)</f>
        <v>19.721874049033438</v>
      </c>
      <c r="Q145" s="277">
        <f ca="1">DSUM($B$117:$Z$125,Q$132,$C$132:$D145)</f>
        <v>19.85410437714674</v>
      </c>
      <c r="R145" s="277">
        <f ca="1">DSUM($B$117:$Z$125,R$132,$C$132:$D145)</f>
        <v>19.940833396156464</v>
      </c>
      <c r="S145" s="277">
        <f ca="1">DSUM($B$117:$Z$125,S$132,$C$132:$D145)</f>
        <v>19.98810042875337</v>
      </c>
      <c r="T145" s="277">
        <f ca="1">DSUM($B$117:$Z$125,T$132,$C$132:$D145)</f>
        <v>20.005053035146098</v>
      </c>
      <c r="U145" s="277">
        <f ca="1">DSUM($B$117:$Z$125,U$132,$C$132:$D145)</f>
        <v>20.002388714917487</v>
      </c>
      <c r="V145" s="277">
        <f ca="1">DSUM($B$117:$Z$125,V$132,$C$132:$D145)</f>
        <v>19.979630913913283</v>
      </c>
      <c r="W145" s="277">
        <f ca="1">DSUM($B$117:$Z$125,W$132,$C$132:$D145)</f>
        <v>19.935577291376955</v>
      </c>
      <c r="X145" s="277">
        <f ca="1">DSUM($B$117:$Z$125,X$132,$C$132:$D145)</f>
        <v>19.886994870225163</v>
      </c>
      <c r="Y145" s="277"/>
      <c r="Z145" s="198">
        <f ca="1">DSUM($B$117:$Z$125,Z$117,$C$132:$D145)</f>
        <v>126.15931523421077</v>
      </c>
    </row>
    <row r="146" spans="1:26">
      <c r="A146" s="24"/>
      <c r="B146" s="24" t="s">
        <v>656</v>
      </c>
      <c r="C146" s="276" t="s">
        <v>740</v>
      </c>
      <c r="D146" s="276" t="s">
        <v>741</v>
      </c>
      <c r="E146" s="277">
        <f ca="1">DSUM($B$117:$Z$125,E$132,$C$132:$D146)</f>
        <v>4.8063109486317561</v>
      </c>
      <c r="F146" s="277">
        <f ca="1">DSUM($B$117:$Z$125,F$132,$C$132:$D146)</f>
        <v>8.5110622128834041</v>
      </c>
      <c r="G146" s="277">
        <f ca="1">DSUM($B$117:$Z$125,G$132,$C$132:$D146)</f>
        <v>11.361916818723241</v>
      </c>
      <c r="H146" s="277">
        <f ca="1">DSUM($B$117:$Z$125,H$132,$C$132:$D146)</f>
        <v>13.550878385434526</v>
      </c>
      <c r="I146" s="277">
        <f ca="1">DSUM($B$117:$Z$125,I$132,$C$132:$D146)</f>
        <v>15.226800418483165</v>
      </c>
      <c r="J146" s="277">
        <f ca="1">DSUM($B$117:$Z$125,J$132,$C$132:$D146)</f>
        <v>16.743617959460998</v>
      </c>
      <c r="K146" s="277">
        <f ca="1">DSUM($B$117:$Z$125,K$132,$C$132:$D146)</f>
        <v>17.654898908368128</v>
      </c>
      <c r="L146" s="277">
        <f ca="1">DSUM($B$117:$Z$125,L$132,$C$132:$D146)</f>
        <v>18.341894359085686</v>
      </c>
      <c r="M146" s="277">
        <f ca="1">DSUM($B$117:$Z$125,M$132,$C$132:$D146)</f>
        <v>18.869974696967827</v>
      </c>
      <c r="N146" s="277">
        <f ca="1">DSUM($B$117:$Z$125,N$132,$C$132:$D146)</f>
        <v>19.243113157941256</v>
      </c>
      <c r="O146" s="277">
        <f ca="1">DSUM($B$117:$Z$125,O$132,$C$132:$D146)</f>
        <v>19.517763715084183</v>
      </c>
      <c r="P146" s="277">
        <f ca="1">DSUM($B$117:$Z$125,P$132,$C$132:$D146)</f>
        <v>19.721874049033438</v>
      </c>
      <c r="Q146" s="277">
        <f ca="1">DSUM($B$117:$Z$125,Q$132,$C$132:$D146)</f>
        <v>19.85410437714674</v>
      </c>
      <c r="R146" s="277">
        <f ca="1">DSUM($B$117:$Z$125,R$132,$C$132:$D146)</f>
        <v>19.940833396156464</v>
      </c>
      <c r="S146" s="277">
        <f ca="1">DSUM($B$117:$Z$125,S$132,$C$132:$D146)</f>
        <v>19.98810042875337</v>
      </c>
      <c r="T146" s="277">
        <f ca="1">DSUM($B$117:$Z$125,T$132,$C$132:$D146)</f>
        <v>20.005053035146098</v>
      </c>
      <c r="U146" s="277">
        <f ca="1">DSUM($B$117:$Z$125,U$132,$C$132:$D146)</f>
        <v>20.002388714917487</v>
      </c>
      <c r="V146" s="277">
        <f ca="1">DSUM($B$117:$Z$125,V$132,$C$132:$D146)</f>
        <v>19.979630913913283</v>
      </c>
      <c r="W146" s="277">
        <f ca="1">DSUM($B$117:$Z$125,W$132,$C$132:$D146)</f>
        <v>19.935577291376955</v>
      </c>
      <c r="X146" s="277">
        <f ca="1">DSUM($B$117:$Z$125,X$132,$C$132:$D146)</f>
        <v>19.886994870225163</v>
      </c>
      <c r="Y146" s="277"/>
      <c r="Z146" s="198">
        <f ca="1">DSUM($B$117:$Z$125,Z$117,$C$132:$D146)</f>
        <v>126.15931523421077</v>
      </c>
    </row>
    <row r="147" spans="1:26">
      <c r="A147" s="24"/>
      <c r="B147" s="24" t="s">
        <v>657</v>
      </c>
      <c r="C147" s="276" t="s">
        <v>742</v>
      </c>
      <c r="D147" s="276" t="s">
        <v>743</v>
      </c>
      <c r="E147" s="277">
        <f ca="1">DSUM($B$117:$Z$125,E$132,$C$132:$D147)</f>
        <v>4.8063109486317561</v>
      </c>
      <c r="F147" s="277">
        <f ca="1">DSUM($B$117:$Z$125,F$132,$C$132:$D147)</f>
        <v>8.5110622128834041</v>
      </c>
      <c r="G147" s="277">
        <f ca="1">DSUM($B$117:$Z$125,G$132,$C$132:$D147)</f>
        <v>11.361916818723241</v>
      </c>
      <c r="H147" s="277">
        <f ca="1">DSUM($B$117:$Z$125,H$132,$C$132:$D147)</f>
        <v>13.550878385434526</v>
      </c>
      <c r="I147" s="277">
        <f ca="1">DSUM($B$117:$Z$125,I$132,$C$132:$D147)</f>
        <v>15.226800418483165</v>
      </c>
      <c r="J147" s="277">
        <f ca="1">DSUM($B$117:$Z$125,J$132,$C$132:$D147)</f>
        <v>16.743617959460998</v>
      </c>
      <c r="K147" s="277">
        <f ca="1">DSUM($B$117:$Z$125,K$132,$C$132:$D147)</f>
        <v>17.654898908368128</v>
      </c>
      <c r="L147" s="277">
        <f ca="1">DSUM($B$117:$Z$125,L$132,$C$132:$D147)</f>
        <v>18.341894359085686</v>
      </c>
      <c r="M147" s="277">
        <f ca="1">DSUM($B$117:$Z$125,M$132,$C$132:$D147)</f>
        <v>18.869974696967827</v>
      </c>
      <c r="N147" s="277">
        <f ca="1">DSUM($B$117:$Z$125,N$132,$C$132:$D147)</f>
        <v>19.243113157941256</v>
      </c>
      <c r="O147" s="277">
        <f ca="1">DSUM($B$117:$Z$125,O$132,$C$132:$D147)</f>
        <v>19.517763715084183</v>
      </c>
      <c r="P147" s="277">
        <f ca="1">DSUM($B$117:$Z$125,P$132,$C$132:$D147)</f>
        <v>19.721874049033438</v>
      </c>
      <c r="Q147" s="277">
        <f ca="1">DSUM($B$117:$Z$125,Q$132,$C$132:$D147)</f>
        <v>19.85410437714674</v>
      </c>
      <c r="R147" s="277">
        <f ca="1">DSUM($B$117:$Z$125,R$132,$C$132:$D147)</f>
        <v>19.940833396156464</v>
      </c>
      <c r="S147" s="277">
        <f ca="1">DSUM($B$117:$Z$125,S$132,$C$132:$D147)</f>
        <v>19.98810042875337</v>
      </c>
      <c r="T147" s="277">
        <f ca="1">DSUM($B$117:$Z$125,T$132,$C$132:$D147)</f>
        <v>20.005053035146098</v>
      </c>
      <c r="U147" s="277">
        <f ca="1">DSUM($B$117:$Z$125,U$132,$C$132:$D147)</f>
        <v>20.002388714917487</v>
      </c>
      <c r="V147" s="277">
        <f ca="1">DSUM($B$117:$Z$125,V$132,$C$132:$D147)</f>
        <v>19.979630913913283</v>
      </c>
      <c r="W147" s="277">
        <f ca="1">DSUM($B$117:$Z$125,W$132,$C$132:$D147)</f>
        <v>19.935577291376955</v>
      </c>
      <c r="X147" s="277">
        <f ca="1">DSUM($B$117:$Z$125,X$132,$C$132:$D147)</f>
        <v>19.886994870225163</v>
      </c>
      <c r="Y147" s="277"/>
      <c r="Z147" s="198">
        <f ca="1">DSUM($B$117:$Z$125,Z$117,$C$132:$D147)</f>
        <v>126.15931523421077</v>
      </c>
    </row>
    <row r="148" spans="1:26">
      <c r="A148" s="24"/>
      <c r="B148" s="24" t="s">
        <v>658</v>
      </c>
      <c r="C148" s="276" t="s">
        <v>744</v>
      </c>
      <c r="D148" s="276" t="s">
        <v>745</v>
      </c>
      <c r="E148" s="277">
        <f ca="1">DSUM($B$117:$Z$125,E$132,$C$132:$D148)</f>
        <v>4.8063109486317561</v>
      </c>
      <c r="F148" s="277">
        <f ca="1">DSUM($B$117:$Z$125,F$132,$C$132:$D148)</f>
        <v>8.5110622128834041</v>
      </c>
      <c r="G148" s="277">
        <f ca="1">DSUM($B$117:$Z$125,G$132,$C$132:$D148)</f>
        <v>11.361916818723241</v>
      </c>
      <c r="H148" s="277">
        <f ca="1">DSUM($B$117:$Z$125,H$132,$C$132:$D148)</f>
        <v>13.550878385434526</v>
      </c>
      <c r="I148" s="277">
        <f ca="1">DSUM($B$117:$Z$125,I$132,$C$132:$D148)</f>
        <v>15.226800418483165</v>
      </c>
      <c r="J148" s="277">
        <f ca="1">DSUM($B$117:$Z$125,J$132,$C$132:$D148)</f>
        <v>16.743617959460998</v>
      </c>
      <c r="K148" s="277">
        <f ca="1">DSUM($B$117:$Z$125,K$132,$C$132:$D148)</f>
        <v>17.654898908368128</v>
      </c>
      <c r="L148" s="277">
        <f ca="1">DSUM($B$117:$Z$125,L$132,$C$132:$D148)</f>
        <v>18.341894359085686</v>
      </c>
      <c r="M148" s="277">
        <f ca="1">DSUM($B$117:$Z$125,M$132,$C$132:$D148)</f>
        <v>18.869974696967827</v>
      </c>
      <c r="N148" s="277">
        <f ca="1">DSUM($B$117:$Z$125,N$132,$C$132:$D148)</f>
        <v>19.243113157941256</v>
      </c>
      <c r="O148" s="277">
        <f ca="1">DSUM($B$117:$Z$125,O$132,$C$132:$D148)</f>
        <v>19.517763715084183</v>
      </c>
      <c r="P148" s="277">
        <f ca="1">DSUM($B$117:$Z$125,P$132,$C$132:$D148)</f>
        <v>19.721874049033438</v>
      </c>
      <c r="Q148" s="277">
        <f ca="1">DSUM($B$117:$Z$125,Q$132,$C$132:$D148)</f>
        <v>19.85410437714674</v>
      </c>
      <c r="R148" s="277">
        <f ca="1">DSUM($B$117:$Z$125,R$132,$C$132:$D148)</f>
        <v>19.940833396156464</v>
      </c>
      <c r="S148" s="277">
        <f ca="1">DSUM($B$117:$Z$125,S$132,$C$132:$D148)</f>
        <v>19.98810042875337</v>
      </c>
      <c r="T148" s="277">
        <f ca="1">DSUM($B$117:$Z$125,T$132,$C$132:$D148)</f>
        <v>20.005053035146098</v>
      </c>
      <c r="U148" s="277">
        <f ca="1">DSUM($B$117:$Z$125,U$132,$C$132:$D148)</f>
        <v>20.002388714917487</v>
      </c>
      <c r="V148" s="277">
        <f ca="1">DSUM($B$117:$Z$125,V$132,$C$132:$D148)</f>
        <v>19.979630913913283</v>
      </c>
      <c r="W148" s="277">
        <f ca="1">DSUM($B$117:$Z$125,W$132,$C$132:$D148)</f>
        <v>19.935577291376955</v>
      </c>
      <c r="X148" s="277">
        <f ca="1">DSUM($B$117:$Z$125,X$132,$C$132:$D148)</f>
        <v>19.886994870225163</v>
      </c>
      <c r="Y148" s="277"/>
      <c r="Z148" s="198">
        <f ca="1">DSUM($B$117:$Z$125,Z$117,$C$132:$D148)</f>
        <v>126.15931523421077</v>
      </c>
    </row>
    <row r="149" spans="1:26">
      <c r="A149" s="24"/>
      <c r="B149" s="24" t="s">
        <v>659</v>
      </c>
      <c r="C149" s="276" t="s">
        <v>746</v>
      </c>
      <c r="D149" s="276" t="s">
        <v>747</v>
      </c>
      <c r="E149" s="277">
        <f ca="1">DSUM($B$117:$Z$125,E$132,$C$132:$D149)</f>
        <v>4.8063109486317561</v>
      </c>
      <c r="F149" s="277">
        <f ca="1">DSUM($B$117:$Z$125,F$132,$C$132:$D149)</f>
        <v>8.5110622128834041</v>
      </c>
      <c r="G149" s="277">
        <f ca="1">DSUM($B$117:$Z$125,G$132,$C$132:$D149)</f>
        <v>11.361916818723241</v>
      </c>
      <c r="H149" s="277">
        <f ca="1">DSUM($B$117:$Z$125,H$132,$C$132:$D149)</f>
        <v>13.550878385434526</v>
      </c>
      <c r="I149" s="277">
        <f ca="1">DSUM($B$117:$Z$125,I$132,$C$132:$D149)</f>
        <v>15.226800418483165</v>
      </c>
      <c r="J149" s="277">
        <f ca="1">DSUM($B$117:$Z$125,J$132,$C$132:$D149)</f>
        <v>16.743617959460998</v>
      </c>
      <c r="K149" s="277">
        <f ca="1">DSUM($B$117:$Z$125,K$132,$C$132:$D149)</f>
        <v>17.654898908368128</v>
      </c>
      <c r="L149" s="277">
        <f ca="1">DSUM($B$117:$Z$125,L$132,$C$132:$D149)</f>
        <v>18.341894359085686</v>
      </c>
      <c r="M149" s="277">
        <f ca="1">DSUM($B$117:$Z$125,M$132,$C$132:$D149)</f>
        <v>18.869974696967827</v>
      </c>
      <c r="N149" s="277">
        <f ca="1">DSUM($B$117:$Z$125,N$132,$C$132:$D149)</f>
        <v>19.243113157941256</v>
      </c>
      <c r="O149" s="277">
        <f ca="1">DSUM($B$117:$Z$125,O$132,$C$132:$D149)</f>
        <v>19.517763715084183</v>
      </c>
      <c r="P149" s="277">
        <f ca="1">DSUM($B$117:$Z$125,P$132,$C$132:$D149)</f>
        <v>19.721874049033438</v>
      </c>
      <c r="Q149" s="277">
        <f ca="1">DSUM($B$117:$Z$125,Q$132,$C$132:$D149)</f>
        <v>19.85410437714674</v>
      </c>
      <c r="R149" s="277">
        <f ca="1">DSUM($B$117:$Z$125,R$132,$C$132:$D149)</f>
        <v>19.940833396156464</v>
      </c>
      <c r="S149" s="277">
        <f ca="1">DSUM($B$117:$Z$125,S$132,$C$132:$D149)</f>
        <v>19.98810042875337</v>
      </c>
      <c r="T149" s="277">
        <f ca="1">DSUM($B$117:$Z$125,T$132,$C$132:$D149)</f>
        <v>20.005053035146098</v>
      </c>
      <c r="U149" s="277">
        <f ca="1">DSUM($B$117:$Z$125,U$132,$C$132:$D149)</f>
        <v>20.002388714917487</v>
      </c>
      <c r="V149" s="277">
        <f ca="1">DSUM($B$117:$Z$125,V$132,$C$132:$D149)</f>
        <v>19.979630913913283</v>
      </c>
      <c r="W149" s="277">
        <f ca="1">DSUM($B$117:$Z$125,W$132,$C$132:$D149)</f>
        <v>19.935577291376955</v>
      </c>
      <c r="X149" s="277">
        <f ca="1">DSUM($B$117:$Z$125,X$132,$C$132:$D149)</f>
        <v>19.886994870225163</v>
      </c>
      <c r="Y149" s="277"/>
      <c r="Z149" s="198">
        <f ca="1">DSUM($B$117:$Z$125,Z$117,$C$132:$D149)</f>
        <v>126.15931523421077</v>
      </c>
    </row>
    <row r="150" spans="1:26">
      <c r="A150" s="24"/>
      <c r="B150" s="24" t="s">
        <v>660</v>
      </c>
      <c r="C150" s="276" t="s">
        <v>748</v>
      </c>
      <c r="D150" s="276" t="s">
        <v>749</v>
      </c>
      <c r="E150" s="277">
        <f ca="1">DSUM($B$117:$Z$125,E$132,$C$132:$D150)</f>
        <v>4.8063109486317561</v>
      </c>
      <c r="F150" s="277">
        <f ca="1">DSUM($B$117:$Z$125,F$132,$C$132:$D150)</f>
        <v>8.5110622128834041</v>
      </c>
      <c r="G150" s="277">
        <f ca="1">DSUM($B$117:$Z$125,G$132,$C$132:$D150)</f>
        <v>11.361916818723241</v>
      </c>
      <c r="H150" s="277">
        <f ca="1">DSUM($B$117:$Z$125,H$132,$C$132:$D150)</f>
        <v>13.550878385434526</v>
      </c>
      <c r="I150" s="277">
        <f ca="1">DSUM($B$117:$Z$125,I$132,$C$132:$D150)</f>
        <v>15.226800418483165</v>
      </c>
      <c r="J150" s="277">
        <f ca="1">DSUM($B$117:$Z$125,J$132,$C$132:$D150)</f>
        <v>16.743617959460998</v>
      </c>
      <c r="K150" s="277">
        <f ca="1">DSUM($B$117:$Z$125,K$132,$C$132:$D150)</f>
        <v>17.654898908368128</v>
      </c>
      <c r="L150" s="277">
        <f ca="1">DSUM($B$117:$Z$125,L$132,$C$132:$D150)</f>
        <v>18.341894359085686</v>
      </c>
      <c r="M150" s="277">
        <f ca="1">DSUM($B$117:$Z$125,M$132,$C$132:$D150)</f>
        <v>18.869974696967827</v>
      </c>
      <c r="N150" s="277">
        <f ca="1">DSUM($B$117:$Z$125,N$132,$C$132:$D150)</f>
        <v>19.243113157941256</v>
      </c>
      <c r="O150" s="277">
        <f ca="1">DSUM($B$117:$Z$125,O$132,$C$132:$D150)</f>
        <v>19.517763715084183</v>
      </c>
      <c r="P150" s="277">
        <f ca="1">DSUM($B$117:$Z$125,P$132,$C$132:$D150)</f>
        <v>19.721874049033438</v>
      </c>
      <c r="Q150" s="277">
        <f ca="1">DSUM($B$117:$Z$125,Q$132,$C$132:$D150)</f>
        <v>19.85410437714674</v>
      </c>
      <c r="R150" s="277">
        <f ca="1">DSUM($B$117:$Z$125,R$132,$C$132:$D150)</f>
        <v>19.940833396156464</v>
      </c>
      <c r="S150" s="277">
        <f ca="1">DSUM($B$117:$Z$125,S$132,$C$132:$D150)</f>
        <v>19.98810042875337</v>
      </c>
      <c r="T150" s="277">
        <f ca="1">DSUM($B$117:$Z$125,T$132,$C$132:$D150)</f>
        <v>20.005053035146098</v>
      </c>
      <c r="U150" s="277">
        <f ca="1">DSUM($B$117:$Z$125,U$132,$C$132:$D150)</f>
        <v>20.002388714917487</v>
      </c>
      <c r="V150" s="277">
        <f ca="1">DSUM($B$117:$Z$125,V$132,$C$132:$D150)</f>
        <v>19.979630913913283</v>
      </c>
      <c r="W150" s="277">
        <f ca="1">DSUM($B$117:$Z$125,W$132,$C$132:$D150)</f>
        <v>19.935577291376955</v>
      </c>
      <c r="X150" s="277">
        <f ca="1">DSUM($B$117:$Z$125,X$132,$C$132:$D150)</f>
        <v>19.886994870225163</v>
      </c>
      <c r="Y150" s="277"/>
      <c r="Z150" s="198">
        <f ca="1">DSUM($B$117:$Z$125,Z$117,$C$132:$D150)</f>
        <v>126.15931523421077</v>
      </c>
    </row>
    <row r="151" spans="1:26">
      <c r="A151" s="24"/>
      <c r="B151" s="24" t="s">
        <v>661</v>
      </c>
      <c r="C151" s="276" t="s">
        <v>750</v>
      </c>
      <c r="D151" s="276" t="s">
        <v>751</v>
      </c>
      <c r="E151" s="277">
        <f ca="1">DSUM($B$117:$Z$125,E$132,$C$132:$D151)</f>
        <v>4.8063109486317561</v>
      </c>
      <c r="F151" s="277">
        <f ca="1">DSUM($B$117:$Z$125,F$132,$C$132:$D151)</f>
        <v>8.5110622128834041</v>
      </c>
      <c r="G151" s="277">
        <f ca="1">DSUM($B$117:$Z$125,G$132,$C$132:$D151)</f>
        <v>11.361916818723241</v>
      </c>
      <c r="H151" s="277">
        <f ca="1">DSUM($B$117:$Z$125,H$132,$C$132:$D151)</f>
        <v>13.550878385434526</v>
      </c>
      <c r="I151" s="277">
        <f ca="1">DSUM($B$117:$Z$125,I$132,$C$132:$D151)</f>
        <v>15.226800418483165</v>
      </c>
      <c r="J151" s="277">
        <f ca="1">DSUM($B$117:$Z$125,J$132,$C$132:$D151)</f>
        <v>16.743617959460998</v>
      </c>
      <c r="K151" s="277">
        <f ca="1">DSUM($B$117:$Z$125,K$132,$C$132:$D151)</f>
        <v>17.654898908368128</v>
      </c>
      <c r="L151" s="277">
        <f ca="1">DSUM($B$117:$Z$125,L$132,$C$132:$D151)</f>
        <v>18.341894359085686</v>
      </c>
      <c r="M151" s="277">
        <f ca="1">DSUM($B$117:$Z$125,M$132,$C$132:$D151)</f>
        <v>18.869974696967827</v>
      </c>
      <c r="N151" s="277">
        <f ca="1">DSUM($B$117:$Z$125,N$132,$C$132:$D151)</f>
        <v>19.243113157941256</v>
      </c>
      <c r="O151" s="277">
        <f ca="1">DSUM($B$117:$Z$125,O$132,$C$132:$D151)</f>
        <v>19.517763715084183</v>
      </c>
      <c r="P151" s="277">
        <f ca="1">DSUM($B$117:$Z$125,P$132,$C$132:$D151)</f>
        <v>19.721874049033438</v>
      </c>
      <c r="Q151" s="277">
        <f ca="1">DSUM($B$117:$Z$125,Q$132,$C$132:$D151)</f>
        <v>19.85410437714674</v>
      </c>
      <c r="R151" s="277">
        <f ca="1">DSUM($B$117:$Z$125,R$132,$C$132:$D151)</f>
        <v>19.940833396156464</v>
      </c>
      <c r="S151" s="277">
        <f ca="1">DSUM($B$117:$Z$125,S$132,$C$132:$D151)</f>
        <v>19.98810042875337</v>
      </c>
      <c r="T151" s="277">
        <f ca="1">DSUM($B$117:$Z$125,T$132,$C$132:$D151)</f>
        <v>20.005053035146098</v>
      </c>
      <c r="U151" s="277">
        <f ca="1">DSUM($B$117:$Z$125,U$132,$C$132:$D151)</f>
        <v>20.002388714917487</v>
      </c>
      <c r="V151" s="277">
        <f ca="1">DSUM($B$117:$Z$125,V$132,$C$132:$D151)</f>
        <v>19.979630913913283</v>
      </c>
      <c r="W151" s="277">
        <f ca="1">DSUM($B$117:$Z$125,W$132,$C$132:$D151)</f>
        <v>19.935577291376955</v>
      </c>
      <c r="X151" s="277">
        <f ca="1">DSUM($B$117:$Z$125,X$132,$C$132:$D151)</f>
        <v>19.886994870225163</v>
      </c>
      <c r="Y151" s="277"/>
      <c r="Z151" s="198">
        <f ca="1">DSUM($B$117:$Z$125,Z$117,$C$132:$D151)</f>
        <v>126.15931523421077</v>
      </c>
    </row>
    <row r="152" spans="1:26">
      <c r="A152" s="24"/>
      <c r="B152" s="24" t="s">
        <v>662</v>
      </c>
      <c r="C152" s="276" t="s">
        <v>752</v>
      </c>
      <c r="D152" s="276" t="s">
        <v>753</v>
      </c>
      <c r="E152" s="277">
        <f ca="1">DSUM($B$117:$Z$125,E$132,$C$132:$D152)</f>
        <v>4.8063109486317561</v>
      </c>
      <c r="F152" s="277">
        <f ca="1">DSUM($B$117:$Z$125,F$132,$C$132:$D152)</f>
        <v>8.5110622128834041</v>
      </c>
      <c r="G152" s="277">
        <f ca="1">DSUM($B$117:$Z$125,G$132,$C$132:$D152)</f>
        <v>11.361916818723241</v>
      </c>
      <c r="H152" s="277">
        <f ca="1">DSUM($B$117:$Z$125,H$132,$C$132:$D152)</f>
        <v>13.550878385434526</v>
      </c>
      <c r="I152" s="277">
        <f ca="1">DSUM($B$117:$Z$125,I$132,$C$132:$D152)</f>
        <v>15.226800418483165</v>
      </c>
      <c r="J152" s="277">
        <f ca="1">DSUM($B$117:$Z$125,J$132,$C$132:$D152)</f>
        <v>16.743617959460998</v>
      </c>
      <c r="K152" s="277">
        <f ca="1">DSUM($B$117:$Z$125,K$132,$C$132:$D152)</f>
        <v>17.654898908368128</v>
      </c>
      <c r="L152" s="277">
        <f ca="1">DSUM($B$117:$Z$125,L$132,$C$132:$D152)</f>
        <v>18.341894359085686</v>
      </c>
      <c r="M152" s="277">
        <f ca="1">DSUM($B$117:$Z$125,M$132,$C$132:$D152)</f>
        <v>18.869974696967827</v>
      </c>
      <c r="N152" s="277">
        <f ca="1">DSUM($B$117:$Z$125,N$132,$C$132:$D152)</f>
        <v>19.243113157941256</v>
      </c>
      <c r="O152" s="277">
        <f ca="1">DSUM($B$117:$Z$125,O$132,$C$132:$D152)</f>
        <v>19.517763715084183</v>
      </c>
      <c r="P152" s="277">
        <f ca="1">DSUM($B$117:$Z$125,P$132,$C$132:$D152)</f>
        <v>19.721874049033438</v>
      </c>
      <c r="Q152" s="277">
        <f ca="1">DSUM($B$117:$Z$125,Q$132,$C$132:$D152)</f>
        <v>19.85410437714674</v>
      </c>
      <c r="R152" s="277">
        <f ca="1">DSUM($B$117:$Z$125,R$132,$C$132:$D152)</f>
        <v>19.940833396156464</v>
      </c>
      <c r="S152" s="277">
        <f ca="1">DSUM($B$117:$Z$125,S$132,$C$132:$D152)</f>
        <v>19.98810042875337</v>
      </c>
      <c r="T152" s="277">
        <f ca="1">DSUM($B$117:$Z$125,T$132,$C$132:$D152)</f>
        <v>20.005053035146098</v>
      </c>
      <c r="U152" s="277">
        <f ca="1">DSUM($B$117:$Z$125,U$132,$C$132:$D152)</f>
        <v>20.002388714917487</v>
      </c>
      <c r="V152" s="277">
        <f ca="1">DSUM($B$117:$Z$125,V$132,$C$132:$D152)</f>
        <v>19.979630913913283</v>
      </c>
      <c r="W152" s="277">
        <f ca="1">DSUM($B$117:$Z$125,W$132,$C$132:$D152)</f>
        <v>19.935577291376955</v>
      </c>
      <c r="X152" s="277">
        <f ca="1">DSUM($B$117:$Z$125,X$132,$C$132:$D152)</f>
        <v>19.886994870225163</v>
      </c>
      <c r="Y152" s="277"/>
      <c r="Z152" s="198">
        <f ca="1">DSUM($B$117:$Z$125,Z$117,$C$132:$D152)</f>
        <v>126.15931523421077</v>
      </c>
    </row>
    <row r="153" spans="1:26">
      <c r="A153" s="24"/>
      <c r="B153" s="24" t="s">
        <v>663</v>
      </c>
      <c r="C153" s="276" t="s">
        <v>754</v>
      </c>
      <c r="D153" s="276" t="s">
        <v>755</v>
      </c>
      <c r="E153" s="277">
        <f ca="1">DSUM($B$117:$Z$125,E$132,$C$132:$D153)</f>
        <v>4.8063109486317561</v>
      </c>
      <c r="F153" s="277">
        <f ca="1">DSUM($B$117:$Z$125,F$132,$C$132:$D153)</f>
        <v>8.5110622128834041</v>
      </c>
      <c r="G153" s="277">
        <f ca="1">DSUM($B$117:$Z$125,G$132,$C$132:$D153)</f>
        <v>11.361916818723241</v>
      </c>
      <c r="H153" s="277">
        <f ca="1">DSUM($B$117:$Z$125,H$132,$C$132:$D153)</f>
        <v>13.550878385434526</v>
      </c>
      <c r="I153" s="277">
        <f ca="1">DSUM($B$117:$Z$125,I$132,$C$132:$D153)</f>
        <v>15.226800418483165</v>
      </c>
      <c r="J153" s="277">
        <f ca="1">DSUM($B$117:$Z$125,J$132,$C$132:$D153)</f>
        <v>16.743617959460998</v>
      </c>
      <c r="K153" s="277">
        <f ca="1">DSUM($B$117:$Z$125,K$132,$C$132:$D153)</f>
        <v>17.654898908368128</v>
      </c>
      <c r="L153" s="277">
        <f ca="1">DSUM($B$117:$Z$125,L$132,$C$132:$D153)</f>
        <v>18.341894359085686</v>
      </c>
      <c r="M153" s="277">
        <f ca="1">DSUM($B$117:$Z$125,M$132,$C$132:$D153)</f>
        <v>18.869974696967827</v>
      </c>
      <c r="N153" s="277">
        <f ca="1">DSUM($B$117:$Z$125,N$132,$C$132:$D153)</f>
        <v>19.243113157941256</v>
      </c>
      <c r="O153" s="277">
        <f ca="1">DSUM($B$117:$Z$125,O$132,$C$132:$D153)</f>
        <v>19.517763715084183</v>
      </c>
      <c r="P153" s="277">
        <f ca="1">DSUM($B$117:$Z$125,P$132,$C$132:$D153)</f>
        <v>19.721874049033438</v>
      </c>
      <c r="Q153" s="277">
        <f ca="1">DSUM($B$117:$Z$125,Q$132,$C$132:$D153)</f>
        <v>19.85410437714674</v>
      </c>
      <c r="R153" s="277">
        <f ca="1">DSUM($B$117:$Z$125,R$132,$C$132:$D153)</f>
        <v>19.940833396156464</v>
      </c>
      <c r="S153" s="277">
        <f ca="1">DSUM($B$117:$Z$125,S$132,$C$132:$D153)</f>
        <v>19.98810042875337</v>
      </c>
      <c r="T153" s="277">
        <f ca="1">DSUM($B$117:$Z$125,T$132,$C$132:$D153)</f>
        <v>20.005053035146098</v>
      </c>
      <c r="U153" s="277">
        <f ca="1">DSUM($B$117:$Z$125,U$132,$C$132:$D153)</f>
        <v>20.002388714917487</v>
      </c>
      <c r="V153" s="277">
        <f ca="1">DSUM($B$117:$Z$125,V$132,$C$132:$D153)</f>
        <v>19.979630913913283</v>
      </c>
      <c r="W153" s="277">
        <f ca="1">DSUM($B$117:$Z$125,W$132,$C$132:$D153)</f>
        <v>19.935577291376955</v>
      </c>
      <c r="X153" s="277">
        <f ca="1">DSUM($B$117:$Z$125,X$132,$C$132:$D153)</f>
        <v>19.886994870225163</v>
      </c>
      <c r="Y153" s="277"/>
      <c r="Z153" s="198">
        <f ca="1">DSUM($B$117:$Z$125,Z$117,$C$132:$D153)</f>
        <v>126.15931523421077</v>
      </c>
    </row>
    <row r="154" spans="1:26">
      <c r="A154" s="24"/>
      <c r="B154" s="24" t="s">
        <v>756</v>
      </c>
      <c r="C154" s="276" t="s">
        <v>757</v>
      </c>
      <c r="D154" s="276" t="s">
        <v>758</v>
      </c>
      <c r="E154" s="277">
        <f ca="1">DSUM($B$117:$Z$125,E$132,$C$132:$D154)</f>
        <v>4.8063109486317561</v>
      </c>
      <c r="F154" s="277">
        <f ca="1">DSUM($B$117:$Z$125,F$132,$C$132:$D154)</f>
        <v>8.5110622128834041</v>
      </c>
      <c r="G154" s="277">
        <f ca="1">DSUM($B$117:$Z$125,G$132,$C$132:$D154)</f>
        <v>11.361916818723241</v>
      </c>
      <c r="H154" s="277">
        <f ca="1">DSUM($B$117:$Z$125,H$132,$C$132:$D154)</f>
        <v>13.550878385434526</v>
      </c>
      <c r="I154" s="277">
        <f ca="1">DSUM($B$117:$Z$125,I$132,$C$132:$D154)</f>
        <v>15.226800418483165</v>
      </c>
      <c r="J154" s="277">
        <f ca="1">DSUM($B$117:$Z$125,J$132,$C$132:$D154)</f>
        <v>16.743617959460998</v>
      </c>
      <c r="K154" s="277">
        <f ca="1">DSUM($B$117:$Z$125,K$132,$C$132:$D154)</f>
        <v>17.654898908368128</v>
      </c>
      <c r="L154" s="277">
        <f ca="1">DSUM($B$117:$Z$125,L$132,$C$132:$D154)</f>
        <v>18.341894359085686</v>
      </c>
      <c r="M154" s="277">
        <f ca="1">DSUM($B$117:$Z$125,M$132,$C$132:$D154)</f>
        <v>18.869974696967827</v>
      </c>
      <c r="N154" s="277">
        <f ca="1">DSUM($B$117:$Z$125,N$132,$C$132:$D154)</f>
        <v>19.243113157941256</v>
      </c>
      <c r="O154" s="277">
        <f ca="1">DSUM($B$117:$Z$125,O$132,$C$132:$D154)</f>
        <v>19.517763715084183</v>
      </c>
      <c r="P154" s="277">
        <f ca="1">DSUM($B$117:$Z$125,P$132,$C$132:$D154)</f>
        <v>19.721874049033438</v>
      </c>
      <c r="Q154" s="277">
        <f ca="1">DSUM($B$117:$Z$125,Q$132,$C$132:$D154)</f>
        <v>19.85410437714674</v>
      </c>
      <c r="R154" s="277">
        <f ca="1">DSUM($B$117:$Z$125,R$132,$C$132:$D154)</f>
        <v>19.940833396156464</v>
      </c>
      <c r="S154" s="277">
        <f ca="1">DSUM($B$117:$Z$125,S$132,$C$132:$D154)</f>
        <v>19.98810042875337</v>
      </c>
      <c r="T154" s="277">
        <f ca="1">DSUM($B$117:$Z$125,T$132,$C$132:$D154)</f>
        <v>20.005053035146098</v>
      </c>
      <c r="U154" s="277">
        <f ca="1">DSUM($B$117:$Z$125,U$132,$C$132:$D154)</f>
        <v>20.002388714917487</v>
      </c>
      <c r="V154" s="277">
        <f ca="1">DSUM($B$117:$Z$125,V$132,$C$132:$D154)</f>
        <v>19.979630913913283</v>
      </c>
      <c r="W154" s="277">
        <f ca="1">DSUM($B$117:$Z$125,W$132,$C$132:$D154)</f>
        <v>19.935577291376955</v>
      </c>
      <c r="X154" s="277">
        <f ca="1">DSUM($B$117:$Z$125,X$132,$C$132:$D154)</f>
        <v>19.886994870225163</v>
      </c>
      <c r="Y154" s="277"/>
      <c r="Z154" s="198">
        <f ca="1">DSUM($B$117:$Z$125,Z$117,$C$132:$D154)</f>
        <v>126.15931523421077</v>
      </c>
    </row>
    <row r="155" spans="1:26">
      <c r="A155" s="24"/>
      <c r="B155" s="24" t="s">
        <v>759</v>
      </c>
      <c r="C155" s="276" t="s">
        <v>760</v>
      </c>
      <c r="D155" s="276" t="s">
        <v>761</v>
      </c>
      <c r="E155" s="277">
        <f ca="1">DSUM($B$117:$Z$125,E$132,$C$132:$D155)</f>
        <v>4.8063109486317561</v>
      </c>
      <c r="F155" s="277">
        <f ca="1">DSUM($B$117:$Z$125,F$132,$C$132:$D155)</f>
        <v>8.5110622128834041</v>
      </c>
      <c r="G155" s="277">
        <f ca="1">DSUM($B$117:$Z$125,G$132,$C$132:$D155)</f>
        <v>11.361916818723241</v>
      </c>
      <c r="H155" s="277">
        <f ca="1">DSUM($B$117:$Z$125,H$132,$C$132:$D155)</f>
        <v>13.550878385434526</v>
      </c>
      <c r="I155" s="277">
        <f ca="1">DSUM($B$117:$Z$125,I$132,$C$132:$D155)</f>
        <v>15.226800418483165</v>
      </c>
      <c r="J155" s="277">
        <f ca="1">DSUM($B$117:$Z$125,J$132,$C$132:$D155)</f>
        <v>16.743617959460998</v>
      </c>
      <c r="K155" s="277">
        <f ca="1">DSUM($B$117:$Z$125,K$132,$C$132:$D155)</f>
        <v>17.654898908368128</v>
      </c>
      <c r="L155" s="277">
        <f ca="1">DSUM($B$117:$Z$125,L$132,$C$132:$D155)</f>
        <v>18.341894359085686</v>
      </c>
      <c r="M155" s="277">
        <f ca="1">DSUM($B$117:$Z$125,M$132,$C$132:$D155)</f>
        <v>18.869974696967827</v>
      </c>
      <c r="N155" s="277">
        <f ca="1">DSUM($B$117:$Z$125,N$132,$C$132:$D155)</f>
        <v>19.243113157941256</v>
      </c>
      <c r="O155" s="277">
        <f ca="1">DSUM($B$117:$Z$125,O$132,$C$132:$D155)</f>
        <v>19.517763715084183</v>
      </c>
      <c r="P155" s="277">
        <f ca="1">DSUM($B$117:$Z$125,P$132,$C$132:$D155)</f>
        <v>19.721874049033438</v>
      </c>
      <c r="Q155" s="277">
        <f ca="1">DSUM($B$117:$Z$125,Q$132,$C$132:$D155)</f>
        <v>19.85410437714674</v>
      </c>
      <c r="R155" s="277">
        <f ca="1">DSUM($B$117:$Z$125,R$132,$C$132:$D155)</f>
        <v>19.940833396156464</v>
      </c>
      <c r="S155" s="277">
        <f ca="1">DSUM($B$117:$Z$125,S$132,$C$132:$D155)</f>
        <v>19.98810042875337</v>
      </c>
      <c r="T155" s="277">
        <f ca="1">DSUM($B$117:$Z$125,T$132,$C$132:$D155)</f>
        <v>20.005053035146098</v>
      </c>
      <c r="U155" s="277">
        <f ca="1">DSUM($B$117:$Z$125,U$132,$C$132:$D155)</f>
        <v>20.002388714917487</v>
      </c>
      <c r="V155" s="277">
        <f ca="1">DSUM($B$117:$Z$125,V$132,$C$132:$D155)</f>
        <v>19.979630913913283</v>
      </c>
      <c r="W155" s="277">
        <f ca="1">DSUM($B$117:$Z$125,W$132,$C$132:$D155)</f>
        <v>19.935577291376955</v>
      </c>
      <c r="X155" s="277">
        <f ca="1">DSUM($B$117:$Z$125,X$132,$C$132:$D155)</f>
        <v>19.886994870225163</v>
      </c>
      <c r="Y155" s="277"/>
      <c r="Z155" s="198">
        <f ca="1">DSUM($B$117:$Z$125,Z$117,$C$132:$D155)</f>
        <v>126.15931523421077</v>
      </c>
    </row>
    <row r="156" spans="1:26">
      <c r="A156" s="24"/>
      <c r="B156" s="24" t="s">
        <v>762</v>
      </c>
      <c r="C156" s="276" t="s">
        <v>763</v>
      </c>
      <c r="D156" s="276" t="s">
        <v>764</v>
      </c>
      <c r="E156" s="277">
        <f ca="1">DSUM($B$117:$Z$125,E$132,$C$132:$D156)</f>
        <v>4.8063109486317561</v>
      </c>
      <c r="F156" s="277">
        <f ca="1">DSUM($B$117:$Z$125,F$132,$C$132:$D156)</f>
        <v>8.5110622128834041</v>
      </c>
      <c r="G156" s="277">
        <f ca="1">DSUM($B$117:$Z$125,G$132,$C$132:$D156)</f>
        <v>11.361916818723241</v>
      </c>
      <c r="H156" s="277">
        <f ca="1">DSUM($B$117:$Z$125,H$132,$C$132:$D156)</f>
        <v>13.550878385434526</v>
      </c>
      <c r="I156" s="277">
        <f ca="1">DSUM($B$117:$Z$125,I$132,$C$132:$D156)</f>
        <v>15.226800418483165</v>
      </c>
      <c r="J156" s="277">
        <f ca="1">DSUM($B$117:$Z$125,J$132,$C$132:$D156)</f>
        <v>16.743617959460998</v>
      </c>
      <c r="K156" s="277">
        <f ca="1">DSUM($B$117:$Z$125,K$132,$C$132:$D156)</f>
        <v>17.654898908368128</v>
      </c>
      <c r="L156" s="277">
        <f ca="1">DSUM($B$117:$Z$125,L$132,$C$132:$D156)</f>
        <v>18.341894359085686</v>
      </c>
      <c r="M156" s="277">
        <f ca="1">DSUM($B$117:$Z$125,M$132,$C$132:$D156)</f>
        <v>18.869974696967827</v>
      </c>
      <c r="N156" s="277">
        <f ca="1">DSUM($B$117:$Z$125,N$132,$C$132:$D156)</f>
        <v>19.243113157941256</v>
      </c>
      <c r="O156" s="277">
        <f ca="1">DSUM($B$117:$Z$125,O$132,$C$132:$D156)</f>
        <v>19.517763715084183</v>
      </c>
      <c r="P156" s="277">
        <f ca="1">DSUM($B$117:$Z$125,P$132,$C$132:$D156)</f>
        <v>19.721874049033438</v>
      </c>
      <c r="Q156" s="277">
        <f ca="1">DSUM($B$117:$Z$125,Q$132,$C$132:$D156)</f>
        <v>19.85410437714674</v>
      </c>
      <c r="R156" s="277">
        <f ca="1">DSUM($B$117:$Z$125,R$132,$C$132:$D156)</f>
        <v>19.940833396156464</v>
      </c>
      <c r="S156" s="277">
        <f ca="1">DSUM($B$117:$Z$125,S$132,$C$132:$D156)</f>
        <v>19.98810042875337</v>
      </c>
      <c r="T156" s="277">
        <f ca="1">DSUM($B$117:$Z$125,T$132,$C$132:$D156)</f>
        <v>20.005053035146098</v>
      </c>
      <c r="U156" s="277">
        <f ca="1">DSUM($B$117:$Z$125,U$132,$C$132:$D156)</f>
        <v>20.002388714917487</v>
      </c>
      <c r="V156" s="277">
        <f ca="1">DSUM($B$117:$Z$125,V$132,$C$132:$D156)</f>
        <v>19.979630913913283</v>
      </c>
      <c r="W156" s="277">
        <f ca="1">DSUM($B$117:$Z$125,W$132,$C$132:$D156)</f>
        <v>19.935577291376955</v>
      </c>
      <c r="X156" s="277">
        <f ca="1">DSUM($B$117:$Z$125,X$132,$C$132:$D156)</f>
        <v>19.886994870225163</v>
      </c>
      <c r="Y156" s="277"/>
      <c r="Z156" s="198">
        <f ca="1">DSUM($B$117:$Z$125,Z$117,$C$132:$D156)</f>
        <v>126.15931523421077</v>
      </c>
    </row>
    <row r="157" spans="1:26">
      <c r="A157" s="24"/>
      <c r="B157" s="24" t="s">
        <v>765</v>
      </c>
      <c r="C157" s="276" t="s">
        <v>766</v>
      </c>
      <c r="D157" s="276" t="s">
        <v>767</v>
      </c>
      <c r="E157" s="277">
        <f ca="1">DSUM($B$117:$Z$125,E$132,$C$132:$D157)</f>
        <v>4.8063109486317561</v>
      </c>
      <c r="F157" s="277">
        <f ca="1">DSUM($B$117:$Z$125,F$132,$C$132:$D157)</f>
        <v>8.5110622128834041</v>
      </c>
      <c r="G157" s="277">
        <f ca="1">DSUM($B$117:$Z$125,G$132,$C$132:$D157)</f>
        <v>11.361916818723241</v>
      </c>
      <c r="H157" s="277">
        <f ca="1">DSUM($B$117:$Z$125,H$132,$C$132:$D157)</f>
        <v>13.550878385434526</v>
      </c>
      <c r="I157" s="277">
        <f ca="1">DSUM($B$117:$Z$125,I$132,$C$132:$D157)</f>
        <v>15.226800418483165</v>
      </c>
      <c r="J157" s="277">
        <f ca="1">DSUM($B$117:$Z$125,J$132,$C$132:$D157)</f>
        <v>16.743617959460998</v>
      </c>
      <c r="K157" s="277">
        <f ca="1">DSUM($B$117:$Z$125,K$132,$C$132:$D157)</f>
        <v>17.654898908368128</v>
      </c>
      <c r="L157" s="277">
        <f ca="1">DSUM($B$117:$Z$125,L$132,$C$132:$D157)</f>
        <v>18.341894359085686</v>
      </c>
      <c r="M157" s="277">
        <f ca="1">DSUM($B$117:$Z$125,M$132,$C$132:$D157)</f>
        <v>18.869974696967827</v>
      </c>
      <c r="N157" s="277">
        <f ca="1">DSUM($B$117:$Z$125,N$132,$C$132:$D157)</f>
        <v>19.243113157941256</v>
      </c>
      <c r="O157" s="277">
        <f ca="1">DSUM($B$117:$Z$125,O$132,$C$132:$D157)</f>
        <v>19.517763715084183</v>
      </c>
      <c r="P157" s="277">
        <f ca="1">DSUM($B$117:$Z$125,P$132,$C$132:$D157)</f>
        <v>19.721874049033438</v>
      </c>
      <c r="Q157" s="277">
        <f ca="1">DSUM($B$117:$Z$125,Q$132,$C$132:$D157)</f>
        <v>19.85410437714674</v>
      </c>
      <c r="R157" s="277">
        <f ca="1">DSUM($B$117:$Z$125,R$132,$C$132:$D157)</f>
        <v>19.940833396156464</v>
      </c>
      <c r="S157" s="277">
        <f ca="1">DSUM($B$117:$Z$125,S$132,$C$132:$D157)</f>
        <v>19.98810042875337</v>
      </c>
      <c r="T157" s="277">
        <f ca="1">DSUM($B$117:$Z$125,T$132,$C$132:$D157)</f>
        <v>20.005053035146098</v>
      </c>
      <c r="U157" s="277">
        <f ca="1">DSUM($B$117:$Z$125,U$132,$C$132:$D157)</f>
        <v>20.002388714917487</v>
      </c>
      <c r="V157" s="277">
        <f ca="1">DSUM($B$117:$Z$125,V$132,$C$132:$D157)</f>
        <v>19.979630913913283</v>
      </c>
      <c r="W157" s="277">
        <f ca="1">DSUM($B$117:$Z$125,W$132,$C$132:$D157)</f>
        <v>19.935577291376955</v>
      </c>
      <c r="X157" s="277">
        <f ca="1">DSUM($B$117:$Z$125,X$132,$C$132:$D157)</f>
        <v>19.886994870225163</v>
      </c>
      <c r="Y157" s="277"/>
      <c r="Z157" s="198">
        <f ca="1">DSUM($B$117:$Z$125,Z$117,$C$132:$D157)</f>
        <v>126.15931523421077</v>
      </c>
    </row>
    <row r="158" spans="1:26">
      <c r="A158" s="24"/>
      <c r="B158" s="24" t="s">
        <v>768</v>
      </c>
      <c r="C158" s="276" t="s">
        <v>769</v>
      </c>
      <c r="D158" s="276" t="s">
        <v>770</v>
      </c>
      <c r="E158" s="277">
        <f ca="1">DSUM($B$117:$Z$125,E$132,$C$132:$D158)</f>
        <v>4.8063109486317561</v>
      </c>
      <c r="F158" s="277">
        <f ca="1">DSUM($B$117:$Z$125,F$132,$C$132:$D158)</f>
        <v>8.5110622128834041</v>
      </c>
      <c r="G158" s="277">
        <f ca="1">DSUM($B$117:$Z$125,G$132,$C$132:$D158)</f>
        <v>11.361916818723241</v>
      </c>
      <c r="H158" s="277">
        <f ca="1">DSUM($B$117:$Z$125,H$132,$C$132:$D158)</f>
        <v>13.550878385434526</v>
      </c>
      <c r="I158" s="277">
        <f ca="1">DSUM($B$117:$Z$125,I$132,$C$132:$D158)</f>
        <v>15.226800418483165</v>
      </c>
      <c r="J158" s="277">
        <f ca="1">DSUM($B$117:$Z$125,J$132,$C$132:$D158)</f>
        <v>16.743617959460998</v>
      </c>
      <c r="K158" s="277">
        <f ca="1">DSUM($B$117:$Z$125,K$132,$C$132:$D158)</f>
        <v>17.654898908368128</v>
      </c>
      <c r="L158" s="277">
        <f ca="1">DSUM($B$117:$Z$125,L$132,$C$132:$D158)</f>
        <v>18.341894359085686</v>
      </c>
      <c r="M158" s="277">
        <f ca="1">DSUM($B$117:$Z$125,M$132,$C$132:$D158)</f>
        <v>18.869974696967827</v>
      </c>
      <c r="N158" s="277">
        <f ca="1">DSUM($B$117:$Z$125,N$132,$C$132:$D158)</f>
        <v>19.243113157941256</v>
      </c>
      <c r="O158" s="277">
        <f ca="1">DSUM($B$117:$Z$125,O$132,$C$132:$D158)</f>
        <v>19.517763715084183</v>
      </c>
      <c r="P158" s="277">
        <f ca="1">DSUM($B$117:$Z$125,P$132,$C$132:$D158)</f>
        <v>19.721874049033438</v>
      </c>
      <c r="Q158" s="277">
        <f ca="1">DSUM($B$117:$Z$125,Q$132,$C$132:$D158)</f>
        <v>19.85410437714674</v>
      </c>
      <c r="R158" s="277">
        <f ca="1">DSUM($B$117:$Z$125,R$132,$C$132:$D158)</f>
        <v>19.940833396156464</v>
      </c>
      <c r="S158" s="277">
        <f ca="1">DSUM($B$117:$Z$125,S$132,$C$132:$D158)</f>
        <v>19.98810042875337</v>
      </c>
      <c r="T158" s="277">
        <f ca="1">DSUM($B$117:$Z$125,T$132,$C$132:$D158)</f>
        <v>20.005053035146098</v>
      </c>
      <c r="U158" s="277">
        <f ca="1">DSUM($B$117:$Z$125,U$132,$C$132:$D158)</f>
        <v>20.002388714917487</v>
      </c>
      <c r="V158" s="277">
        <f ca="1">DSUM($B$117:$Z$125,V$132,$C$132:$D158)</f>
        <v>19.979630913913283</v>
      </c>
      <c r="W158" s="277">
        <f ca="1">DSUM($B$117:$Z$125,W$132,$C$132:$D158)</f>
        <v>19.935577291376955</v>
      </c>
      <c r="X158" s="277">
        <f ca="1">DSUM($B$117:$Z$125,X$132,$C$132:$D158)</f>
        <v>19.886994870225163</v>
      </c>
      <c r="Y158" s="277"/>
      <c r="Z158" s="198">
        <f ca="1">DSUM($B$117:$Z$125,Z$117,$C$132:$D158)</f>
        <v>126.15931523421077</v>
      </c>
    </row>
    <row r="159" spans="1:26">
      <c r="A159" s="24"/>
      <c r="B159" s="24" t="s">
        <v>771</v>
      </c>
      <c r="C159" s="276" t="s">
        <v>772</v>
      </c>
      <c r="D159" s="276" t="s">
        <v>773</v>
      </c>
      <c r="E159" s="277">
        <f ca="1">DSUM($B$117:$Z$125,E$132,$C$132:$D159)</f>
        <v>4.8063109486317561</v>
      </c>
      <c r="F159" s="277">
        <f ca="1">DSUM($B$117:$Z$125,F$132,$C$132:$D159)</f>
        <v>8.5110622128834041</v>
      </c>
      <c r="G159" s="277">
        <f ca="1">DSUM($B$117:$Z$125,G$132,$C$132:$D159)</f>
        <v>11.361916818723241</v>
      </c>
      <c r="H159" s="277">
        <f ca="1">DSUM($B$117:$Z$125,H$132,$C$132:$D159)</f>
        <v>13.550878385434526</v>
      </c>
      <c r="I159" s="277">
        <f ca="1">DSUM($B$117:$Z$125,I$132,$C$132:$D159)</f>
        <v>15.226800418483165</v>
      </c>
      <c r="J159" s="277">
        <f ca="1">DSUM($B$117:$Z$125,J$132,$C$132:$D159)</f>
        <v>16.743617959460998</v>
      </c>
      <c r="K159" s="277">
        <f ca="1">DSUM($B$117:$Z$125,K$132,$C$132:$D159)</f>
        <v>17.654898908368128</v>
      </c>
      <c r="L159" s="277">
        <f ca="1">DSUM($B$117:$Z$125,L$132,$C$132:$D159)</f>
        <v>18.341894359085686</v>
      </c>
      <c r="M159" s="277">
        <f ca="1">DSUM($B$117:$Z$125,M$132,$C$132:$D159)</f>
        <v>18.869974696967827</v>
      </c>
      <c r="N159" s="277">
        <f ca="1">DSUM($B$117:$Z$125,N$132,$C$132:$D159)</f>
        <v>19.243113157941256</v>
      </c>
      <c r="O159" s="277">
        <f ca="1">DSUM($B$117:$Z$125,O$132,$C$132:$D159)</f>
        <v>19.517763715084183</v>
      </c>
      <c r="P159" s="277">
        <f ca="1">DSUM($B$117:$Z$125,P$132,$C$132:$D159)</f>
        <v>19.721874049033438</v>
      </c>
      <c r="Q159" s="277">
        <f ca="1">DSUM($B$117:$Z$125,Q$132,$C$132:$D159)</f>
        <v>19.85410437714674</v>
      </c>
      <c r="R159" s="277">
        <f ca="1">DSUM($B$117:$Z$125,R$132,$C$132:$D159)</f>
        <v>19.940833396156464</v>
      </c>
      <c r="S159" s="277">
        <f ca="1">DSUM($B$117:$Z$125,S$132,$C$132:$D159)</f>
        <v>19.98810042875337</v>
      </c>
      <c r="T159" s="277">
        <f ca="1">DSUM($B$117:$Z$125,T$132,$C$132:$D159)</f>
        <v>20.005053035146098</v>
      </c>
      <c r="U159" s="277">
        <f ca="1">DSUM($B$117:$Z$125,U$132,$C$132:$D159)</f>
        <v>20.002388714917487</v>
      </c>
      <c r="V159" s="277">
        <f ca="1">DSUM($B$117:$Z$125,V$132,$C$132:$D159)</f>
        <v>19.979630913913283</v>
      </c>
      <c r="W159" s="277">
        <f ca="1">DSUM($B$117:$Z$125,W$132,$C$132:$D159)</f>
        <v>19.935577291376955</v>
      </c>
      <c r="X159" s="277">
        <f ca="1">DSUM($B$117:$Z$125,X$132,$C$132:$D159)</f>
        <v>19.886994870225163</v>
      </c>
      <c r="Y159" s="277"/>
      <c r="Z159" s="198">
        <f ca="1">DSUM($B$117:$Z$125,Z$117,$C$132:$D159)</f>
        <v>126.15931523421077</v>
      </c>
    </row>
    <row r="160" spans="1:26">
      <c r="A160" s="24"/>
      <c r="B160" s="24" t="s">
        <v>774</v>
      </c>
      <c r="C160" s="276" t="s">
        <v>775</v>
      </c>
      <c r="D160" s="276" t="s">
        <v>776</v>
      </c>
      <c r="E160" s="277">
        <f ca="1">DSUM($B$117:$Z$125,E$132,$C$132:$D160)</f>
        <v>4.8063109486317561</v>
      </c>
      <c r="F160" s="277">
        <f ca="1">DSUM($B$117:$Z$125,F$132,$C$132:$D160)</f>
        <v>8.5110622128834041</v>
      </c>
      <c r="G160" s="277">
        <f ca="1">DSUM($B$117:$Z$125,G$132,$C$132:$D160)</f>
        <v>11.361916818723241</v>
      </c>
      <c r="H160" s="277">
        <f ca="1">DSUM($B$117:$Z$125,H$132,$C$132:$D160)</f>
        <v>13.550878385434526</v>
      </c>
      <c r="I160" s="277">
        <f ca="1">DSUM($B$117:$Z$125,I$132,$C$132:$D160)</f>
        <v>15.226800418483165</v>
      </c>
      <c r="J160" s="277">
        <f ca="1">DSUM($B$117:$Z$125,J$132,$C$132:$D160)</f>
        <v>16.743617959460998</v>
      </c>
      <c r="K160" s="277">
        <f ca="1">DSUM($B$117:$Z$125,K$132,$C$132:$D160)</f>
        <v>17.654898908368128</v>
      </c>
      <c r="L160" s="277">
        <f ca="1">DSUM($B$117:$Z$125,L$132,$C$132:$D160)</f>
        <v>18.341894359085686</v>
      </c>
      <c r="M160" s="277">
        <f ca="1">DSUM($B$117:$Z$125,M$132,$C$132:$D160)</f>
        <v>18.869974696967827</v>
      </c>
      <c r="N160" s="277">
        <f ca="1">DSUM($B$117:$Z$125,N$132,$C$132:$D160)</f>
        <v>19.243113157941256</v>
      </c>
      <c r="O160" s="277">
        <f ca="1">DSUM($B$117:$Z$125,O$132,$C$132:$D160)</f>
        <v>19.517763715084183</v>
      </c>
      <c r="P160" s="277">
        <f ca="1">DSUM($B$117:$Z$125,P$132,$C$132:$D160)</f>
        <v>19.721874049033438</v>
      </c>
      <c r="Q160" s="277">
        <f ca="1">DSUM($B$117:$Z$125,Q$132,$C$132:$D160)</f>
        <v>19.85410437714674</v>
      </c>
      <c r="R160" s="277">
        <f ca="1">DSUM($B$117:$Z$125,R$132,$C$132:$D160)</f>
        <v>19.940833396156464</v>
      </c>
      <c r="S160" s="277">
        <f ca="1">DSUM($B$117:$Z$125,S$132,$C$132:$D160)</f>
        <v>19.98810042875337</v>
      </c>
      <c r="T160" s="277">
        <f ca="1">DSUM($B$117:$Z$125,T$132,$C$132:$D160)</f>
        <v>20.005053035146098</v>
      </c>
      <c r="U160" s="277">
        <f ca="1">DSUM($B$117:$Z$125,U$132,$C$132:$D160)</f>
        <v>20.002388714917487</v>
      </c>
      <c r="V160" s="277">
        <f ca="1">DSUM($B$117:$Z$125,V$132,$C$132:$D160)</f>
        <v>19.979630913913283</v>
      </c>
      <c r="W160" s="277">
        <f ca="1">DSUM($B$117:$Z$125,W$132,$C$132:$D160)</f>
        <v>19.935577291376955</v>
      </c>
      <c r="X160" s="277">
        <f ca="1">DSUM($B$117:$Z$125,X$132,$C$132:$D160)</f>
        <v>19.886994870225163</v>
      </c>
      <c r="Y160" s="277"/>
      <c r="Z160" s="198">
        <f ca="1">DSUM($B$117:$Z$125,Z$117,$C$132:$D160)</f>
        <v>126.15931523421077</v>
      </c>
    </row>
    <row r="161" spans="1:26">
      <c r="A161" s="24"/>
      <c r="B161" s="24" t="s">
        <v>777</v>
      </c>
      <c r="C161" s="276" t="s">
        <v>778</v>
      </c>
      <c r="D161" s="276" t="s">
        <v>779</v>
      </c>
      <c r="E161" s="277">
        <f ca="1">DSUM($B$117:$Z$125,E$132,$C$132:$D161)</f>
        <v>4.8063109486317561</v>
      </c>
      <c r="F161" s="277">
        <f ca="1">DSUM($B$117:$Z$125,F$132,$C$132:$D161)</f>
        <v>8.5110622128834041</v>
      </c>
      <c r="G161" s="277">
        <f ca="1">DSUM($B$117:$Z$125,G$132,$C$132:$D161)</f>
        <v>11.361916818723241</v>
      </c>
      <c r="H161" s="277">
        <f ca="1">DSUM($B$117:$Z$125,H$132,$C$132:$D161)</f>
        <v>13.550878385434526</v>
      </c>
      <c r="I161" s="277">
        <f ca="1">DSUM($B$117:$Z$125,I$132,$C$132:$D161)</f>
        <v>15.226800418483165</v>
      </c>
      <c r="J161" s="277">
        <f ca="1">DSUM($B$117:$Z$125,J$132,$C$132:$D161)</f>
        <v>16.743617959460998</v>
      </c>
      <c r="K161" s="277">
        <f ca="1">DSUM($B$117:$Z$125,K$132,$C$132:$D161)</f>
        <v>17.654898908368128</v>
      </c>
      <c r="L161" s="277">
        <f ca="1">DSUM($B$117:$Z$125,L$132,$C$132:$D161)</f>
        <v>18.341894359085686</v>
      </c>
      <c r="M161" s="277">
        <f ca="1">DSUM($B$117:$Z$125,M$132,$C$132:$D161)</f>
        <v>18.869974696967827</v>
      </c>
      <c r="N161" s="277">
        <f ca="1">DSUM($B$117:$Z$125,N$132,$C$132:$D161)</f>
        <v>19.243113157941256</v>
      </c>
      <c r="O161" s="277">
        <f ca="1">DSUM($B$117:$Z$125,O$132,$C$132:$D161)</f>
        <v>19.517763715084183</v>
      </c>
      <c r="P161" s="277">
        <f ca="1">DSUM($B$117:$Z$125,P$132,$C$132:$D161)</f>
        <v>19.721874049033438</v>
      </c>
      <c r="Q161" s="277">
        <f ca="1">DSUM($B$117:$Z$125,Q$132,$C$132:$D161)</f>
        <v>19.85410437714674</v>
      </c>
      <c r="R161" s="277">
        <f ca="1">DSUM($B$117:$Z$125,R$132,$C$132:$D161)</f>
        <v>19.940833396156464</v>
      </c>
      <c r="S161" s="277">
        <f ca="1">DSUM($B$117:$Z$125,S$132,$C$132:$D161)</f>
        <v>19.98810042875337</v>
      </c>
      <c r="T161" s="277">
        <f ca="1">DSUM($B$117:$Z$125,T$132,$C$132:$D161)</f>
        <v>20.005053035146098</v>
      </c>
      <c r="U161" s="277">
        <f ca="1">DSUM($B$117:$Z$125,U$132,$C$132:$D161)</f>
        <v>20.002388714917487</v>
      </c>
      <c r="V161" s="277">
        <f ca="1">DSUM($B$117:$Z$125,V$132,$C$132:$D161)</f>
        <v>19.979630913913283</v>
      </c>
      <c r="W161" s="277">
        <f ca="1">DSUM($B$117:$Z$125,W$132,$C$132:$D161)</f>
        <v>19.935577291376955</v>
      </c>
      <c r="X161" s="277">
        <f ca="1">DSUM($B$117:$Z$125,X$132,$C$132:$D161)</f>
        <v>19.886994870225163</v>
      </c>
      <c r="Y161" s="277"/>
      <c r="Z161" s="198">
        <f ca="1">DSUM($B$117:$Z$125,Z$117,$C$132:$D161)</f>
        <v>126.15931523421077</v>
      </c>
    </row>
    <row r="162" spans="1:26">
      <c r="A162" s="24"/>
      <c r="B162" s="24" t="s">
        <v>780</v>
      </c>
      <c r="C162" s="276" t="s">
        <v>781</v>
      </c>
      <c r="D162" s="276" t="s">
        <v>782</v>
      </c>
      <c r="E162" s="277">
        <f ca="1">DSUM($B$117:$Z$125,E$132,$C$132:$D162)</f>
        <v>4.8063109486317561</v>
      </c>
      <c r="F162" s="277">
        <f ca="1">DSUM($B$117:$Z$125,F$132,$C$132:$D162)</f>
        <v>8.5110622128834041</v>
      </c>
      <c r="G162" s="277">
        <f ca="1">DSUM($B$117:$Z$125,G$132,$C$132:$D162)</f>
        <v>11.361916818723241</v>
      </c>
      <c r="H162" s="277">
        <f ca="1">DSUM($B$117:$Z$125,H$132,$C$132:$D162)</f>
        <v>13.550878385434526</v>
      </c>
      <c r="I162" s="277">
        <f ca="1">DSUM($B$117:$Z$125,I$132,$C$132:$D162)</f>
        <v>15.226800418483165</v>
      </c>
      <c r="J162" s="277">
        <f ca="1">DSUM($B$117:$Z$125,J$132,$C$132:$D162)</f>
        <v>16.743617959460998</v>
      </c>
      <c r="K162" s="277">
        <f ca="1">DSUM($B$117:$Z$125,K$132,$C$132:$D162)</f>
        <v>17.654898908368128</v>
      </c>
      <c r="L162" s="277">
        <f ca="1">DSUM($B$117:$Z$125,L$132,$C$132:$D162)</f>
        <v>18.341894359085686</v>
      </c>
      <c r="M162" s="277">
        <f ca="1">DSUM($B$117:$Z$125,M$132,$C$132:$D162)</f>
        <v>18.869974696967827</v>
      </c>
      <c r="N162" s="277">
        <f ca="1">DSUM($B$117:$Z$125,N$132,$C$132:$D162)</f>
        <v>19.243113157941256</v>
      </c>
      <c r="O162" s="277">
        <f ca="1">DSUM($B$117:$Z$125,O$132,$C$132:$D162)</f>
        <v>19.517763715084183</v>
      </c>
      <c r="P162" s="277">
        <f ca="1">DSUM($B$117:$Z$125,P$132,$C$132:$D162)</f>
        <v>19.721874049033438</v>
      </c>
      <c r="Q162" s="277">
        <f ca="1">DSUM($B$117:$Z$125,Q$132,$C$132:$D162)</f>
        <v>19.85410437714674</v>
      </c>
      <c r="R162" s="277">
        <f ca="1">DSUM($B$117:$Z$125,R$132,$C$132:$D162)</f>
        <v>19.940833396156464</v>
      </c>
      <c r="S162" s="277">
        <f ca="1">DSUM($B$117:$Z$125,S$132,$C$132:$D162)</f>
        <v>19.98810042875337</v>
      </c>
      <c r="T162" s="277">
        <f ca="1">DSUM($B$117:$Z$125,T$132,$C$132:$D162)</f>
        <v>20.005053035146098</v>
      </c>
      <c r="U162" s="277">
        <f ca="1">DSUM($B$117:$Z$125,U$132,$C$132:$D162)</f>
        <v>20.002388714917487</v>
      </c>
      <c r="V162" s="277">
        <f ca="1">DSUM($B$117:$Z$125,V$132,$C$132:$D162)</f>
        <v>19.979630913913283</v>
      </c>
      <c r="W162" s="277">
        <f ca="1">DSUM($B$117:$Z$125,W$132,$C$132:$D162)</f>
        <v>19.935577291376955</v>
      </c>
      <c r="X162" s="277">
        <f ca="1">DSUM($B$117:$Z$125,X$132,$C$132:$D162)</f>
        <v>19.886994870225163</v>
      </c>
      <c r="Y162" s="277"/>
      <c r="Z162" s="198">
        <f ca="1">DSUM($B$117:$Z$125,Z$117,$C$132:$D162)</f>
        <v>126.15931523421077</v>
      </c>
    </row>
    <row r="163" spans="1:26">
      <c r="A163" s="24"/>
      <c r="B163" s="24" t="s">
        <v>783</v>
      </c>
      <c r="C163" s="276" t="s">
        <v>784</v>
      </c>
      <c r="D163" s="276" t="s">
        <v>785</v>
      </c>
      <c r="E163" s="277">
        <f ca="1">DSUM($B$117:$Z$125,E$132,$C$132:$D163)</f>
        <v>4.8063109486317561</v>
      </c>
      <c r="F163" s="277">
        <f ca="1">DSUM($B$117:$Z$125,F$132,$C$132:$D163)</f>
        <v>8.5110622128834041</v>
      </c>
      <c r="G163" s="277">
        <f ca="1">DSUM($B$117:$Z$125,G$132,$C$132:$D163)</f>
        <v>11.361916818723241</v>
      </c>
      <c r="H163" s="277">
        <f ca="1">DSUM($B$117:$Z$125,H$132,$C$132:$D163)</f>
        <v>13.550878385434526</v>
      </c>
      <c r="I163" s="277">
        <f ca="1">DSUM($B$117:$Z$125,I$132,$C$132:$D163)</f>
        <v>15.226800418483165</v>
      </c>
      <c r="J163" s="277">
        <f ca="1">DSUM($B$117:$Z$125,J$132,$C$132:$D163)</f>
        <v>16.743617959460998</v>
      </c>
      <c r="K163" s="277">
        <f ca="1">DSUM($B$117:$Z$125,K$132,$C$132:$D163)</f>
        <v>17.654898908368128</v>
      </c>
      <c r="L163" s="277">
        <f ca="1">DSUM($B$117:$Z$125,L$132,$C$132:$D163)</f>
        <v>18.341894359085686</v>
      </c>
      <c r="M163" s="277">
        <f ca="1">DSUM($B$117:$Z$125,M$132,$C$132:$D163)</f>
        <v>18.869974696967827</v>
      </c>
      <c r="N163" s="277">
        <f ca="1">DSUM($B$117:$Z$125,N$132,$C$132:$D163)</f>
        <v>19.243113157941256</v>
      </c>
      <c r="O163" s="277">
        <f ca="1">DSUM($B$117:$Z$125,O$132,$C$132:$D163)</f>
        <v>19.517763715084183</v>
      </c>
      <c r="P163" s="277">
        <f ca="1">DSUM($B$117:$Z$125,P$132,$C$132:$D163)</f>
        <v>19.721874049033438</v>
      </c>
      <c r="Q163" s="277">
        <f ca="1">DSUM($B$117:$Z$125,Q$132,$C$132:$D163)</f>
        <v>19.85410437714674</v>
      </c>
      <c r="R163" s="277">
        <f ca="1">DSUM($B$117:$Z$125,R$132,$C$132:$D163)</f>
        <v>19.940833396156464</v>
      </c>
      <c r="S163" s="277">
        <f ca="1">DSUM($B$117:$Z$125,S$132,$C$132:$D163)</f>
        <v>19.98810042875337</v>
      </c>
      <c r="T163" s="277">
        <f ca="1">DSUM($B$117:$Z$125,T$132,$C$132:$D163)</f>
        <v>20.005053035146098</v>
      </c>
      <c r="U163" s="277">
        <f ca="1">DSUM($B$117:$Z$125,U$132,$C$132:$D163)</f>
        <v>20.002388714917487</v>
      </c>
      <c r="V163" s="277">
        <f ca="1">DSUM($B$117:$Z$125,V$132,$C$132:$D163)</f>
        <v>19.979630913913283</v>
      </c>
      <c r="W163" s="277">
        <f ca="1">DSUM($B$117:$Z$125,W$132,$C$132:$D163)</f>
        <v>19.935577291376955</v>
      </c>
      <c r="X163" s="277">
        <f ca="1">DSUM($B$117:$Z$125,X$132,$C$132:$D163)</f>
        <v>19.886994870225163</v>
      </c>
      <c r="Y163" s="277"/>
      <c r="Z163" s="198">
        <f ca="1">DSUM($B$117:$Z$125,Z$117,$C$132:$D163)</f>
        <v>126.15931523421077</v>
      </c>
    </row>
    <row r="164" spans="1:26">
      <c r="A164" s="24"/>
      <c r="B164" s="24" t="s">
        <v>786</v>
      </c>
      <c r="C164" s="276" t="s">
        <v>787</v>
      </c>
      <c r="D164" s="276" t="s">
        <v>788</v>
      </c>
      <c r="E164" s="277">
        <f ca="1">DSUM($B$117:$Z$125,E$132,$C$132:$D164)</f>
        <v>4.8063109486317561</v>
      </c>
      <c r="F164" s="277">
        <f ca="1">DSUM($B$117:$Z$125,F$132,$C$132:$D164)</f>
        <v>8.5110622128834041</v>
      </c>
      <c r="G164" s="277">
        <f ca="1">DSUM($B$117:$Z$125,G$132,$C$132:$D164)</f>
        <v>11.361916818723241</v>
      </c>
      <c r="H164" s="277">
        <f ca="1">DSUM($B$117:$Z$125,H$132,$C$132:$D164)</f>
        <v>13.550878385434526</v>
      </c>
      <c r="I164" s="277">
        <f ca="1">DSUM($B$117:$Z$125,I$132,$C$132:$D164)</f>
        <v>15.226800418483165</v>
      </c>
      <c r="J164" s="277">
        <f ca="1">DSUM($B$117:$Z$125,J$132,$C$132:$D164)</f>
        <v>16.743617959460998</v>
      </c>
      <c r="K164" s="277">
        <f ca="1">DSUM($B$117:$Z$125,K$132,$C$132:$D164)</f>
        <v>17.654898908368128</v>
      </c>
      <c r="L164" s="277">
        <f ca="1">DSUM($B$117:$Z$125,L$132,$C$132:$D164)</f>
        <v>18.341894359085686</v>
      </c>
      <c r="M164" s="277">
        <f ca="1">DSUM($B$117:$Z$125,M$132,$C$132:$D164)</f>
        <v>18.869974696967827</v>
      </c>
      <c r="N164" s="277">
        <f ca="1">DSUM($B$117:$Z$125,N$132,$C$132:$D164)</f>
        <v>19.243113157941256</v>
      </c>
      <c r="O164" s="277">
        <f ca="1">DSUM($B$117:$Z$125,O$132,$C$132:$D164)</f>
        <v>19.517763715084183</v>
      </c>
      <c r="P164" s="277">
        <f ca="1">DSUM($B$117:$Z$125,P$132,$C$132:$D164)</f>
        <v>19.721874049033438</v>
      </c>
      <c r="Q164" s="277">
        <f ca="1">DSUM($B$117:$Z$125,Q$132,$C$132:$D164)</f>
        <v>19.85410437714674</v>
      </c>
      <c r="R164" s="277">
        <f ca="1">DSUM($B$117:$Z$125,R$132,$C$132:$D164)</f>
        <v>19.940833396156464</v>
      </c>
      <c r="S164" s="277">
        <f ca="1">DSUM($B$117:$Z$125,S$132,$C$132:$D164)</f>
        <v>19.98810042875337</v>
      </c>
      <c r="T164" s="277">
        <f ca="1">DSUM($B$117:$Z$125,T$132,$C$132:$D164)</f>
        <v>20.005053035146098</v>
      </c>
      <c r="U164" s="277">
        <f ca="1">DSUM($B$117:$Z$125,U$132,$C$132:$D164)</f>
        <v>20.002388714917487</v>
      </c>
      <c r="V164" s="277">
        <f ca="1">DSUM($B$117:$Z$125,V$132,$C$132:$D164)</f>
        <v>19.979630913913283</v>
      </c>
      <c r="W164" s="277">
        <f ca="1">DSUM($B$117:$Z$125,W$132,$C$132:$D164)</f>
        <v>19.935577291376955</v>
      </c>
      <c r="X164" s="277">
        <f ca="1">DSUM($B$117:$Z$125,X$132,$C$132:$D164)</f>
        <v>19.886994870225163</v>
      </c>
      <c r="Y164" s="277"/>
      <c r="Z164" s="198">
        <f ca="1">DSUM($B$117:$Z$125,Z$117,$C$132:$D164)</f>
        <v>126.15931523421077</v>
      </c>
    </row>
    <row r="165" spans="1:26">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
      <c r="A167" s="350" t="s">
        <v>789</v>
      </c>
      <c r="B167" s="350"/>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
      <c r="A168" s="24"/>
      <c r="B168" s="24"/>
      <c r="C168" s="243" t="s">
        <v>940</v>
      </c>
      <c r="D168" s="243" t="str">
        <f>$C$11</f>
        <v>Exterior Building Lighting-NR</v>
      </c>
      <c r="E168" s="267">
        <f t="shared" ref="E168:X168" si="39">E11</f>
        <v>2016</v>
      </c>
      <c r="F168" s="267">
        <f t="shared" si="39"/>
        <v>2017</v>
      </c>
      <c r="G168" s="267">
        <f t="shared" si="39"/>
        <v>2018</v>
      </c>
      <c r="H168" s="267">
        <f t="shared" si="39"/>
        <v>2019</v>
      </c>
      <c r="I168" s="267">
        <f t="shared" si="39"/>
        <v>2020</v>
      </c>
      <c r="J168" s="267">
        <f t="shared" si="39"/>
        <v>2021</v>
      </c>
      <c r="K168" s="267">
        <f t="shared" si="39"/>
        <v>2022</v>
      </c>
      <c r="L168" s="267">
        <f t="shared" si="39"/>
        <v>2023</v>
      </c>
      <c r="M168" s="267">
        <f t="shared" si="39"/>
        <v>2024</v>
      </c>
      <c r="N168" s="267">
        <f t="shared" si="39"/>
        <v>2025</v>
      </c>
      <c r="O168" s="267">
        <f t="shared" si="39"/>
        <v>2026</v>
      </c>
      <c r="P168" s="267">
        <f t="shared" si="39"/>
        <v>2027</v>
      </c>
      <c r="Q168" s="267">
        <f t="shared" si="39"/>
        <v>2028</v>
      </c>
      <c r="R168" s="267">
        <f t="shared" si="39"/>
        <v>2029</v>
      </c>
      <c r="S168" s="267">
        <f t="shared" si="39"/>
        <v>2030</v>
      </c>
      <c r="T168" s="267">
        <f t="shared" si="39"/>
        <v>2031</v>
      </c>
      <c r="U168" s="267">
        <f t="shared" si="39"/>
        <v>2032</v>
      </c>
      <c r="V168" s="267">
        <f t="shared" si="39"/>
        <v>2033</v>
      </c>
      <c r="W168" s="267">
        <f t="shared" si="39"/>
        <v>2034</v>
      </c>
      <c r="X168" s="267">
        <f t="shared" si="39"/>
        <v>2035</v>
      </c>
      <c r="Y168" s="243"/>
      <c r="Z168" s="24"/>
    </row>
    <row r="169" spans="1:26" ht="15">
      <c r="A169" s="24"/>
      <c r="B169" s="24"/>
      <c r="C169" s="243"/>
      <c r="D169" s="243"/>
      <c r="E169" s="269" t="str">
        <f>CONCATENATE("aMW_",E$11)</f>
        <v>aMW_2016</v>
      </c>
      <c r="F169" s="269" t="str">
        <f t="shared" ref="F169:X169" si="40">CONCATENATE("aMW_",F$11)</f>
        <v>aMW_2017</v>
      </c>
      <c r="G169" s="269" t="str">
        <f t="shared" si="40"/>
        <v>aMW_2018</v>
      </c>
      <c r="H169" s="269" t="str">
        <f t="shared" si="40"/>
        <v>aMW_2019</v>
      </c>
      <c r="I169" s="269" t="str">
        <f t="shared" si="40"/>
        <v>aMW_2020</v>
      </c>
      <c r="J169" s="269" t="str">
        <f t="shared" si="40"/>
        <v>aMW_2021</v>
      </c>
      <c r="K169" s="269" t="str">
        <f t="shared" si="40"/>
        <v>aMW_2022</v>
      </c>
      <c r="L169" s="269" t="str">
        <f t="shared" si="40"/>
        <v>aMW_2023</v>
      </c>
      <c r="M169" s="269" t="str">
        <f t="shared" si="40"/>
        <v>aMW_2024</v>
      </c>
      <c r="N169" s="269" t="str">
        <f t="shared" si="40"/>
        <v>aMW_2025</v>
      </c>
      <c r="O169" s="269" t="str">
        <f t="shared" si="40"/>
        <v>aMW_2026</v>
      </c>
      <c r="P169" s="269" t="str">
        <f t="shared" si="40"/>
        <v>aMW_2027</v>
      </c>
      <c r="Q169" s="269" t="str">
        <f t="shared" si="40"/>
        <v>aMW_2028</v>
      </c>
      <c r="R169" s="269" t="str">
        <f t="shared" si="40"/>
        <v>aMW_2029</v>
      </c>
      <c r="S169" s="269" t="str">
        <f t="shared" si="40"/>
        <v>aMW_2030</v>
      </c>
      <c r="T169" s="269" t="str">
        <f t="shared" si="40"/>
        <v>aMW_2031</v>
      </c>
      <c r="U169" s="269" t="str">
        <f t="shared" si="40"/>
        <v>aMW_2032</v>
      </c>
      <c r="V169" s="269" t="str">
        <f t="shared" si="40"/>
        <v>aMW_2033</v>
      </c>
      <c r="W169" s="269" t="str">
        <f t="shared" si="40"/>
        <v>aMW_2034</v>
      </c>
      <c r="X169" s="269" t="str">
        <f t="shared" si="40"/>
        <v>aMW_2035</v>
      </c>
      <c r="Y169" s="351"/>
      <c r="Z169" s="251" t="s">
        <v>699</v>
      </c>
    </row>
    <row r="170" spans="1:26">
      <c r="A170" s="24"/>
      <c r="B170" s="24"/>
      <c r="C170" s="24" t="s">
        <v>643</v>
      </c>
      <c r="D170" s="24"/>
      <c r="E170" s="279">
        <f t="shared" ref="E170:X170" ca="1" si="41">E133</f>
        <v>0.50707196967634349</v>
      </c>
      <c r="F170" s="279">
        <f t="shared" ca="1" si="41"/>
        <v>0.89792797978525962</v>
      </c>
      <c r="G170" s="279">
        <f t="shared" ca="1" si="41"/>
        <v>1.1986967972200964</v>
      </c>
      <c r="H170" s="279">
        <f t="shared" ca="1" si="41"/>
        <v>1.4296350500799293</v>
      </c>
      <c r="I170" s="279">
        <f t="shared" ca="1" si="41"/>
        <v>1.6064469741115777</v>
      </c>
      <c r="J170" s="279">
        <f t="shared" ca="1" si="41"/>
        <v>1.7664731701616301</v>
      </c>
      <c r="K170" s="279">
        <f t="shared" ca="1" si="41"/>
        <v>1.8626144790843093</v>
      </c>
      <c r="L170" s="279">
        <f t="shared" ca="1" si="41"/>
        <v>1.9350933802784172</v>
      </c>
      <c r="M170" s="279">
        <f t="shared" ca="1" si="41"/>
        <v>1.9908065332431619</v>
      </c>
      <c r="N170" s="279">
        <f t="shared" ca="1" si="41"/>
        <v>2.0301731194648998</v>
      </c>
      <c r="O170" s="279">
        <f t="shared" ca="1" si="41"/>
        <v>2.0591491055114988</v>
      </c>
      <c r="P170" s="279">
        <f t="shared" ca="1" si="41"/>
        <v>2.0806830075359626</v>
      </c>
      <c r="Q170" s="279">
        <f t="shared" ca="1" si="41"/>
        <v>2.0946334767511208</v>
      </c>
      <c r="R170" s="279">
        <f t="shared" ca="1" si="41"/>
        <v>2.1037834994956692</v>
      </c>
      <c r="S170" s="279">
        <f t="shared" ca="1" si="41"/>
        <v>2.1087702320595487</v>
      </c>
      <c r="T170" s="279">
        <f t="shared" ca="1" si="41"/>
        <v>2.110558753777469</v>
      </c>
      <c r="U170" s="279">
        <f t="shared" ca="1" si="41"/>
        <v>2.1102776645760821</v>
      </c>
      <c r="V170" s="279">
        <f t="shared" ca="1" si="41"/>
        <v>2.1078766873808821</v>
      </c>
      <c r="W170" s="279">
        <f t="shared" ca="1" si="41"/>
        <v>2.1032289736999283</v>
      </c>
      <c r="X170" s="279">
        <f t="shared" ca="1" si="41"/>
        <v>2.098103465956386</v>
      </c>
      <c r="Y170" s="279"/>
      <c r="Z170" s="279">
        <f t="shared" ref="Z170" ca="1" si="42">Z133</f>
        <v>11.738298984992882</v>
      </c>
    </row>
    <row r="171" spans="1:26">
      <c r="A171" s="24"/>
      <c r="B171" s="24"/>
      <c r="C171" s="24" t="s">
        <v>644</v>
      </c>
      <c r="D171" s="24"/>
      <c r="E171" s="279">
        <f t="shared" ref="E171:X183" ca="1" si="43">E134-E133</f>
        <v>4.2992389789554126</v>
      </c>
      <c r="F171" s="279">
        <f t="shared" ca="1" si="43"/>
        <v>7.6131342330981449</v>
      </c>
      <c r="G171" s="279">
        <f t="shared" ca="1" si="43"/>
        <v>10.163220021503145</v>
      </c>
      <c r="H171" s="279">
        <f t="shared" ca="1" si="43"/>
        <v>12.121243335354597</v>
      </c>
      <c r="I171" s="279">
        <f t="shared" ca="1" si="43"/>
        <v>13.620353444371588</v>
      </c>
      <c r="J171" s="279">
        <f t="shared" ca="1" si="43"/>
        <v>14.977144789299368</v>
      </c>
      <c r="K171" s="279">
        <f t="shared" ca="1" si="43"/>
        <v>15.79228442928382</v>
      </c>
      <c r="L171" s="279">
        <f t="shared" ca="1" si="43"/>
        <v>16.406800978807269</v>
      </c>
      <c r="M171" s="279">
        <f t="shared" ca="1" si="43"/>
        <v>16.879168163724664</v>
      </c>
      <c r="N171" s="279">
        <f t="shared" ca="1" si="43"/>
        <v>17.212940038476354</v>
      </c>
      <c r="O171" s="279">
        <f t="shared" ca="1" si="43"/>
        <v>17.458614609572685</v>
      </c>
      <c r="P171" s="279">
        <f t="shared" ca="1" si="43"/>
        <v>17.641191041497475</v>
      </c>
      <c r="Q171" s="279">
        <f t="shared" ca="1" si="43"/>
        <v>17.75947090039562</v>
      </c>
      <c r="R171" s="279">
        <f t="shared" ca="1" si="43"/>
        <v>17.837049896660794</v>
      </c>
      <c r="S171" s="279">
        <f t="shared" ca="1" si="43"/>
        <v>17.879330196693822</v>
      </c>
      <c r="T171" s="279">
        <f t="shared" ca="1" si="43"/>
        <v>17.89449428136863</v>
      </c>
      <c r="U171" s="279">
        <f t="shared" ca="1" si="43"/>
        <v>17.892111050341406</v>
      </c>
      <c r="V171" s="279">
        <f t="shared" ca="1" si="43"/>
        <v>17.871754226532403</v>
      </c>
      <c r="W171" s="279">
        <f t="shared" ca="1" si="43"/>
        <v>17.832348317677027</v>
      </c>
      <c r="X171" s="279">
        <f t="shared" ca="1" si="43"/>
        <v>17.788891404268778</v>
      </c>
      <c r="Y171" s="279"/>
      <c r="Z171" s="279">
        <f t="shared" ref="Z171:Z201" ca="1" si="44">Z134-Z133</f>
        <v>114.42101624921789</v>
      </c>
    </row>
    <row r="172" spans="1:26">
      <c r="A172" s="24"/>
      <c r="B172" s="24"/>
      <c r="C172" s="24" t="s">
        <v>645</v>
      </c>
      <c r="D172" s="24"/>
      <c r="E172" s="279">
        <f t="shared" ca="1" si="43"/>
        <v>0</v>
      </c>
      <c r="F172" s="279">
        <f t="shared" ca="1" si="43"/>
        <v>0</v>
      </c>
      <c r="G172" s="279">
        <f t="shared" ca="1" si="43"/>
        <v>0</v>
      </c>
      <c r="H172" s="279">
        <f t="shared" ca="1" si="43"/>
        <v>0</v>
      </c>
      <c r="I172" s="279">
        <f t="shared" ca="1" si="43"/>
        <v>0</v>
      </c>
      <c r="J172" s="279">
        <f t="shared" ca="1" si="43"/>
        <v>0</v>
      </c>
      <c r="K172" s="279">
        <f t="shared" ca="1" si="43"/>
        <v>0</v>
      </c>
      <c r="L172" s="279">
        <f t="shared" ca="1" si="43"/>
        <v>0</v>
      </c>
      <c r="M172" s="279">
        <f t="shared" ca="1" si="43"/>
        <v>0</v>
      </c>
      <c r="N172" s="279">
        <f t="shared" ca="1" si="43"/>
        <v>0</v>
      </c>
      <c r="O172" s="279">
        <f t="shared" ca="1" si="43"/>
        <v>0</v>
      </c>
      <c r="P172" s="279">
        <f t="shared" ca="1" si="43"/>
        <v>0</v>
      </c>
      <c r="Q172" s="279">
        <f t="shared" ca="1" si="43"/>
        <v>0</v>
      </c>
      <c r="R172" s="279">
        <f t="shared" ca="1" si="43"/>
        <v>0</v>
      </c>
      <c r="S172" s="279">
        <f t="shared" ca="1" si="43"/>
        <v>0</v>
      </c>
      <c r="T172" s="279">
        <f t="shared" ca="1" si="43"/>
        <v>0</v>
      </c>
      <c r="U172" s="279">
        <f t="shared" ca="1" si="43"/>
        <v>0</v>
      </c>
      <c r="V172" s="279">
        <f t="shared" ca="1" si="43"/>
        <v>0</v>
      </c>
      <c r="W172" s="279">
        <f t="shared" ca="1" si="43"/>
        <v>0</v>
      </c>
      <c r="X172" s="279">
        <f t="shared" ca="1" si="43"/>
        <v>0</v>
      </c>
      <c r="Y172" s="279"/>
      <c r="Z172" s="279">
        <f t="shared" ca="1" si="44"/>
        <v>0</v>
      </c>
    </row>
    <row r="173" spans="1:26">
      <c r="A173" s="24"/>
      <c r="B173" s="24"/>
      <c r="C173" s="24" t="s">
        <v>646</v>
      </c>
      <c r="D173" s="24"/>
      <c r="E173" s="279">
        <f t="shared" ca="1" si="43"/>
        <v>0</v>
      </c>
      <c r="F173" s="279">
        <f t="shared" ca="1" si="43"/>
        <v>0</v>
      </c>
      <c r="G173" s="279">
        <f t="shared" ca="1" si="43"/>
        <v>0</v>
      </c>
      <c r="H173" s="279">
        <f t="shared" ca="1" si="43"/>
        <v>0</v>
      </c>
      <c r="I173" s="279">
        <f t="shared" ca="1" si="43"/>
        <v>0</v>
      </c>
      <c r="J173" s="279">
        <f t="shared" ca="1" si="43"/>
        <v>0</v>
      </c>
      <c r="K173" s="279">
        <f t="shared" ca="1" si="43"/>
        <v>0</v>
      </c>
      <c r="L173" s="279">
        <f t="shared" ca="1" si="43"/>
        <v>0</v>
      </c>
      <c r="M173" s="279">
        <f t="shared" ca="1" si="43"/>
        <v>0</v>
      </c>
      <c r="N173" s="279">
        <f t="shared" ca="1" si="43"/>
        <v>0</v>
      </c>
      <c r="O173" s="279">
        <f t="shared" ca="1" si="43"/>
        <v>0</v>
      </c>
      <c r="P173" s="279">
        <f t="shared" ca="1" si="43"/>
        <v>0</v>
      </c>
      <c r="Q173" s="279">
        <f t="shared" ca="1" si="43"/>
        <v>0</v>
      </c>
      <c r="R173" s="279">
        <f t="shared" ca="1" si="43"/>
        <v>0</v>
      </c>
      <c r="S173" s="279">
        <f t="shared" ca="1" si="43"/>
        <v>0</v>
      </c>
      <c r="T173" s="279">
        <f t="shared" ca="1" si="43"/>
        <v>0</v>
      </c>
      <c r="U173" s="279">
        <f t="shared" ca="1" si="43"/>
        <v>0</v>
      </c>
      <c r="V173" s="279">
        <f t="shared" ca="1" si="43"/>
        <v>0</v>
      </c>
      <c r="W173" s="279">
        <f t="shared" ca="1" si="43"/>
        <v>0</v>
      </c>
      <c r="X173" s="279">
        <f t="shared" ca="1" si="43"/>
        <v>0</v>
      </c>
      <c r="Y173" s="279"/>
      <c r="Z173" s="279">
        <f t="shared" ca="1" si="44"/>
        <v>0</v>
      </c>
    </row>
    <row r="174" spans="1:26">
      <c r="A174" s="24"/>
      <c r="B174" s="24"/>
      <c r="C174" s="24" t="s">
        <v>647</v>
      </c>
      <c r="D174" s="24"/>
      <c r="E174" s="279">
        <f t="shared" ca="1" si="43"/>
        <v>0</v>
      </c>
      <c r="F174" s="279">
        <f t="shared" ca="1" si="43"/>
        <v>0</v>
      </c>
      <c r="G174" s="279">
        <f t="shared" ca="1" si="43"/>
        <v>0</v>
      </c>
      <c r="H174" s="279">
        <f t="shared" ca="1" si="43"/>
        <v>0</v>
      </c>
      <c r="I174" s="279">
        <f t="shared" ca="1" si="43"/>
        <v>0</v>
      </c>
      <c r="J174" s="279">
        <f t="shared" ca="1" si="43"/>
        <v>0</v>
      </c>
      <c r="K174" s="279">
        <f t="shared" ca="1" si="43"/>
        <v>0</v>
      </c>
      <c r="L174" s="279">
        <f t="shared" ca="1" si="43"/>
        <v>0</v>
      </c>
      <c r="M174" s="279">
        <f t="shared" ca="1" si="43"/>
        <v>0</v>
      </c>
      <c r="N174" s="279">
        <f t="shared" ca="1" si="43"/>
        <v>0</v>
      </c>
      <c r="O174" s="279">
        <f t="shared" ca="1" si="43"/>
        <v>0</v>
      </c>
      <c r="P174" s="279">
        <f t="shared" ca="1" si="43"/>
        <v>0</v>
      </c>
      <c r="Q174" s="279">
        <f t="shared" ca="1" si="43"/>
        <v>0</v>
      </c>
      <c r="R174" s="279">
        <f t="shared" ca="1" si="43"/>
        <v>0</v>
      </c>
      <c r="S174" s="279">
        <f t="shared" ca="1" si="43"/>
        <v>0</v>
      </c>
      <c r="T174" s="279">
        <f t="shared" ca="1" si="43"/>
        <v>0</v>
      </c>
      <c r="U174" s="279">
        <f t="shared" ca="1" si="43"/>
        <v>0</v>
      </c>
      <c r="V174" s="279">
        <f t="shared" ca="1" si="43"/>
        <v>0</v>
      </c>
      <c r="W174" s="279">
        <f t="shared" ca="1" si="43"/>
        <v>0</v>
      </c>
      <c r="X174" s="279">
        <f t="shared" ca="1" si="43"/>
        <v>0</v>
      </c>
      <c r="Y174" s="279"/>
      <c r="Z174" s="279">
        <f t="shared" ca="1" si="44"/>
        <v>0</v>
      </c>
    </row>
    <row r="175" spans="1:26">
      <c r="A175" s="24"/>
      <c r="B175" s="24"/>
      <c r="C175" s="24" t="s">
        <v>648</v>
      </c>
      <c r="D175" s="24"/>
      <c r="E175" s="279">
        <f t="shared" ca="1" si="43"/>
        <v>0</v>
      </c>
      <c r="F175" s="279">
        <f t="shared" ca="1" si="43"/>
        <v>0</v>
      </c>
      <c r="G175" s="279">
        <f t="shared" ca="1" si="43"/>
        <v>0</v>
      </c>
      <c r="H175" s="279">
        <f t="shared" ca="1" si="43"/>
        <v>0</v>
      </c>
      <c r="I175" s="279">
        <f t="shared" ca="1" si="43"/>
        <v>0</v>
      </c>
      <c r="J175" s="279">
        <f t="shared" ca="1" si="43"/>
        <v>0</v>
      </c>
      <c r="K175" s="279">
        <f t="shared" ca="1" si="43"/>
        <v>0</v>
      </c>
      <c r="L175" s="279">
        <f t="shared" ca="1" si="43"/>
        <v>0</v>
      </c>
      <c r="M175" s="279">
        <f t="shared" ca="1" si="43"/>
        <v>0</v>
      </c>
      <c r="N175" s="279">
        <f t="shared" ca="1" si="43"/>
        <v>0</v>
      </c>
      <c r="O175" s="279">
        <f t="shared" ca="1" si="43"/>
        <v>0</v>
      </c>
      <c r="P175" s="279">
        <f t="shared" ca="1" si="43"/>
        <v>0</v>
      </c>
      <c r="Q175" s="279">
        <f t="shared" ca="1" si="43"/>
        <v>0</v>
      </c>
      <c r="R175" s="279">
        <f t="shared" ca="1" si="43"/>
        <v>0</v>
      </c>
      <c r="S175" s="279">
        <f t="shared" ca="1" si="43"/>
        <v>0</v>
      </c>
      <c r="T175" s="279">
        <f t="shared" ca="1" si="43"/>
        <v>0</v>
      </c>
      <c r="U175" s="279">
        <f t="shared" ca="1" si="43"/>
        <v>0</v>
      </c>
      <c r="V175" s="279">
        <f t="shared" ca="1" si="43"/>
        <v>0</v>
      </c>
      <c r="W175" s="279">
        <f t="shared" ca="1" si="43"/>
        <v>0</v>
      </c>
      <c r="X175" s="279">
        <f t="shared" ca="1" si="43"/>
        <v>0</v>
      </c>
      <c r="Y175" s="279"/>
      <c r="Z175" s="279">
        <f t="shared" ca="1" si="44"/>
        <v>0</v>
      </c>
    </row>
    <row r="176" spans="1:26">
      <c r="A176" s="24"/>
      <c r="B176" s="24"/>
      <c r="C176" s="24" t="s">
        <v>649</v>
      </c>
      <c r="D176" s="24"/>
      <c r="E176" s="279">
        <f t="shared" ca="1" si="43"/>
        <v>0</v>
      </c>
      <c r="F176" s="279">
        <f t="shared" ca="1" si="43"/>
        <v>0</v>
      </c>
      <c r="G176" s="279">
        <f t="shared" ca="1" si="43"/>
        <v>0</v>
      </c>
      <c r="H176" s="279">
        <f t="shared" ca="1" si="43"/>
        <v>0</v>
      </c>
      <c r="I176" s="279">
        <f t="shared" ca="1" si="43"/>
        <v>0</v>
      </c>
      <c r="J176" s="279">
        <f t="shared" ca="1" si="43"/>
        <v>0</v>
      </c>
      <c r="K176" s="279">
        <f t="shared" ca="1" si="43"/>
        <v>0</v>
      </c>
      <c r="L176" s="279">
        <f t="shared" ca="1" si="43"/>
        <v>0</v>
      </c>
      <c r="M176" s="279">
        <f t="shared" ca="1" si="43"/>
        <v>0</v>
      </c>
      <c r="N176" s="279">
        <f t="shared" ca="1" si="43"/>
        <v>0</v>
      </c>
      <c r="O176" s="279">
        <f t="shared" ca="1" si="43"/>
        <v>0</v>
      </c>
      <c r="P176" s="279">
        <f t="shared" ca="1" si="43"/>
        <v>0</v>
      </c>
      <c r="Q176" s="279">
        <f t="shared" ca="1" si="43"/>
        <v>0</v>
      </c>
      <c r="R176" s="279">
        <f t="shared" ca="1" si="43"/>
        <v>0</v>
      </c>
      <c r="S176" s="279">
        <f t="shared" ca="1" si="43"/>
        <v>0</v>
      </c>
      <c r="T176" s="279">
        <f t="shared" ca="1" si="43"/>
        <v>0</v>
      </c>
      <c r="U176" s="279">
        <f t="shared" ca="1" si="43"/>
        <v>0</v>
      </c>
      <c r="V176" s="279">
        <f t="shared" ca="1" si="43"/>
        <v>0</v>
      </c>
      <c r="W176" s="279">
        <f t="shared" ca="1" si="43"/>
        <v>0</v>
      </c>
      <c r="X176" s="279">
        <f t="shared" ca="1" si="43"/>
        <v>0</v>
      </c>
      <c r="Y176" s="279"/>
      <c r="Z176" s="279">
        <f t="shared" ca="1" si="44"/>
        <v>0</v>
      </c>
    </row>
    <row r="177" spans="1:26">
      <c r="A177" s="24"/>
      <c r="B177" s="24"/>
      <c r="C177" s="24" t="s">
        <v>650</v>
      </c>
      <c r="D177" s="24"/>
      <c r="E177" s="279">
        <f t="shared" ca="1" si="43"/>
        <v>0</v>
      </c>
      <c r="F177" s="279">
        <f t="shared" ca="1" si="43"/>
        <v>0</v>
      </c>
      <c r="G177" s="279">
        <f t="shared" ca="1" si="43"/>
        <v>0</v>
      </c>
      <c r="H177" s="279">
        <f t="shared" ca="1" si="43"/>
        <v>0</v>
      </c>
      <c r="I177" s="279">
        <f t="shared" ca="1" si="43"/>
        <v>0</v>
      </c>
      <c r="J177" s="279">
        <f t="shared" ca="1" si="43"/>
        <v>0</v>
      </c>
      <c r="K177" s="279">
        <f t="shared" ca="1" si="43"/>
        <v>0</v>
      </c>
      <c r="L177" s="279">
        <f t="shared" ca="1" si="43"/>
        <v>0</v>
      </c>
      <c r="M177" s="279">
        <f t="shared" ca="1" si="43"/>
        <v>0</v>
      </c>
      <c r="N177" s="279">
        <f t="shared" ca="1" si="43"/>
        <v>0</v>
      </c>
      <c r="O177" s="279">
        <f t="shared" ca="1" si="43"/>
        <v>0</v>
      </c>
      <c r="P177" s="279">
        <f t="shared" ca="1" si="43"/>
        <v>0</v>
      </c>
      <c r="Q177" s="279">
        <f t="shared" ca="1" si="43"/>
        <v>0</v>
      </c>
      <c r="R177" s="279">
        <f t="shared" ca="1" si="43"/>
        <v>0</v>
      </c>
      <c r="S177" s="279">
        <f t="shared" ca="1" si="43"/>
        <v>0</v>
      </c>
      <c r="T177" s="279">
        <f t="shared" ca="1" si="43"/>
        <v>0</v>
      </c>
      <c r="U177" s="279">
        <f t="shared" ca="1" si="43"/>
        <v>0</v>
      </c>
      <c r="V177" s="279">
        <f t="shared" ca="1" si="43"/>
        <v>0</v>
      </c>
      <c r="W177" s="279">
        <f t="shared" ca="1" si="43"/>
        <v>0</v>
      </c>
      <c r="X177" s="279">
        <f t="shared" ca="1" si="43"/>
        <v>0</v>
      </c>
      <c r="Y177" s="279"/>
      <c r="Z177" s="279">
        <f t="shared" ca="1" si="44"/>
        <v>0</v>
      </c>
    </row>
    <row r="178" spans="1:26">
      <c r="A178" s="24"/>
      <c r="B178" s="24"/>
      <c r="C178" s="24" t="s">
        <v>651</v>
      </c>
      <c r="D178" s="24"/>
      <c r="E178" s="279">
        <f t="shared" ca="1" si="43"/>
        <v>0</v>
      </c>
      <c r="F178" s="279">
        <f t="shared" ca="1" si="43"/>
        <v>0</v>
      </c>
      <c r="G178" s="279">
        <f t="shared" ca="1" si="43"/>
        <v>0</v>
      </c>
      <c r="H178" s="279">
        <f t="shared" ca="1" si="43"/>
        <v>0</v>
      </c>
      <c r="I178" s="279">
        <f t="shared" ca="1" si="43"/>
        <v>0</v>
      </c>
      <c r="J178" s="279">
        <f t="shared" ca="1" si="43"/>
        <v>0</v>
      </c>
      <c r="K178" s="279">
        <f t="shared" ca="1" si="43"/>
        <v>0</v>
      </c>
      <c r="L178" s="279">
        <f t="shared" ca="1" si="43"/>
        <v>0</v>
      </c>
      <c r="M178" s="279">
        <f t="shared" ca="1" si="43"/>
        <v>0</v>
      </c>
      <c r="N178" s="279">
        <f t="shared" ca="1" si="43"/>
        <v>0</v>
      </c>
      <c r="O178" s="279">
        <f t="shared" ca="1" si="43"/>
        <v>0</v>
      </c>
      <c r="P178" s="279">
        <f t="shared" ca="1" si="43"/>
        <v>0</v>
      </c>
      <c r="Q178" s="279">
        <f t="shared" ca="1" si="43"/>
        <v>0</v>
      </c>
      <c r="R178" s="279">
        <f t="shared" ca="1" si="43"/>
        <v>0</v>
      </c>
      <c r="S178" s="279">
        <f t="shared" ca="1" si="43"/>
        <v>0</v>
      </c>
      <c r="T178" s="279">
        <f t="shared" ca="1" si="43"/>
        <v>0</v>
      </c>
      <c r="U178" s="279">
        <f t="shared" ca="1" si="43"/>
        <v>0</v>
      </c>
      <c r="V178" s="279">
        <f t="shared" ca="1" si="43"/>
        <v>0</v>
      </c>
      <c r="W178" s="279">
        <f t="shared" ca="1" si="43"/>
        <v>0</v>
      </c>
      <c r="X178" s="279">
        <f t="shared" ca="1" si="43"/>
        <v>0</v>
      </c>
      <c r="Y178" s="279"/>
      <c r="Z178" s="279">
        <f t="shared" ca="1" si="44"/>
        <v>0</v>
      </c>
    </row>
    <row r="179" spans="1:26">
      <c r="A179" s="24"/>
      <c r="B179" s="24"/>
      <c r="C179" s="24" t="s">
        <v>652</v>
      </c>
      <c r="D179" s="24"/>
      <c r="E179" s="279">
        <f t="shared" ca="1" si="43"/>
        <v>0</v>
      </c>
      <c r="F179" s="279">
        <f t="shared" ca="1" si="43"/>
        <v>0</v>
      </c>
      <c r="G179" s="279">
        <f t="shared" ca="1" si="43"/>
        <v>0</v>
      </c>
      <c r="H179" s="279">
        <f t="shared" ca="1" si="43"/>
        <v>0</v>
      </c>
      <c r="I179" s="279">
        <f t="shared" ca="1" si="43"/>
        <v>0</v>
      </c>
      <c r="J179" s="279">
        <f t="shared" ca="1" si="43"/>
        <v>0</v>
      </c>
      <c r="K179" s="279">
        <f t="shared" ca="1" si="43"/>
        <v>0</v>
      </c>
      <c r="L179" s="279">
        <f t="shared" ca="1" si="43"/>
        <v>0</v>
      </c>
      <c r="M179" s="279">
        <f t="shared" ca="1" si="43"/>
        <v>0</v>
      </c>
      <c r="N179" s="279">
        <f t="shared" ca="1" si="43"/>
        <v>0</v>
      </c>
      <c r="O179" s="279">
        <f t="shared" ca="1" si="43"/>
        <v>0</v>
      </c>
      <c r="P179" s="279">
        <f t="shared" ca="1" si="43"/>
        <v>0</v>
      </c>
      <c r="Q179" s="279">
        <f t="shared" ca="1" si="43"/>
        <v>0</v>
      </c>
      <c r="R179" s="279">
        <f t="shared" ca="1" si="43"/>
        <v>0</v>
      </c>
      <c r="S179" s="279">
        <f t="shared" ca="1" si="43"/>
        <v>0</v>
      </c>
      <c r="T179" s="279">
        <f t="shared" ca="1" si="43"/>
        <v>0</v>
      </c>
      <c r="U179" s="279">
        <f t="shared" ca="1" si="43"/>
        <v>0</v>
      </c>
      <c r="V179" s="279">
        <f t="shared" ca="1" si="43"/>
        <v>0</v>
      </c>
      <c r="W179" s="279">
        <f t="shared" ca="1" si="43"/>
        <v>0</v>
      </c>
      <c r="X179" s="279">
        <f t="shared" ca="1" si="43"/>
        <v>0</v>
      </c>
      <c r="Y179" s="279"/>
      <c r="Z179" s="279">
        <f t="shared" ca="1" si="44"/>
        <v>0</v>
      </c>
    </row>
    <row r="180" spans="1:26">
      <c r="A180" s="24"/>
      <c r="B180" s="24"/>
      <c r="C180" s="24" t="s">
        <v>653</v>
      </c>
      <c r="D180" s="24"/>
      <c r="E180" s="279">
        <f t="shared" ca="1" si="43"/>
        <v>0</v>
      </c>
      <c r="F180" s="279">
        <f t="shared" ca="1" si="43"/>
        <v>0</v>
      </c>
      <c r="G180" s="279">
        <f t="shared" ca="1" si="43"/>
        <v>0</v>
      </c>
      <c r="H180" s="279">
        <f t="shared" ca="1" si="43"/>
        <v>0</v>
      </c>
      <c r="I180" s="279">
        <f t="shared" ca="1" si="43"/>
        <v>0</v>
      </c>
      <c r="J180" s="279">
        <f t="shared" ca="1" si="43"/>
        <v>0</v>
      </c>
      <c r="K180" s="279">
        <f t="shared" ca="1" si="43"/>
        <v>0</v>
      </c>
      <c r="L180" s="279">
        <f t="shared" ca="1" si="43"/>
        <v>0</v>
      </c>
      <c r="M180" s="279">
        <f t="shared" ca="1" si="43"/>
        <v>0</v>
      </c>
      <c r="N180" s="279">
        <f t="shared" ca="1" si="43"/>
        <v>0</v>
      </c>
      <c r="O180" s="279">
        <f t="shared" ca="1" si="43"/>
        <v>0</v>
      </c>
      <c r="P180" s="279">
        <f t="shared" ca="1" si="43"/>
        <v>0</v>
      </c>
      <c r="Q180" s="279">
        <f t="shared" ca="1" si="43"/>
        <v>0</v>
      </c>
      <c r="R180" s="279">
        <f t="shared" ca="1" si="43"/>
        <v>0</v>
      </c>
      <c r="S180" s="279">
        <f t="shared" ca="1" si="43"/>
        <v>0</v>
      </c>
      <c r="T180" s="279">
        <f t="shared" ca="1" si="43"/>
        <v>0</v>
      </c>
      <c r="U180" s="279">
        <f t="shared" ca="1" si="43"/>
        <v>0</v>
      </c>
      <c r="V180" s="279">
        <f t="shared" ca="1" si="43"/>
        <v>0</v>
      </c>
      <c r="W180" s="279">
        <f t="shared" ca="1" si="43"/>
        <v>0</v>
      </c>
      <c r="X180" s="279">
        <f t="shared" ca="1" si="43"/>
        <v>0</v>
      </c>
      <c r="Y180" s="279"/>
      <c r="Z180" s="279">
        <f t="shared" ca="1" si="44"/>
        <v>0</v>
      </c>
    </row>
    <row r="181" spans="1:26">
      <c r="A181" s="24"/>
      <c r="B181" s="24"/>
      <c r="C181" s="24" t="s">
        <v>654</v>
      </c>
      <c r="D181" s="24"/>
      <c r="E181" s="279">
        <f t="shared" ca="1" si="43"/>
        <v>0</v>
      </c>
      <c r="F181" s="279">
        <f t="shared" ca="1" si="43"/>
        <v>0</v>
      </c>
      <c r="G181" s="279">
        <f t="shared" ca="1" si="43"/>
        <v>0</v>
      </c>
      <c r="H181" s="279">
        <f t="shared" ca="1" si="43"/>
        <v>0</v>
      </c>
      <c r="I181" s="279">
        <f t="shared" ca="1" si="43"/>
        <v>0</v>
      </c>
      <c r="J181" s="279">
        <f t="shared" ca="1" si="43"/>
        <v>0</v>
      </c>
      <c r="K181" s="279">
        <f t="shared" ca="1" si="43"/>
        <v>0</v>
      </c>
      <c r="L181" s="279">
        <f t="shared" ca="1" si="43"/>
        <v>0</v>
      </c>
      <c r="M181" s="279">
        <f t="shared" ca="1" si="43"/>
        <v>0</v>
      </c>
      <c r="N181" s="279">
        <f t="shared" ca="1" si="43"/>
        <v>0</v>
      </c>
      <c r="O181" s="279">
        <f t="shared" ca="1" si="43"/>
        <v>0</v>
      </c>
      <c r="P181" s="279">
        <f t="shared" ca="1" si="43"/>
        <v>0</v>
      </c>
      <c r="Q181" s="279">
        <f t="shared" ca="1" si="43"/>
        <v>0</v>
      </c>
      <c r="R181" s="279">
        <f t="shared" ca="1" si="43"/>
        <v>0</v>
      </c>
      <c r="S181" s="279">
        <f t="shared" ca="1" si="43"/>
        <v>0</v>
      </c>
      <c r="T181" s="279">
        <f t="shared" ca="1" si="43"/>
        <v>0</v>
      </c>
      <c r="U181" s="279">
        <f t="shared" ca="1" si="43"/>
        <v>0</v>
      </c>
      <c r="V181" s="279">
        <f t="shared" ca="1" si="43"/>
        <v>0</v>
      </c>
      <c r="W181" s="279">
        <f t="shared" ca="1" si="43"/>
        <v>0</v>
      </c>
      <c r="X181" s="279">
        <f t="shared" ca="1" si="43"/>
        <v>0</v>
      </c>
      <c r="Y181" s="279"/>
      <c r="Z181" s="279">
        <f t="shared" ca="1" si="44"/>
        <v>0</v>
      </c>
    </row>
    <row r="182" spans="1:26">
      <c r="A182" s="24"/>
      <c r="B182" s="24"/>
      <c r="C182" s="24" t="s">
        <v>655</v>
      </c>
      <c r="D182" s="24"/>
      <c r="E182" s="279">
        <f t="shared" ca="1" si="43"/>
        <v>0</v>
      </c>
      <c r="F182" s="279">
        <f t="shared" ca="1" si="43"/>
        <v>0</v>
      </c>
      <c r="G182" s="279">
        <f t="shared" ca="1" si="43"/>
        <v>0</v>
      </c>
      <c r="H182" s="279">
        <f t="shared" ca="1" si="43"/>
        <v>0</v>
      </c>
      <c r="I182" s="279">
        <f t="shared" ca="1" si="43"/>
        <v>0</v>
      </c>
      <c r="J182" s="279">
        <f t="shared" ca="1" si="43"/>
        <v>0</v>
      </c>
      <c r="K182" s="279">
        <f t="shared" ca="1" si="43"/>
        <v>0</v>
      </c>
      <c r="L182" s="279">
        <f t="shared" ca="1" si="43"/>
        <v>0</v>
      </c>
      <c r="M182" s="279">
        <f t="shared" ca="1" si="43"/>
        <v>0</v>
      </c>
      <c r="N182" s="279">
        <f t="shared" ca="1" si="43"/>
        <v>0</v>
      </c>
      <c r="O182" s="279">
        <f t="shared" ca="1" si="43"/>
        <v>0</v>
      </c>
      <c r="P182" s="279">
        <f t="shared" ca="1" si="43"/>
        <v>0</v>
      </c>
      <c r="Q182" s="279">
        <f t="shared" ca="1" si="43"/>
        <v>0</v>
      </c>
      <c r="R182" s="279">
        <f t="shared" ca="1" si="43"/>
        <v>0</v>
      </c>
      <c r="S182" s="279">
        <f t="shared" ca="1" si="43"/>
        <v>0</v>
      </c>
      <c r="T182" s="279">
        <f t="shared" ca="1" si="43"/>
        <v>0</v>
      </c>
      <c r="U182" s="279">
        <f t="shared" ca="1" si="43"/>
        <v>0</v>
      </c>
      <c r="V182" s="279">
        <f t="shared" ca="1" si="43"/>
        <v>0</v>
      </c>
      <c r="W182" s="279">
        <f t="shared" ca="1" si="43"/>
        <v>0</v>
      </c>
      <c r="X182" s="279">
        <f t="shared" ca="1" si="43"/>
        <v>0</v>
      </c>
      <c r="Y182" s="279"/>
      <c r="Z182" s="279">
        <f t="shared" ca="1" si="44"/>
        <v>0</v>
      </c>
    </row>
    <row r="183" spans="1:26">
      <c r="A183" s="24"/>
      <c r="B183" s="24"/>
      <c r="C183" s="24" t="s">
        <v>656</v>
      </c>
      <c r="D183" s="24"/>
      <c r="E183" s="279">
        <f t="shared" ca="1" si="43"/>
        <v>0</v>
      </c>
      <c r="F183" s="279">
        <f t="shared" ca="1" si="43"/>
        <v>0</v>
      </c>
      <c r="G183" s="279">
        <f t="shared" ca="1" si="43"/>
        <v>0</v>
      </c>
      <c r="H183" s="279">
        <f t="shared" ca="1" si="43"/>
        <v>0</v>
      </c>
      <c r="I183" s="279">
        <f t="shared" ca="1" si="43"/>
        <v>0</v>
      </c>
      <c r="J183" s="279">
        <f t="shared" ca="1" si="43"/>
        <v>0</v>
      </c>
      <c r="K183" s="279">
        <f t="shared" ca="1" si="43"/>
        <v>0</v>
      </c>
      <c r="L183" s="279">
        <f t="shared" ca="1" si="43"/>
        <v>0</v>
      </c>
      <c r="M183" s="279">
        <f t="shared" ca="1" si="43"/>
        <v>0</v>
      </c>
      <c r="N183" s="279">
        <f t="shared" ca="1" si="43"/>
        <v>0</v>
      </c>
      <c r="O183" s="279">
        <f t="shared" ca="1" si="43"/>
        <v>0</v>
      </c>
      <c r="P183" s="279">
        <f t="shared" ca="1" si="43"/>
        <v>0</v>
      </c>
      <c r="Q183" s="279">
        <f t="shared" ca="1" si="43"/>
        <v>0</v>
      </c>
      <c r="R183" s="279">
        <f t="shared" ca="1" si="43"/>
        <v>0</v>
      </c>
      <c r="S183" s="279">
        <f t="shared" ca="1" si="43"/>
        <v>0</v>
      </c>
      <c r="T183" s="279">
        <f t="shared" ref="T183:X183" ca="1" si="45">T146-T145</f>
        <v>0</v>
      </c>
      <c r="U183" s="279">
        <f t="shared" ca="1" si="45"/>
        <v>0</v>
      </c>
      <c r="V183" s="279">
        <f t="shared" ca="1" si="45"/>
        <v>0</v>
      </c>
      <c r="W183" s="279">
        <f t="shared" ca="1" si="45"/>
        <v>0</v>
      </c>
      <c r="X183" s="279">
        <f t="shared" ca="1" si="45"/>
        <v>0</v>
      </c>
      <c r="Y183" s="279"/>
      <c r="Z183" s="279">
        <f t="shared" ca="1" si="44"/>
        <v>0</v>
      </c>
    </row>
    <row r="184" spans="1:26">
      <c r="A184" s="24"/>
      <c r="B184" s="24"/>
      <c r="C184" s="24" t="s">
        <v>657</v>
      </c>
      <c r="D184" s="24"/>
      <c r="E184" s="279">
        <f t="shared" ref="E184:X196" ca="1" si="46">E147-E146</f>
        <v>0</v>
      </c>
      <c r="F184" s="279">
        <f t="shared" ca="1" si="46"/>
        <v>0</v>
      </c>
      <c r="G184" s="279">
        <f t="shared" ca="1" si="46"/>
        <v>0</v>
      </c>
      <c r="H184" s="279">
        <f t="shared" ca="1" si="46"/>
        <v>0</v>
      </c>
      <c r="I184" s="279">
        <f t="shared" ca="1" si="46"/>
        <v>0</v>
      </c>
      <c r="J184" s="279">
        <f t="shared" ca="1" si="46"/>
        <v>0</v>
      </c>
      <c r="K184" s="279">
        <f t="shared" ca="1" si="46"/>
        <v>0</v>
      </c>
      <c r="L184" s="279">
        <f t="shared" ca="1" si="46"/>
        <v>0</v>
      </c>
      <c r="M184" s="279">
        <f t="shared" ca="1" si="46"/>
        <v>0</v>
      </c>
      <c r="N184" s="279">
        <f t="shared" ca="1" si="46"/>
        <v>0</v>
      </c>
      <c r="O184" s="279">
        <f t="shared" ca="1" si="46"/>
        <v>0</v>
      </c>
      <c r="P184" s="279">
        <f t="shared" ca="1" si="46"/>
        <v>0</v>
      </c>
      <c r="Q184" s="279">
        <f t="shared" ca="1" si="46"/>
        <v>0</v>
      </c>
      <c r="R184" s="279">
        <f t="shared" ca="1" si="46"/>
        <v>0</v>
      </c>
      <c r="S184" s="279">
        <f t="shared" ca="1" si="46"/>
        <v>0</v>
      </c>
      <c r="T184" s="279">
        <f t="shared" ca="1" si="46"/>
        <v>0</v>
      </c>
      <c r="U184" s="279">
        <f t="shared" ca="1" si="46"/>
        <v>0</v>
      </c>
      <c r="V184" s="279">
        <f t="shared" ca="1" si="46"/>
        <v>0</v>
      </c>
      <c r="W184" s="279">
        <f t="shared" ca="1" si="46"/>
        <v>0</v>
      </c>
      <c r="X184" s="279">
        <f t="shared" ca="1" si="46"/>
        <v>0</v>
      </c>
      <c r="Y184" s="279"/>
      <c r="Z184" s="279">
        <f t="shared" ca="1" si="44"/>
        <v>0</v>
      </c>
    </row>
    <row r="185" spans="1:26">
      <c r="A185" s="24"/>
      <c r="B185" s="24"/>
      <c r="C185" s="24" t="s">
        <v>658</v>
      </c>
      <c r="D185" s="24"/>
      <c r="E185" s="279">
        <f t="shared" ca="1" si="46"/>
        <v>0</v>
      </c>
      <c r="F185" s="279">
        <f t="shared" ca="1" si="46"/>
        <v>0</v>
      </c>
      <c r="G185" s="279">
        <f t="shared" ca="1" si="46"/>
        <v>0</v>
      </c>
      <c r="H185" s="279">
        <f t="shared" ca="1" si="46"/>
        <v>0</v>
      </c>
      <c r="I185" s="279">
        <f t="shared" ca="1" si="46"/>
        <v>0</v>
      </c>
      <c r="J185" s="279">
        <f t="shared" ca="1" si="46"/>
        <v>0</v>
      </c>
      <c r="K185" s="279">
        <f t="shared" ca="1" si="46"/>
        <v>0</v>
      </c>
      <c r="L185" s="279">
        <f t="shared" ca="1" si="46"/>
        <v>0</v>
      </c>
      <c r="M185" s="279">
        <f t="shared" ca="1" si="46"/>
        <v>0</v>
      </c>
      <c r="N185" s="279">
        <f t="shared" ca="1" si="46"/>
        <v>0</v>
      </c>
      <c r="O185" s="279">
        <f t="shared" ca="1" si="46"/>
        <v>0</v>
      </c>
      <c r="P185" s="279">
        <f t="shared" ca="1" si="46"/>
        <v>0</v>
      </c>
      <c r="Q185" s="279">
        <f t="shared" ca="1" si="46"/>
        <v>0</v>
      </c>
      <c r="R185" s="279">
        <f t="shared" ca="1" si="46"/>
        <v>0</v>
      </c>
      <c r="S185" s="279">
        <f t="shared" ca="1" si="46"/>
        <v>0</v>
      </c>
      <c r="T185" s="279">
        <f t="shared" ca="1" si="46"/>
        <v>0</v>
      </c>
      <c r="U185" s="279">
        <f t="shared" ca="1" si="46"/>
        <v>0</v>
      </c>
      <c r="V185" s="279">
        <f t="shared" ca="1" si="46"/>
        <v>0</v>
      </c>
      <c r="W185" s="279">
        <f t="shared" ca="1" si="46"/>
        <v>0</v>
      </c>
      <c r="X185" s="279">
        <f t="shared" ca="1" si="46"/>
        <v>0</v>
      </c>
      <c r="Y185" s="279"/>
      <c r="Z185" s="279">
        <f t="shared" ca="1" si="44"/>
        <v>0</v>
      </c>
    </row>
    <row r="186" spans="1:26">
      <c r="A186" s="24"/>
      <c r="B186" s="24"/>
      <c r="C186" s="24" t="s">
        <v>659</v>
      </c>
      <c r="D186" s="24"/>
      <c r="E186" s="279">
        <f t="shared" ca="1" si="46"/>
        <v>0</v>
      </c>
      <c r="F186" s="279">
        <f t="shared" ca="1" si="46"/>
        <v>0</v>
      </c>
      <c r="G186" s="279">
        <f t="shared" ca="1" si="46"/>
        <v>0</v>
      </c>
      <c r="H186" s="279">
        <f t="shared" ca="1" si="46"/>
        <v>0</v>
      </c>
      <c r="I186" s="279">
        <f t="shared" ca="1" si="46"/>
        <v>0</v>
      </c>
      <c r="J186" s="279">
        <f t="shared" ca="1" si="46"/>
        <v>0</v>
      </c>
      <c r="K186" s="279">
        <f t="shared" ca="1" si="46"/>
        <v>0</v>
      </c>
      <c r="L186" s="279">
        <f t="shared" ca="1" si="46"/>
        <v>0</v>
      </c>
      <c r="M186" s="279">
        <f t="shared" ca="1" si="46"/>
        <v>0</v>
      </c>
      <c r="N186" s="279">
        <f t="shared" ca="1" si="46"/>
        <v>0</v>
      </c>
      <c r="O186" s="279">
        <f t="shared" ca="1" si="46"/>
        <v>0</v>
      </c>
      <c r="P186" s="279">
        <f t="shared" ca="1" si="46"/>
        <v>0</v>
      </c>
      <c r="Q186" s="279">
        <f t="shared" ca="1" si="46"/>
        <v>0</v>
      </c>
      <c r="R186" s="279">
        <f t="shared" ca="1" si="46"/>
        <v>0</v>
      </c>
      <c r="S186" s="279">
        <f t="shared" ca="1" si="46"/>
        <v>0</v>
      </c>
      <c r="T186" s="279">
        <f t="shared" ca="1" si="46"/>
        <v>0</v>
      </c>
      <c r="U186" s="279">
        <f t="shared" ca="1" si="46"/>
        <v>0</v>
      </c>
      <c r="V186" s="279">
        <f t="shared" ca="1" si="46"/>
        <v>0</v>
      </c>
      <c r="W186" s="279">
        <f t="shared" ca="1" si="46"/>
        <v>0</v>
      </c>
      <c r="X186" s="279">
        <f t="shared" ca="1" si="46"/>
        <v>0</v>
      </c>
      <c r="Y186" s="279"/>
      <c r="Z186" s="279">
        <f t="shared" ca="1" si="44"/>
        <v>0</v>
      </c>
    </row>
    <row r="187" spans="1:26">
      <c r="A187" s="24"/>
      <c r="B187" s="24"/>
      <c r="C187" s="24" t="s">
        <v>660</v>
      </c>
      <c r="D187" s="24"/>
      <c r="E187" s="279">
        <f t="shared" ca="1" si="46"/>
        <v>0</v>
      </c>
      <c r="F187" s="279">
        <f t="shared" ca="1" si="46"/>
        <v>0</v>
      </c>
      <c r="G187" s="279">
        <f t="shared" ca="1" si="46"/>
        <v>0</v>
      </c>
      <c r="H187" s="279">
        <f t="shared" ca="1" si="46"/>
        <v>0</v>
      </c>
      <c r="I187" s="279">
        <f t="shared" ca="1" si="46"/>
        <v>0</v>
      </c>
      <c r="J187" s="279">
        <f t="shared" ca="1" si="46"/>
        <v>0</v>
      </c>
      <c r="K187" s="279">
        <f t="shared" ca="1" si="46"/>
        <v>0</v>
      </c>
      <c r="L187" s="279">
        <f t="shared" ca="1" si="46"/>
        <v>0</v>
      </c>
      <c r="M187" s="279">
        <f t="shared" ca="1" si="46"/>
        <v>0</v>
      </c>
      <c r="N187" s="279">
        <f t="shared" ca="1" si="46"/>
        <v>0</v>
      </c>
      <c r="O187" s="279">
        <f t="shared" ca="1" si="46"/>
        <v>0</v>
      </c>
      <c r="P187" s="279">
        <f t="shared" ca="1" si="46"/>
        <v>0</v>
      </c>
      <c r="Q187" s="279">
        <f t="shared" ca="1" si="46"/>
        <v>0</v>
      </c>
      <c r="R187" s="279">
        <f t="shared" ca="1" si="46"/>
        <v>0</v>
      </c>
      <c r="S187" s="279">
        <f t="shared" ca="1" si="46"/>
        <v>0</v>
      </c>
      <c r="T187" s="279">
        <f t="shared" ca="1" si="46"/>
        <v>0</v>
      </c>
      <c r="U187" s="279">
        <f t="shared" ca="1" si="46"/>
        <v>0</v>
      </c>
      <c r="V187" s="279">
        <f t="shared" ca="1" si="46"/>
        <v>0</v>
      </c>
      <c r="W187" s="279">
        <f t="shared" ca="1" si="46"/>
        <v>0</v>
      </c>
      <c r="X187" s="279">
        <f t="shared" ca="1" si="46"/>
        <v>0</v>
      </c>
      <c r="Y187" s="279"/>
      <c r="Z187" s="279">
        <f t="shared" ca="1" si="44"/>
        <v>0</v>
      </c>
    </row>
    <row r="188" spans="1:26">
      <c r="A188" s="24"/>
      <c r="B188" s="24"/>
      <c r="C188" s="24" t="s">
        <v>661</v>
      </c>
      <c r="D188" s="24"/>
      <c r="E188" s="279">
        <f t="shared" ca="1" si="46"/>
        <v>0</v>
      </c>
      <c r="F188" s="279">
        <f t="shared" ca="1" si="46"/>
        <v>0</v>
      </c>
      <c r="G188" s="279">
        <f t="shared" ca="1" si="46"/>
        <v>0</v>
      </c>
      <c r="H188" s="279">
        <f t="shared" ca="1" si="46"/>
        <v>0</v>
      </c>
      <c r="I188" s="279">
        <f t="shared" ca="1" si="46"/>
        <v>0</v>
      </c>
      <c r="J188" s="279">
        <f t="shared" ca="1" si="46"/>
        <v>0</v>
      </c>
      <c r="K188" s="279">
        <f t="shared" ca="1" si="46"/>
        <v>0</v>
      </c>
      <c r="L188" s="279">
        <f t="shared" ca="1" si="46"/>
        <v>0</v>
      </c>
      <c r="M188" s="279">
        <f t="shared" ca="1" si="46"/>
        <v>0</v>
      </c>
      <c r="N188" s="279">
        <f t="shared" ca="1" si="46"/>
        <v>0</v>
      </c>
      <c r="O188" s="279">
        <f t="shared" ca="1" si="46"/>
        <v>0</v>
      </c>
      <c r="P188" s="279">
        <f t="shared" ca="1" si="46"/>
        <v>0</v>
      </c>
      <c r="Q188" s="279">
        <f t="shared" ca="1" si="46"/>
        <v>0</v>
      </c>
      <c r="R188" s="279">
        <f t="shared" ca="1" si="46"/>
        <v>0</v>
      </c>
      <c r="S188" s="279">
        <f t="shared" ca="1" si="46"/>
        <v>0</v>
      </c>
      <c r="T188" s="279">
        <f t="shared" ca="1" si="46"/>
        <v>0</v>
      </c>
      <c r="U188" s="279">
        <f t="shared" ca="1" si="46"/>
        <v>0</v>
      </c>
      <c r="V188" s="279">
        <f t="shared" ca="1" si="46"/>
        <v>0</v>
      </c>
      <c r="W188" s="279">
        <f t="shared" ca="1" si="46"/>
        <v>0</v>
      </c>
      <c r="X188" s="279">
        <f t="shared" ca="1" si="46"/>
        <v>0</v>
      </c>
      <c r="Y188" s="279"/>
      <c r="Z188" s="279">
        <f t="shared" ca="1" si="44"/>
        <v>0</v>
      </c>
    </row>
    <row r="189" spans="1:26">
      <c r="A189" s="24"/>
      <c r="B189" s="24"/>
      <c r="C189" s="24" t="s">
        <v>662</v>
      </c>
      <c r="D189" s="24"/>
      <c r="E189" s="279">
        <f t="shared" ca="1" si="46"/>
        <v>0</v>
      </c>
      <c r="F189" s="279">
        <f t="shared" ca="1" si="46"/>
        <v>0</v>
      </c>
      <c r="G189" s="279">
        <f t="shared" ca="1" si="46"/>
        <v>0</v>
      </c>
      <c r="H189" s="279">
        <f t="shared" ca="1" si="46"/>
        <v>0</v>
      </c>
      <c r="I189" s="279">
        <f t="shared" ca="1" si="46"/>
        <v>0</v>
      </c>
      <c r="J189" s="279">
        <f t="shared" ca="1" si="46"/>
        <v>0</v>
      </c>
      <c r="K189" s="279">
        <f t="shared" ca="1" si="46"/>
        <v>0</v>
      </c>
      <c r="L189" s="279">
        <f t="shared" ca="1" si="46"/>
        <v>0</v>
      </c>
      <c r="M189" s="279">
        <f t="shared" ca="1" si="46"/>
        <v>0</v>
      </c>
      <c r="N189" s="279">
        <f t="shared" ca="1" si="46"/>
        <v>0</v>
      </c>
      <c r="O189" s="279">
        <f t="shared" ca="1" si="46"/>
        <v>0</v>
      </c>
      <c r="P189" s="279">
        <f t="shared" ca="1" si="46"/>
        <v>0</v>
      </c>
      <c r="Q189" s="279">
        <f t="shared" ca="1" si="46"/>
        <v>0</v>
      </c>
      <c r="R189" s="279">
        <f t="shared" ca="1" si="46"/>
        <v>0</v>
      </c>
      <c r="S189" s="279">
        <f t="shared" ca="1" si="46"/>
        <v>0</v>
      </c>
      <c r="T189" s="279">
        <f t="shared" ca="1" si="46"/>
        <v>0</v>
      </c>
      <c r="U189" s="279">
        <f t="shared" ca="1" si="46"/>
        <v>0</v>
      </c>
      <c r="V189" s="279">
        <f t="shared" ca="1" si="46"/>
        <v>0</v>
      </c>
      <c r="W189" s="279">
        <f t="shared" ca="1" si="46"/>
        <v>0</v>
      </c>
      <c r="X189" s="279">
        <f t="shared" ca="1" si="46"/>
        <v>0</v>
      </c>
      <c r="Y189" s="279"/>
      <c r="Z189" s="279">
        <f t="shared" ca="1" si="44"/>
        <v>0</v>
      </c>
    </row>
    <row r="190" spans="1:26">
      <c r="A190" s="24"/>
      <c r="B190" s="24"/>
      <c r="C190" s="24" t="s">
        <v>663</v>
      </c>
      <c r="D190" s="24"/>
      <c r="E190" s="279">
        <f t="shared" ca="1" si="46"/>
        <v>0</v>
      </c>
      <c r="F190" s="279">
        <f t="shared" ca="1" si="46"/>
        <v>0</v>
      </c>
      <c r="G190" s="279">
        <f t="shared" ca="1" si="46"/>
        <v>0</v>
      </c>
      <c r="H190" s="279">
        <f t="shared" ca="1" si="46"/>
        <v>0</v>
      </c>
      <c r="I190" s="279">
        <f t="shared" ca="1" si="46"/>
        <v>0</v>
      </c>
      <c r="J190" s="279">
        <f t="shared" ca="1" si="46"/>
        <v>0</v>
      </c>
      <c r="K190" s="279">
        <f t="shared" ca="1" si="46"/>
        <v>0</v>
      </c>
      <c r="L190" s="279">
        <f t="shared" ca="1" si="46"/>
        <v>0</v>
      </c>
      <c r="M190" s="279">
        <f t="shared" ca="1" si="46"/>
        <v>0</v>
      </c>
      <c r="N190" s="279">
        <f t="shared" ca="1" si="46"/>
        <v>0</v>
      </c>
      <c r="O190" s="279">
        <f t="shared" ca="1" si="46"/>
        <v>0</v>
      </c>
      <c r="P190" s="279">
        <f t="shared" ca="1" si="46"/>
        <v>0</v>
      </c>
      <c r="Q190" s="279">
        <f t="shared" ca="1" si="46"/>
        <v>0</v>
      </c>
      <c r="R190" s="279">
        <f t="shared" ca="1" si="46"/>
        <v>0</v>
      </c>
      <c r="S190" s="279">
        <f t="shared" ca="1" si="46"/>
        <v>0</v>
      </c>
      <c r="T190" s="279">
        <f t="shared" ca="1" si="46"/>
        <v>0</v>
      </c>
      <c r="U190" s="279">
        <f t="shared" ca="1" si="46"/>
        <v>0</v>
      </c>
      <c r="V190" s="279">
        <f t="shared" ca="1" si="46"/>
        <v>0</v>
      </c>
      <c r="W190" s="279">
        <f t="shared" ca="1" si="46"/>
        <v>0</v>
      </c>
      <c r="X190" s="279">
        <f t="shared" ca="1" si="46"/>
        <v>0</v>
      </c>
      <c r="Y190" s="279"/>
      <c r="Z190" s="279">
        <f t="shared" ca="1" si="44"/>
        <v>0</v>
      </c>
    </row>
    <row r="191" spans="1:26">
      <c r="A191" s="24"/>
      <c r="B191" s="24"/>
      <c r="C191" s="24" t="s">
        <v>756</v>
      </c>
      <c r="D191" s="24"/>
      <c r="E191" s="279">
        <f t="shared" ca="1" si="46"/>
        <v>0</v>
      </c>
      <c r="F191" s="279">
        <f t="shared" ca="1" si="46"/>
        <v>0</v>
      </c>
      <c r="G191" s="279">
        <f t="shared" ca="1" si="46"/>
        <v>0</v>
      </c>
      <c r="H191" s="279">
        <f t="shared" ca="1" si="46"/>
        <v>0</v>
      </c>
      <c r="I191" s="279">
        <f t="shared" ca="1" si="46"/>
        <v>0</v>
      </c>
      <c r="J191" s="279">
        <f t="shared" ca="1" si="46"/>
        <v>0</v>
      </c>
      <c r="K191" s="279">
        <f t="shared" ca="1" si="46"/>
        <v>0</v>
      </c>
      <c r="L191" s="279">
        <f t="shared" ca="1" si="46"/>
        <v>0</v>
      </c>
      <c r="M191" s="279">
        <f t="shared" ca="1" si="46"/>
        <v>0</v>
      </c>
      <c r="N191" s="279">
        <f t="shared" ca="1" si="46"/>
        <v>0</v>
      </c>
      <c r="O191" s="279">
        <f t="shared" ca="1" si="46"/>
        <v>0</v>
      </c>
      <c r="P191" s="279">
        <f t="shared" ca="1" si="46"/>
        <v>0</v>
      </c>
      <c r="Q191" s="279">
        <f t="shared" ca="1" si="46"/>
        <v>0</v>
      </c>
      <c r="R191" s="279">
        <f t="shared" ca="1" si="46"/>
        <v>0</v>
      </c>
      <c r="S191" s="279">
        <f t="shared" ca="1" si="46"/>
        <v>0</v>
      </c>
      <c r="T191" s="279">
        <f t="shared" ca="1" si="46"/>
        <v>0</v>
      </c>
      <c r="U191" s="279">
        <f t="shared" ca="1" si="46"/>
        <v>0</v>
      </c>
      <c r="V191" s="279">
        <f t="shared" ca="1" si="46"/>
        <v>0</v>
      </c>
      <c r="W191" s="279">
        <f t="shared" ca="1" si="46"/>
        <v>0</v>
      </c>
      <c r="X191" s="279">
        <f t="shared" ca="1" si="46"/>
        <v>0</v>
      </c>
      <c r="Y191" s="279"/>
      <c r="Z191" s="279">
        <f t="shared" ca="1" si="44"/>
        <v>0</v>
      </c>
    </row>
    <row r="192" spans="1:26">
      <c r="A192" s="24"/>
      <c r="B192" s="24"/>
      <c r="C192" s="24" t="s">
        <v>759</v>
      </c>
      <c r="D192" s="24"/>
      <c r="E192" s="279">
        <f t="shared" ca="1" si="46"/>
        <v>0</v>
      </c>
      <c r="F192" s="279">
        <f t="shared" ca="1" si="46"/>
        <v>0</v>
      </c>
      <c r="G192" s="279">
        <f t="shared" ca="1" si="46"/>
        <v>0</v>
      </c>
      <c r="H192" s="279">
        <f t="shared" ca="1" si="46"/>
        <v>0</v>
      </c>
      <c r="I192" s="279">
        <f t="shared" ca="1" si="46"/>
        <v>0</v>
      </c>
      <c r="J192" s="279">
        <f t="shared" ca="1" si="46"/>
        <v>0</v>
      </c>
      <c r="K192" s="279">
        <f t="shared" ca="1" si="46"/>
        <v>0</v>
      </c>
      <c r="L192" s="279">
        <f t="shared" ca="1" si="46"/>
        <v>0</v>
      </c>
      <c r="M192" s="279">
        <f t="shared" ca="1" si="46"/>
        <v>0</v>
      </c>
      <c r="N192" s="279">
        <f t="shared" ca="1" si="46"/>
        <v>0</v>
      </c>
      <c r="O192" s="279">
        <f t="shared" ca="1" si="46"/>
        <v>0</v>
      </c>
      <c r="P192" s="279">
        <f t="shared" ca="1" si="46"/>
        <v>0</v>
      </c>
      <c r="Q192" s="279">
        <f t="shared" ca="1" si="46"/>
        <v>0</v>
      </c>
      <c r="R192" s="279">
        <f t="shared" ca="1" si="46"/>
        <v>0</v>
      </c>
      <c r="S192" s="279">
        <f t="shared" ca="1" si="46"/>
        <v>0</v>
      </c>
      <c r="T192" s="279">
        <f t="shared" ca="1" si="46"/>
        <v>0</v>
      </c>
      <c r="U192" s="279">
        <f t="shared" ca="1" si="46"/>
        <v>0</v>
      </c>
      <c r="V192" s="279">
        <f t="shared" ca="1" si="46"/>
        <v>0</v>
      </c>
      <c r="W192" s="279">
        <f t="shared" ca="1" si="46"/>
        <v>0</v>
      </c>
      <c r="X192" s="279">
        <f t="shared" ca="1" si="46"/>
        <v>0</v>
      </c>
      <c r="Y192" s="279"/>
      <c r="Z192" s="279">
        <f t="shared" ca="1" si="44"/>
        <v>0</v>
      </c>
    </row>
    <row r="193" spans="1:26">
      <c r="A193" s="24"/>
      <c r="B193" s="24"/>
      <c r="C193" s="24" t="s">
        <v>762</v>
      </c>
      <c r="D193" s="24"/>
      <c r="E193" s="279">
        <f t="shared" ca="1" si="46"/>
        <v>0</v>
      </c>
      <c r="F193" s="279">
        <f t="shared" ca="1" si="46"/>
        <v>0</v>
      </c>
      <c r="G193" s="279">
        <f t="shared" ca="1" si="46"/>
        <v>0</v>
      </c>
      <c r="H193" s="279">
        <f t="shared" ca="1" si="46"/>
        <v>0</v>
      </c>
      <c r="I193" s="279">
        <f t="shared" ca="1" si="46"/>
        <v>0</v>
      </c>
      <c r="J193" s="279">
        <f t="shared" ca="1" si="46"/>
        <v>0</v>
      </c>
      <c r="K193" s="279">
        <f t="shared" ca="1" si="46"/>
        <v>0</v>
      </c>
      <c r="L193" s="279">
        <f t="shared" ca="1" si="46"/>
        <v>0</v>
      </c>
      <c r="M193" s="279">
        <f t="shared" ca="1" si="46"/>
        <v>0</v>
      </c>
      <c r="N193" s="279">
        <f t="shared" ca="1" si="46"/>
        <v>0</v>
      </c>
      <c r="O193" s="279">
        <f t="shared" ca="1" si="46"/>
        <v>0</v>
      </c>
      <c r="P193" s="279">
        <f t="shared" ca="1" si="46"/>
        <v>0</v>
      </c>
      <c r="Q193" s="279">
        <f t="shared" ca="1" si="46"/>
        <v>0</v>
      </c>
      <c r="R193" s="279">
        <f t="shared" ca="1" si="46"/>
        <v>0</v>
      </c>
      <c r="S193" s="279">
        <f t="shared" ca="1" si="46"/>
        <v>0</v>
      </c>
      <c r="T193" s="279">
        <f t="shared" ca="1" si="46"/>
        <v>0</v>
      </c>
      <c r="U193" s="279">
        <f t="shared" ca="1" si="46"/>
        <v>0</v>
      </c>
      <c r="V193" s="279">
        <f t="shared" ca="1" si="46"/>
        <v>0</v>
      </c>
      <c r="W193" s="279">
        <f t="shared" ca="1" si="46"/>
        <v>0</v>
      </c>
      <c r="X193" s="279">
        <f t="shared" ca="1" si="46"/>
        <v>0</v>
      </c>
      <c r="Y193" s="279"/>
      <c r="Z193" s="279">
        <f t="shared" ca="1" si="44"/>
        <v>0</v>
      </c>
    </row>
    <row r="194" spans="1:26">
      <c r="A194" s="24"/>
      <c r="B194" s="24"/>
      <c r="C194" s="24" t="s">
        <v>765</v>
      </c>
      <c r="D194" s="24"/>
      <c r="E194" s="279">
        <f t="shared" ca="1" si="46"/>
        <v>0</v>
      </c>
      <c r="F194" s="279">
        <f t="shared" ca="1" si="46"/>
        <v>0</v>
      </c>
      <c r="G194" s="279">
        <f t="shared" ca="1" si="46"/>
        <v>0</v>
      </c>
      <c r="H194" s="279">
        <f t="shared" ca="1" si="46"/>
        <v>0</v>
      </c>
      <c r="I194" s="279">
        <f t="shared" ca="1" si="46"/>
        <v>0</v>
      </c>
      <c r="J194" s="279">
        <f t="shared" ca="1" si="46"/>
        <v>0</v>
      </c>
      <c r="K194" s="279">
        <f t="shared" ca="1" si="46"/>
        <v>0</v>
      </c>
      <c r="L194" s="279">
        <f t="shared" ca="1" si="46"/>
        <v>0</v>
      </c>
      <c r="M194" s="279">
        <f t="shared" ca="1" si="46"/>
        <v>0</v>
      </c>
      <c r="N194" s="279">
        <f t="shared" ca="1" si="46"/>
        <v>0</v>
      </c>
      <c r="O194" s="279">
        <f t="shared" ca="1" si="46"/>
        <v>0</v>
      </c>
      <c r="P194" s="279">
        <f t="shared" ca="1" si="46"/>
        <v>0</v>
      </c>
      <c r="Q194" s="279">
        <f t="shared" ca="1" si="46"/>
        <v>0</v>
      </c>
      <c r="R194" s="279">
        <f t="shared" ca="1" si="46"/>
        <v>0</v>
      </c>
      <c r="S194" s="279">
        <f t="shared" ca="1" si="46"/>
        <v>0</v>
      </c>
      <c r="T194" s="279">
        <f t="shared" ca="1" si="46"/>
        <v>0</v>
      </c>
      <c r="U194" s="279">
        <f t="shared" ca="1" si="46"/>
        <v>0</v>
      </c>
      <c r="V194" s="279">
        <f t="shared" ca="1" si="46"/>
        <v>0</v>
      </c>
      <c r="W194" s="279">
        <f t="shared" ca="1" si="46"/>
        <v>0</v>
      </c>
      <c r="X194" s="279">
        <f t="shared" ca="1" si="46"/>
        <v>0</v>
      </c>
      <c r="Y194" s="279"/>
      <c r="Z194" s="279">
        <f t="shared" ca="1" si="44"/>
        <v>0</v>
      </c>
    </row>
    <row r="195" spans="1:26">
      <c r="A195" s="24"/>
      <c r="B195" s="24"/>
      <c r="C195" s="24" t="s">
        <v>768</v>
      </c>
      <c r="D195" s="24"/>
      <c r="E195" s="279">
        <f t="shared" ca="1" si="46"/>
        <v>0</v>
      </c>
      <c r="F195" s="279">
        <f t="shared" ca="1" si="46"/>
        <v>0</v>
      </c>
      <c r="G195" s="279">
        <f t="shared" ca="1" si="46"/>
        <v>0</v>
      </c>
      <c r="H195" s="279">
        <f t="shared" ca="1" si="46"/>
        <v>0</v>
      </c>
      <c r="I195" s="279">
        <f t="shared" ca="1" si="46"/>
        <v>0</v>
      </c>
      <c r="J195" s="279">
        <f t="shared" ca="1" si="46"/>
        <v>0</v>
      </c>
      <c r="K195" s="279">
        <f t="shared" ca="1" si="46"/>
        <v>0</v>
      </c>
      <c r="L195" s="279">
        <f t="shared" ca="1" si="46"/>
        <v>0</v>
      </c>
      <c r="M195" s="279">
        <f t="shared" ca="1" si="46"/>
        <v>0</v>
      </c>
      <c r="N195" s="279">
        <f t="shared" ca="1" si="46"/>
        <v>0</v>
      </c>
      <c r="O195" s="279">
        <f t="shared" ca="1" si="46"/>
        <v>0</v>
      </c>
      <c r="P195" s="279">
        <f t="shared" ca="1" si="46"/>
        <v>0</v>
      </c>
      <c r="Q195" s="279">
        <f t="shared" ca="1" si="46"/>
        <v>0</v>
      </c>
      <c r="R195" s="279">
        <f t="shared" ca="1" si="46"/>
        <v>0</v>
      </c>
      <c r="S195" s="279">
        <f t="shared" ca="1" si="46"/>
        <v>0</v>
      </c>
      <c r="T195" s="279">
        <f t="shared" ca="1" si="46"/>
        <v>0</v>
      </c>
      <c r="U195" s="279">
        <f t="shared" ca="1" si="46"/>
        <v>0</v>
      </c>
      <c r="V195" s="279">
        <f t="shared" ca="1" si="46"/>
        <v>0</v>
      </c>
      <c r="W195" s="279">
        <f t="shared" ca="1" si="46"/>
        <v>0</v>
      </c>
      <c r="X195" s="279">
        <f t="shared" ca="1" si="46"/>
        <v>0</v>
      </c>
      <c r="Y195" s="279"/>
      <c r="Z195" s="279">
        <f t="shared" ca="1" si="44"/>
        <v>0</v>
      </c>
    </row>
    <row r="196" spans="1:26">
      <c r="A196" s="24"/>
      <c r="B196" s="24"/>
      <c r="C196" s="24" t="s">
        <v>771</v>
      </c>
      <c r="D196" s="24"/>
      <c r="E196" s="279">
        <f t="shared" ca="1" si="46"/>
        <v>0</v>
      </c>
      <c r="F196" s="279">
        <f t="shared" ca="1" si="46"/>
        <v>0</v>
      </c>
      <c r="G196" s="279">
        <f t="shared" ca="1" si="46"/>
        <v>0</v>
      </c>
      <c r="H196" s="279">
        <f t="shared" ca="1" si="46"/>
        <v>0</v>
      </c>
      <c r="I196" s="279">
        <f t="shared" ca="1" si="46"/>
        <v>0</v>
      </c>
      <c r="J196" s="279">
        <f t="shared" ca="1" si="46"/>
        <v>0</v>
      </c>
      <c r="K196" s="279">
        <f t="shared" ca="1" si="46"/>
        <v>0</v>
      </c>
      <c r="L196" s="279">
        <f t="shared" ca="1" si="46"/>
        <v>0</v>
      </c>
      <c r="M196" s="279">
        <f t="shared" ca="1" si="46"/>
        <v>0</v>
      </c>
      <c r="N196" s="279">
        <f t="shared" ca="1" si="46"/>
        <v>0</v>
      </c>
      <c r="O196" s="279">
        <f t="shared" ca="1" si="46"/>
        <v>0</v>
      </c>
      <c r="P196" s="279">
        <f t="shared" ca="1" si="46"/>
        <v>0</v>
      </c>
      <c r="Q196" s="279">
        <f t="shared" ca="1" si="46"/>
        <v>0</v>
      </c>
      <c r="R196" s="279">
        <f t="shared" ca="1" si="46"/>
        <v>0</v>
      </c>
      <c r="S196" s="279">
        <f t="shared" ca="1" si="46"/>
        <v>0</v>
      </c>
      <c r="T196" s="279">
        <f t="shared" ref="T196:X196" ca="1" si="47">T159-T158</f>
        <v>0</v>
      </c>
      <c r="U196" s="279">
        <f t="shared" ca="1" si="47"/>
        <v>0</v>
      </c>
      <c r="V196" s="279">
        <f t="shared" ca="1" si="47"/>
        <v>0</v>
      </c>
      <c r="W196" s="279">
        <f t="shared" ca="1" si="47"/>
        <v>0</v>
      </c>
      <c r="X196" s="279">
        <f t="shared" ca="1" si="47"/>
        <v>0</v>
      </c>
      <c r="Y196" s="279"/>
      <c r="Z196" s="279">
        <f t="shared" ca="1" si="44"/>
        <v>0</v>
      </c>
    </row>
    <row r="197" spans="1:26">
      <c r="A197" s="24"/>
      <c r="B197" s="24"/>
      <c r="C197" s="24" t="s">
        <v>774</v>
      </c>
      <c r="D197" s="24"/>
      <c r="E197" s="279">
        <f t="shared" ref="E197:X201" ca="1" si="48">E160-E159</f>
        <v>0</v>
      </c>
      <c r="F197" s="279">
        <f t="shared" ca="1" si="48"/>
        <v>0</v>
      </c>
      <c r="G197" s="279">
        <f t="shared" ca="1" si="48"/>
        <v>0</v>
      </c>
      <c r="H197" s="279">
        <f t="shared" ca="1" si="48"/>
        <v>0</v>
      </c>
      <c r="I197" s="279">
        <f t="shared" ca="1" si="48"/>
        <v>0</v>
      </c>
      <c r="J197" s="279">
        <f t="shared" ca="1" si="48"/>
        <v>0</v>
      </c>
      <c r="K197" s="279">
        <f t="shared" ca="1" si="48"/>
        <v>0</v>
      </c>
      <c r="L197" s="279">
        <f t="shared" ca="1" si="48"/>
        <v>0</v>
      </c>
      <c r="M197" s="279">
        <f t="shared" ca="1" si="48"/>
        <v>0</v>
      </c>
      <c r="N197" s="279">
        <f t="shared" ca="1" si="48"/>
        <v>0</v>
      </c>
      <c r="O197" s="279">
        <f t="shared" ca="1" si="48"/>
        <v>0</v>
      </c>
      <c r="P197" s="279">
        <f t="shared" ca="1" si="48"/>
        <v>0</v>
      </c>
      <c r="Q197" s="279">
        <f t="shared" ca="1" si="48"/>
        <v>0</v>
      </c>
      <c r="R197" s="279">
        <f t="shared" ca="1" si="48"/>
        <v>0</v>
      </c>
      <c r="S197" s="279">
        <f t="shared" ca="1" si="48"/>
        <v>0</v>
      </c>
      <c r="T197" s="279">
        <f t="shared" ca="1" si="48"/>
        <v>0</v>
      </c>
      <c r="U197" s="279">
        <f t="shared" ca="1" si="48"/>
        <v>0</v>
      </c>
      <c r="V197" s="279">
        <f t="shared" ca="1" si="48"/>
        <v>0</v>
      </c>
      <c r="W197" s="279">
        <f t="shared" ca="1" si="48"/>
        <v>0</v>
      </c>
      <c r="X197" s="279">
        <f t="shared" ca="1" si="48"/>
        <v>0</v>
      </c>
      <c r="Y197" s="279"/>
      <c r="Z197" s="279">
        <f t="shared" ca="1" si="44"/>
        <v>0</v>
      </c>
    </row>
    <row r="198" spans="1:26">
      <c r="A198" s="24"/>
      <c r="B198" s="24"/>
      <c r="C198" s="24" t="s">
        <v>777</v>
      </c>
      <c r="D198" s="24"/>
      <c r="E198" s="279">
        <f t="shared" ca="1" si="48"/>
        <v>0</v>
      </c>
      <c r="F198" s="279">
        <f t="shared" ca="1" si="48"/>
        <v>0</v>
      </c>
      <c r="G198" s="279">
        <f t="shared" ca="1" si="48"/>
        <v>0</v>
      </c>
      <c r="H198" s="279">
        <f t="shared" ca="1" si="48"/>
        <v>0</v>
      </c>
      <c r="I198" s="279">
        <f t="shared" ca="1" si="48"/>
        <v>0</v>
      </c>
      <c r="J198" s="279">
        <f t="shared" ca="1" si="48"/>
        <v>0</v>
      </c>
      <c r="K198" s="279">
        <f t="shared" ca="1" si="48"/>
        <v>0</v>
      </c>
      <c r="L198" s="279">
        <f t="shared" ca="1" si="48"/>
        <v>0</v>
      </c>
      <c r="M198" s="279">
        <f t="shared" ca="1" si="48"/>
        <v>0</v>
      </c>
      <c r="N198" s="279">
        <f t="shared" ca="1" si="48"/>
        <v>0</v>
      </c>
      <c r="O198" s="279">
        <f t="shared" ca="1" si="48"/>
        <v>0</v>
      </c>
      <c r="P198" s="279">
        <f t="shared" ca="1" si="48"/>
        <v>0</v>
      </c>
      <c r="Q198" s="279">
        <f t="shared" ca="1" si="48"/>
        <v>0</v>
      </c>
      <c r="R198" s="279">
        <f t="shared" ca="1" si="48"/>
        <v>0</v>
      </c>
      <c r="S198" s="279">
        <f t="shared" ca="1" si="48"/>
        <v>0</v>
      </c>
      <c r="T198" s="279">
        <f t="shared" ca="1" si="48"/>
        <v>0</v>
      </c>
      <c r="U198" s="279">
        <f t="shared" ca="1" si="48"/>
        <v>0</v>
      </c>
      <c r="V198" s="279">
        <f t="shared" ca="1" si="48"/>
        <v>0</v>
      </c>
      <c r="W198" s="279">
        <f t="shared" ca="1" si="48"/>
        <v>0</v>
      </c>
      <c r="X198" s="279">
        <f t="shared" ca="1" si="48"/>
        <v>0</v>
      </c>
      <c r="Y198" s="279"/>
      <c r="Z198" s="279">
        <f t="shared" ca="1" si="44"/>
        <v>0</v>
      </c>
    </row>
    <row r="199" spans="1:26">
      <c r="A199" s="24"/>
      <c r="B199" s="24"/>
      <c r="C199" s="24" t="s">
        <v>780</v>
      </c>
      <c r="D199" s="24"/>
      <c r="E199" s="279">
        <f t="shared" ca="1" si="48"/>
        <v>0</v>
      </c>
      <c r="F199" s="279">
        <f t="shared" ca="1" si="48"/>
        <v>0</v>
      </c>
      <c r="G199" s="279">
        <f t="shared" ca="1" si="48"/>
        <v>0</v>
      </c>
      <c r="H199" s="279">
        <f t="shared" ca="1" si="48"/>
        <v>0</v>
      </c>
      <c r="I199" s="279">
        <f t="shared" ca="1" si="48"/>
        <v>0</v>
      </c>
      <c r="J199" s="279">
        <f t="shared" ca="1" si="48"/>
        <v>0</v>
      </c>
      <c r="K199" s="279">
        <f t="shared" ca="1" si="48"/>
        <v>0</v>
      </c>
      <c r="L199" s="279">
        <f t="shared" ca="1" si="48"/>
        <v>0</v>
      </c>
      <c r="M199" s="279">
        <f t="shared" ca="1" si="48"/>
        <v>0</v>
      </c>
      <c r="N199" s="279">
        <f t="shared" ca="1" si="48"/>
        <v>0</v>
      </c>
      <c r="O199" s="279">
        <f t="shared" ca="1" si="48"/>
        <v>0</v>
      </c>
      <c r="P199" s="279">
        <f t="shared" ca="1" si="48"/>
        <v>0</v>
      </c>
      <c r="Q199" s="279">
        <f t="shared" ca="1" si="48"/>
        <v>0</v>
      </c>
      <c r="R199" s="279">
        <f t="shared" ca="1" si="48"/>
        <v>0</v>
      </c>
      <c r="S199" s="279">
        <f t="shared" ca="1" si="48"/>
        <v>0</v>
      </c>
      <c r="T199" s="279">
        <f t="shared" ca="1" si="48"/>
        <v>0</v>
      </c>
      <c r="U199" s="279">
        <f t="shared" ca="1" si="48"/>
        <v>0</v>
      </c>
      <c r="V199" s="279">
        <f t="shared" ca="1" si="48"/>
        <v>0</v>
      </c>
      <c r="W199" s="279">
        <f t="shared" ca="1" si="48"/>
        <v>0</v>
      </c>
      <c r="X199" s="279">
        <f t="shared" ca="1" si="48"/>
        <v>0</v>
      </c>
      <c r="Y199" s="279"/>
      <c r="Z199" s="279">
        <f t="shared" ca="1" si="44"/>
        <v>0</v>
      </c>
    </row>
    <row r="200" spans="1:26">
      <c r="A200" s="24"/>
      <c r="B200" s="24"/>
      <c r="C200" s="24" t="s">
        <v>783</v>
      </c>
      <c r="D200" s="24"/>
      <c r="E200" s="279">
        <f t="shared" ca="1" si="48"/>
        <v>0</v>
      </c>
      <c r="F200" s="279">
        <f t="shared" ca="1" si="48"/>
        <v>0</v>
      </c>
      <c r="G200" s="279">
        <f t="shared" ca="1" si="48"/>
        <v>0</v>
      </c>
      <c r="H200" s="279">
        <f t="shared" ca="1" si="48"/>
        <v>0</v>
      </c>
      <c r="I200" s="279">
        <f t="shared" ca="1" si="48"/>
        <v>0</v>
      </c>
      <c r="J200" s="279">
        <f t="shared" ca="1" si="48"/>
        <v>0</v>
      </c>
      <c r="K200" s="279">
        <f t="shared" ca="1" si="48"/>
        <v>0</v>
      </c>
      <c r="L200" s="279">
        <f t="shared" ca="1" si="48"/>
        <v>0</v>
      </c>
      <c r="M200" s="279">
        <f t="shared" ca="1" si="48"/>
        <v>0</v>
      </c>
      <c r="N200" s="279">
        <f t="shared" ca="1" si="48"/>
        <v>0</v>
      </c>
      <c r="O200" s="279">
        <f t="shared" ca="1" si="48"/>
        <v>0</v>
      </c>
      <c r="P200" s="279">
        <f t="shared" ca="1" si="48"/>
        <v>0</v>
      </c>
      <c r="Q200" s="279">
        <f t="shared" ca="1" si="48"/>
        <v>0</v>
      </c>
      <c r="R200" s="279">
        <f t="shared" ca="1" si="48"/>
        <v>0</v>
      </c>
      <c r="S200" s="279">
        <f t="shared" ca="1" si="48"/>
        <v>0</v>
      </c>
      <c r="T200" s="279">
        <f t="shared" ca="1" si="48"/>
        <v>0</v>
      </c>
      <c r="U200" s="279">
        <f t="shared" ca="1" si="48"/>
        <v>0</v>
      </c>
      <c r="V200" s="279">
        <f t="shared" ca="1" si="48"/>
        <v>0</v>
      </c>
      <c r="W200" s="279">
        <f t="shared" ca="1" si="48"/>
        <v>0</v>
      </c>
      <c r="X200" s="279">
        <f t="shared" ca="1" si="48"/>
        <v>0</v>
      </c>
      <c r="Y200" s="279"/>
      <c r="Z200" s="279">
        <f t="shared" ca="1" si="44"/>
        <v>0</v>
      </c>
    </row>
    <row r="201" spans="1:26">
      <c r="A201" s="24"/>
      <c r="B201" s="24"/>
      <c r="C201" s="24" t="s">
        <v>786</v>
      </c>
      <c r="D201" s="24"/>
      <c r="E201" s="279">
        <f t="shared" ca="1" si="48"/>
        <v>0</v>
      </c>
      <c r="F201" s="279">
        <f t="shared" ca="1" si="48"/>
        <v>0</v>
      </c>
      <c r="G201" s="279">
        <f t="shared" ca="1" si="48"/>
        <v>0</v>
      </c>
      <c r="H201" s="279">
        <f t="shared" ca="1" si="48"/>
        <v>0</v>
      </c>
      <c r="I201" s="279">
        <f t="shared" ca="1" si="48"/>
        <v>0</v>
      </c>
      <c r="J201" s="279">
        <f t="shared" ca="1" si="48"/>
        <v>0</v>
      </c>
      <c r="K201" s="279">
        <f t="shared" ca="1" si="48"/>
        <v>0</v>
      </c>
      <c r="L201" s="279">
        <f t="shared" ca="1" si="48"/>
        <v>0</v>
      </c>
      <c r="M201" s="279">
        <f t="shared" ca="1" si="48"/>
        <v>0</v>
      </c>
      <c r="N201" s="279">
        <f t="shared" ca="1" si="48"/>
        <v>0</v>
      </c>
      <c r="O201" s="279">
        <f t="shared" ca="1" si="48"/>
        <v>0</v>
      </c>
      <c r="P201" s="279">
        <f t="shared" ca="1" si="48"/>
        <v>0</v>
      </c>
      <c r="Q201" s="279">
        <f t="shared" ca="1" si="48"/>
        <v>0</v>
      </c>
      <c r="R201" s="279">
        <f t="shared" ca="1" si="48"/>
        <v>0</v>
      </c>
      <c r="S201" s="279">
        <f t="shared" ca="1" si="48"/>
        <v>0</v>
      </c>
      <c r="T201" s="279">
        <f t="shared" ca="1" si="48"/>
        <v>0</v>
      </c>
      <c r="U201" s="279">
        <f t="shared" ca="1" si="48"/>
        <v>0</v>
      </c>
      <c r="V201" s="279">
        <f t="shared" ca="1" si="48"/>
        <v>0</v>
      </c>
      <c r="W201" s="279">
        <f t="shared" ca="1" si="48"/>
        <v>0</v>
      </c>
      <c r="X201" s="279">
        <f t="shared" ca="1" si="48"/>
        <v>0</v>
      </c>
      <c r="Y201" s="279"/>
      <c r="Z201" s="279">
        <f t="shared" ca="1" si="44"/>
        <v>0</v>
      </c>
    </row>
    <row r="202" spans="1:26">
      <c r="A202" s="24"/>
      <c r="B202" s="24"/>
      <c r="C202" s="24"/>
      <c r="D202" s="24"/>
      <c r="E202" s="273"/>
      <c r="F202" s="24"/>
      <c r="G202" s="24"/>
      <c r="H202" s="24"/>
      <c r="I202" s="24"/>
      <c r="J202" s="24"/>
      <c r="K202" s="24"/>
      <c r="L202" s="24"/>
      <c r="M202" s="24"/>
      <c r="N202" s="24"/>
      <c r="O202" s="24"/>
      <c r="P202" s="24"/>
      <c r="Q202" s="24"/>
      <c r="R202" s="24"/>
      <c r="S202" s="24"/>
      <c r="T202" s="24"/>
      <c r="U202" s="24"/>
      <c r="V202" s="24"/>
      <c r="W202" s="24"/>
      <c r="X202" s="24"/>
      <c r="Y202" s="24"/>
      <c r="Z202" s="24"/>
    </row>
    <row r="203" spans="1:26" ht="15">
      <c r="A203" s="24"/>
      <c r="B203" s="24"/>
      <c r="C203" s="280" t="s">
        <v>791</v>
      </c>
      <c r="D203" s="281"/>
      <c r="E203" s="281">
        <f t="shared" ref="E203:X203" ca="1" si="49">SUM(E170:E201)</f>
        <v>4.8063109486317561</v>
      </c>
      <c r="F203" s="281">
        <f t="shared" ca="1" si="49"/>
        <v>8.5110622128834041</v>
      </c>
      <c r="G203" s="281">
        <f t="shared" ca="1" si="49"/>
        <v>11.361916818723241</v>
      </c>
      <c r="H203" s="281">
        <f t="shared" ca="1" si="49"/>
        <v>13.550878385434526</v>
      </c>
      <c r="I203" s="281">
        <f t="shared" ca="1" si="49"/>
        <v>15.226800418483165</v>
      </c>
      <c r="J203" s="281">
        <f t="shared" ca="1" si="49"/>
        <v>16.743617959460998</v>
      </c>
      <c r="K203" s="281">
        <f t="shared" ca="1" si="49"/>
        <v>17.654898908368128</v>
      </c>
      <c r="L203" s="281">
        <f t="shared" ca="1" si="49"/>
        <v>18.341894359085686</v>
      </c>
      <c r="M203" s="281">
        <f t="shared" ca="1" si="49"/>
        <v>18.869974696967827</v>
      </c>
      <c r="N203" s="281">
        <f t="shared" ca="1" si="49"/>
        <v>19.243113157941252</v>
      </c>
      <c r="O203" s="281">
        <f t="shared" ca="1" si="49"/>
        <v>19.517763715084183</v>
      </c>
      <c r="P203" s="281">
        <f t="shared" ca="1" si="49"/>
        <v>19.721874049033438</v>
      </c>
      <c r="Q203" s="281">
        <f t="shared" ca="1" si="49"/>
        <v>19.85410437714674</v>
      </c>
      <c r="R203" s="281">
        <f t="shared" ca="1" si="49"/>
        <v>19.940833396156464</v>
      </c>
      <c r="S203" s="281">
        <f t="shared" ca="1" si="49"/>
        <v>19.98810042875337</v>
      </c>
      <c r="T203" s="281">
        <f t="shared" ca="1" si="49"/>
        <v>20.005053035146098</v>
      </c>
      <c r="U203" s="281">
        <f t="shared" ca="1" si="49"/>
        <v>20.002388714917487</v>
      </c>
      <c r="V203" s="281">
        <f t="shared" ca="1" si="49"/>
        <v>19.979630913913283</v>
      </c>
      <c r="W203" s="281">
        <f t="shared" ca="1" si="49"/>
        <v>19.935577291376955</v>
      </c>
      <c r="X203" s="281">
        <f t="shared" ca="1" si="49"/>
        <v>19.886994870225163</v>
      </c>
      <c r="Y203" s="281"/>
      <c r="Z203" s="251" t="s">
        <v>699</v>
      </c>
    </row>
    <row r="204" spans="1:26" ht="15">
      <c r="A204" s="24"/>
      <c r="B204" s="24"/>
      <c r="C204" s="280" t="s">
        <v>941</v>
      </c>
      <c r="D204" s="281"/>
      <c r="E204" s="281">
        <f ca="1">IF((D204+E203)&lt;$Z$204,(D204+E203),$Z$204)</f>
        <v>4.8063109486317561</v>
      </c>
      <c r="F204" s="281">
        <f t="shared" ref="F204:X204" ca="1" si="50">IF((E204+F203)&lt;$Z$185,(E204+F203),$Z$185)</f>
        <v>0</v>
      </c>
      <c r="G204" s="281">
        <f t="shared" ca="1" si="50"/>
        <v>0</v>
      </c>
      <c r="H204" s="281">
        <f t="shared" ca="1" si="50"/>
        <v>0</v>
      </c>
      <c r="I204" s="281">
        <f t="shared" ca="1" si="50"/>
        <v>0</v>
      </c>
      <c r="J204" s="281">
        <f t="shared" ca="1" si="50"/>
        <v>0</v>
      </c>
      <c r="K204" s="281">
        <f t="shared" ca="1" si="50"/>
        <v>0</v>
      </c>
      <c r="L204" s="281">
        <f t="shared" ca="1" si="50"/>
        <v>0</v>
      </c>
      <c r="M204" s="281">
        <f t="shared" ca="1" si="50"/>
        <v>0</v>
      </c>
      <c r="N204" s="281">
        <f t="shared" ca="1" si="50"/>
        <v>0</v>
      </c>
      <c r="O204" s="281">
        <f t="shared" ca="1" si="50"/>
        <v>0</v>
      </c>
      <c r="P204" s="281">
        <f t="shared" ca="1" si="50"/>
        <v>0</v>
      </c>
      <c r="Q204" s="281">
        <f t="shared" ca="1" si="50"/>
        <v>0</v>
      </c>
      <c r="R204" s="281">
        <f t="shared" ca="1" si="50"/>
        <v>0</v>
      </c>
      <c r="S204" s="281">
        <f t="shared" ca="1" si="50"/>
        <v>0</v>
      </c>
      <c r="T204" s="281">
        <f t="shared" ca="1" si="50"/>
        <v>0</v>
      </c>
      <c r="U204" s="281">
        <f t="shared" ca="1" si="50"/>
        <v>0</v>
      </c>
      <c r="V204" s="281">
        <f t="shared" ca="1" si="50"/>
        <v>0</v>
      </c>
      <c r="W204" s="281">
        <f t="shared" ca="1" si="50"/>
        <v>0</v>
      </c>
      <c r="X204" s="281">
        <f t="shared" ca="1" si="50"/>
        <v>0</v>
      </c>
      <c r="Y204" s="281"/>
      <c r="Z204" s="281">
        <f ca="1">SUM(Z170:Z201)</f>
        <v>126.15931523421077</v>
      </c>
    </row>
  </sheetData>
  <mergeCells count="1">
    <mergeCell ref="B1:S5"/>
  </mergeCells>
  <dataValidations count="1">
    <dataValidation type="list" allowBlank="1" showInputMessage="1" showErrorMessage="1" sqref="D8">
      <formula1>"ID, MT, OR, WA, Region"</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sheetPr codeName="Sheet3"/>
  <dimension ref="A1"/>
  <sheetViews>
    <sheetView workbookViewId="0">
      <selection activeCell="G25" sqref="G25"/>
    </sheetView>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tabColor theme="6" tint="-0.249977111117893"/>
  </sheetPr>
  <dimension ref="A1:EA28"/>
  <sheetViews>
    <sheetView topLeftCell="C1" workbookViewId="0">
      <selection activeCell="N4" sqref="N4:AM14"/>
    </sheetView>
  </sheetViews>
  <sheetFormatPr defaultRowHeight="12.75"/>
  <cols>
    <col min="1" max="1" width="48.85546875" customWidth="1"/>
    <col min="2" max="2" width="17.85546875" customWidth="1"/>
  </cols>
  <sheetData>
    <row r="1" spans="1:131" ht="13.5" thickBot="1">
      <c r="A1" s="187" t="s">
        <v>385</v>
      </c>
      <c r="B1" s="188"/>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row>
    <row r="2" spans="1:131" ht="13.5" thickBot="1">
      <c r="A2" s="189"/>
      <c r="B2" s="190"/>
      <c r="C2" s="191"/>
      <c r="D2" s="191"/>
      <c r="E2" s="191"/>
      <c r="F2" s="191"/>
      <c r="G2" s="191"/>
      <c r="H2" s="191"/>
      <c r="I2" s="191"/>
      <c r="J2" s="191"/>
      <c r="K2" s="191"/>
      <c r="L2" s="191"/>
      <c r="M2" s="191"/>
      <c r="N2" s="191"/>
      <c r="O2" s="192" t="s">
        <v>386</v>
      </c>
      <c r="P2" s="193"/>
      <c r="Q2" s="193"/>
      <c r="R2" s="193"/>
      <c r="S2" s="193"/>
      <c r="T2" s="193"/>
      <c r="U2" s="193"/>
      <c r="V2" s="193"/>
      <c r="W2" s="193"/>
      <c r="X2" s="193"/>
      <c r="Y2" s="193"/>
      <c r="Z2" s="194"/>
      <c r="AA2" s="191"/>
      <c r="AB2" s="192" t="s">
        <v>387</v>
      </c>
      <c r="AC2" s="193"/>
      <c r="AD2" s="193"/>
      <c r="AE2" s="193"/>
      <c r="AF2" s="193"/>
      <c r="AG2" s="193"/>
      <c r="AH2" s="193"/>
      <c r="AI2" s="193"/>
      <c r="AJ2" s="193"/>
      <c r="AK2" s="193"/>
      <c r="AL2" s="193"/>
      <c r="AM2" s="194"/>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row>
    <row r="3" spans="1:131" ht="191.25">
      <c r="A3" s="195" t="s">
        <v>388</v>
      </c>
      <c r="B3" s="196" t="s">
        <v>389</v>
      </c>
      <c r="C3" s="197" t="s">
        <v>390</v>
      </c>
      <c r="D3" s="197" t="s">
        <v>391</v>
      </c>
      <c r="E3" s="197" t="s">
        <v>392</v>
      </c>
      <c r="F3" s="197" t="s">
        <v>393</v>
      </c>
      <c r="G3" s="197" t="s">
        <v>394</v>
      </c>
      <c r="H3" s="197" t="s">
        <v>395</v>
      </c>
      <c r="I3" s="197" t="s">
        <v>396</v>
      </c>
      <c r="J3" s="197" t="s">
        <v>397</v>
      </c>
      <c r="K3" s="197" t="s">
        <v>398</v>
      </c>
      <c r="L3" s="197" t="s">
        <v>399</v>
      </c>
      <c r="M3" s="197" t="s">
        <v>400</v>
      </c>
      <c r="N3" s="197" t="s">
        <v>401</v>
      </c>
      <c r="O3" s="197" t="s">
        <v>402</v>
      </c>
      <c r="P3" s="197" t="s">
        <v>403</v>
      </c>
      <c r="Q3" s="197" t="s">
        <v>404</v>
      </c>
      <c r="R3" s="197" t="s">
        <v>405</v>
      </c>
      <c r="S3" s="197" t="s">
        <v>406</v>
      </c>
      <c r="T3" s="197" t="s">
        <v>407</v>
      </c>
      <c r="U3" s="197" t="s">
        <v>408</v>
      </c>
      <c r="V3" s="197" t="s">
        <v>409</v>
      </c>
      <c r="W3" s="197" t="s">
        <v>410</v>
      </c>
      <c r="X3" s="197" t="s">
        <v>411</v>
      </c>
      <c r="Y3" s="197" t="s">
        <v>412</v>
      </c>
      <c r="Z3" s="197" t="s">
        <v>413</v>
      </c>
      <c r="AA3" s="197"/>
      <c r="AB3" s="197" t="s">
        <v>402</v>
      </c>
      <c r="AC3" s="197" t="s">
        <v>403</v>
      </c>
      <c r="AD3" s="197" t="s">
        <v>404</v>
      </c>
      <c r="AE3" s="197" t="s">
        <v>405</v>
      </c>
      <c r="AF3" s="197" t="s">
        <v>406</v>
      </c>
      <c r="AG3" s="197" t="s">
        <v>407</v>
      </c>
      <c r="AH3" s="197" t="s">
        <v>408</v>
      </c>
      <c r="AI3" s="197" t="s">
        <v>409</v>
      </c>
      <c r="AJ3" s="197" t="s">
        <v>410</v>
      </c>
      <c r="AK3" s="197" t="s">
        <v>411</v>
      </c>
      <c r="AL3" s="197" t="s">
        <v>412</v>
      </c>
      <c r="AM3" s="197" t="s">
        <v>413</v>
      </c>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row>
    <row r="4" spans="1:131">
      <c r="A4" s="24" t="s">
        <v>414</v>
      </c>
      <c r="B4" s="24"/>
      <c r="C4" s="198">
        <v>147.30939530738755</v>
      </c>
      <c r="D4" s="198">
        <v>0.35225089298694362</v>
      </c>
      <c r="E4" s="198">
        <v>7.0450178597388724E-2</v>
      </c>
      <c r="F4" s="198">
        <v>0.42270107158433234</v>
      </c>
      <c r="G4" s="198">
        <v>-5.7532624000254087</v>
      </c>
      <c r="H4" s="198">
        <v>106.2410391537172</v>
      </c>
      <c r="I4" s="198">
        <v>25.136627432025399</v>
      </c>
      <c r="J4" s="198">
        <v>-17.719494446739027</v>
      </c>
      <c r="K4" s="198">
        <v>-20.650247166381963</v>
      </c>
      <c r="L4" s="199">
        <v>220.64102437953059</v>
      </c>
      <c r="M4" s="198">
        <v>1.3994457324500227</v>
      </c>
      <c r="N4" s="198">
        <v>3.4432533259467366E-2</v>
      </c>
      <c r="O4" s="198">
        <v>6.1214275281786348</v>
      </c>
      <c r="P4" s="198">
        <v>4.5012253649611278</v>
      </c>
      <c r="Q4" s="198">
        <v>4.1671281536517206</v>
      </c>
      <c r="R4" s="198">
        <v>2.3829983843623639</v>
      </c>
      <c r="S4" s="198">
        <v>1.914118422159945</v>
      </c>
      <c r="T4" s="198">
        <v>1.4855513534589628</v>
      </c>
      <c r="U4" s="198">
        <v>1.5559194638995804</v>
      </c>
      <c r="V4" s="198">
        <v>2.2593752178613391</v>
      </c>
      <c r="W4" s="198">
        <v>2.8494539364356686</v>
      </c>
      <c r="X4" s="198">
        <v>4.6441338465490487</v>
      </c>
      <c r="Y4" s="198">
        <v>5.4143844104985908</v>
      </c>
      <c r="Z4" s="198">
        <v>6.4230876376300188</v>
      </c>
      <c r="AA4" s="198"/>
      <c r="AB4" s="198">
        <v>10.051032197863719</v>
      </c>
      <c r="AC4" s="198">
        <v>8.6948980365836448</v>
      </c>
      <c r="AD4" s="198">
        <v>8.7374957486895504</v>
      </c>
      <c r="AE4" s="198">
        <v>8.279007135819942</v>
      </c>
      <c r="AF4" s="198">
        <v>7.6241768312418259</v>
      </c>
      <c r="AG4" s="198">
        <v>6.925143416401017</v>
      </c>
      <c r="AH4" s="198">
        <v>7.5709521345430195</v>
      </c>
      <c r="AI4" s="198">
        <v>8.1823140592106416</v>
      </c>
      <c r="AJ4" s="198">
        <v>8.7840949411056624</v>
      </c>
      <c r="AK4" s="198">
        <v>9.0923742042230877</v>
      </c>
      <c r="AL4" s="198">
        <v>9.5858396301302093</v>
      </c>
      <c r="AM4" s="45">
        <v>10.063263251928216</v>
      </c>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row>
    <row r="5" spans="1:131">
      <c r="A5" s="24" t="s">
        <v>415</v>
      </c>
      <c r="B5" s="24"/>
      <c r="C5" s="198">
        <v>75.559721767198283</v>
      </c>
      <c r="D5" s="198">
        <v>0.68761315445724391</v>
      </c>
      <c r="E5" s="198">
        <v>0.13752263089144878</v>
      </c>
      <c r="F5" s="198">
        <v>0.8251357853486927</v>
      </c>
      <c r="G5" s="198">
        <v>-4.6363112598750797</v>
      </c>
      <c r="H5" s="198">
        <v>54.494442407844943</v>
      </c>
      <c r="I5" s="198">
        <v>95.661938802856</v>
      </c>
      <c r="J5" s="198">
        <v>-17.559653435812891</v>
      </c>
      <c r="K5" s="198">
        <v>-22.291408773955858</v>
      </c>
      <c r="L5" s="199">
        <v>61.523709146656621</v>
      </c>
      <c r="M5" s="198">
        <v>0.71782067906508984</v>
      </c>
      <c r="N5" s="198">
        <v>1.7661552594090916E-2</v>
      </c>
      <c r="O5" s="198">
        <v>3.1398768549832607</v>
      </c>
      <c r="P5" s="198">
        <v>2.3088231098784622</v>
      </c>
      <c r="Q5" s="198">
        <v>2.1374539159648025</v>
      </c>
      <c r="R5" s="198">
        <v>1.2223164348640381</v>
      </c>
      <c r="S5" s="198">
        <v>0.98181283757276283</v>
      </c>
      <c r="T5" s="198">
        <v>0.76198701857419704</v>
      </c>
      <c r="U5" s="198">
        <v>0.79808108328121508</v>
      </c>
      <c r="V5" s="198">
        <v>1.1589061408681534</v>
      </c>
      <c r="W5" s="198">
        <v>1.4615764743060453</v>
      </c>
      <c r="X5" s="198">
        <v>2.3821254616016763</v>
      </c>
      <c r="Y5" s="198">
        <v>2.7772117232865496</v>
      </c>
      <c r="Z5" s="198">
        <v>3.2946080171799874</v>
      </c>
      <c r="AA5" s="198"/>
      <c r="AB5" s="198">
        <v>5.1554973446126651</v>
      </c>
      <c r="AC5" s="198">
        <v>4.4598925619611922</v>
      </c>
      <c r="AD5" s="198">
        <v>4.4817422971252334</v>
      </c>
      <c r="AE5" s="198">
        <v>4.2465687567711585</v>
      </c>
      <c r="AF5" s="198">
        <v>3.9106852544636124</v>
      </c>
      <c r="AG5" s="198">
        <v>3.5521285566974572</v>
      </c>
      <c r="AH5" s="198">
        <v>3.8833845974667289</v>
      </c>
      <c r="AI5" s="198">
        <v>4.1969717711195127</v>
      </c>
      <c r="AJ5" s="198">
        <v>4.5056445201042248</v>
      </c>
      <c r="AK5" s="198">
        <v>4.6637708588835229</v>
      </c>
      <c r="AL5" s="198">
        <v>4.916885130417052</v>
      </c>
      <c r="AM5" s="45">
        <v>5.1617710452147518</v>
      </c>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row>
    <row r="6" spans="1:131">
      <c r="A6" s="24" t="s">
        <v>416</v>
      </c>
      <c r="B6" s="24"/>
      <c r="C6" s="198">
        <v>75.7337104936271</v>
      </c>
      <c r="D6" s="198">
        <v>0.75267609869364605</v>
      </c>
      <c r="E6" s="198">
        <v>0.15053521973872921</v>
      </c>
      <c r="F6" s="198">
        <v>0.90321131843237523</v>
      </c>
      <c r="G6" s="198">
        <v>-4.9006523403808151</v>
      </c>
      <c r="H6" s="198">
        <v>54.619924852859768</v>
      </c>
      <c r="I6" s="198">
        <v>104.47304242584818</v>
      </c>
      <c r="J6" s="198">
        <v>-17.539683645065441</v>
      </c>
      <c r="K6" s="198">
        <v>-22.537866130177878</v>
      </c>
      <c r="L6" s="199">
        <v>56.656424961588336</v>
      </c>
      <c r="M6" s="198">
        <v>0.71947357961625447</v>
      </c>
      <c r="N6" s="198">
        <v>1.770222123302621E-2</v>
      </c>
      <c r="O6" s="198">
        <v>3.1471069395093139</v>
      </c>
      <c r="P6" s="198">
        <v>2.31413955603578</v>
      </c>
      <c r="Q6" s="198">
        <v>2.1423757562778842</v>
      </c>
      <c r="R6" s="198">
        <v>1.2251310201327645</v>
      </c>
      <c r="S6" s="198">
        <v>0.98407362362656903</v>
      </c>
      <c r="T6" s="198">
        <v>0.76374161940935492</v>
      </c>
      <c r="U6" s="198">
        <v>0.79991879665574095</v>
      </c>
      <c r="V6" s="198">
        <v>1.1615747134725027</v>
      </c>
      <c r="W6" s="198">
        <v>1.4649419952925617</v>
      </c>
      <c r="X6" s="198">
        <v>2.3876106985184391</v>
      </c>
      <c r="Y6" s="198">
        <v>2.7836067115085368</v>
      </c>
      <c r="Z6" s="198">
        <v>3.3021943957370379</v>
      </c>
      <c r="AA6" s="198"/>
      <c r="AB6" s="198">
        <v>5.1673687278856217</v>
      </c>
      <c r="AC6" s="198">
        <v>4.4701622004500132</v>
      </c>
      <c r="AD6" s="198">
        <v>4.492062248234391</v>
      </c>
      <c r="AE6" s="198">
        <v>4.2563471820009324</v>
      </c>
      <c r="AF6" s="198">
        <v>3.9196902525098531</v>
      </c>
      <c r="AG6" s="198">
        <v>3.5603079187866329</v>
      </c>
      <c r="AH6" s="198">
        <v>3.8923267312457321</v>
      </c>
      <c r="AI6" s="198">
        <v>4.2066359911065145</v>
      </c>
      <c r="AJ6" s="198">
        <v>4.5160195100255649</v>
      </c>
      <c r="AK6" s="198">
        <v>4.6745099607901333</v>
      </c>
      <c r="AL6" s="198">
        <v>4.9282070696967377</v>
      </c>
      <c r="AM6" s="45">
        <v>5.173656874718481</v>
      </c>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row>
    <row r="7" spans="1:131">
      <c r="A7" s="24" t="s">
        <v>417</v>
      </c>
      <c r="B7" s="24"/>
      <c r="C7" s="198">
        <v>1.9411307694657556</v>
      </c>
      <c r="D7" s="198">
        <v>2.9394812076628273E-2</v>
      </c>
      <c r="E7" s="198">
        <v>5.8789624153256547E-3</v>
      </c>
      <c r="F7" s="198">
        <v>3.527377449195393E-2</v>
      </c>
      <c r="G7" s="198">
        <v>-2.8647632859860557</v>
      </c>
      <c r="H7" s="198">
        <v>1.3999633197255716</v>
      </c>
      <c r="I7" s="198">
        <v>159.18467184699767</v>
      </c>
      <c r="J7" s="198">
        <v>-17.415683311197927</v>
      </c>
      <c r="K7" s="198">
        <v>-126.37002300184083</v>
      </c>
      <c r="L7" s="199">
        <v>51.736777996568122</v>
      </c>
      <c r="M7" s="198">
        <v>1.844082765927995E-2</v>
      </c>
      <c r="N7" s="198">
        <v>4.5372564079253387E-4</v>
      </c>
      <c r="O7" s="198">
        <v>8.0663499454378285E-2</v>
      </c>
      <c r="P7" s="198">
        <v>5.9313712054777444E-2</v>
      </c>
      <c r="Q7" s="198">
        <v>5.4911234021980379E-2</v>
      </c>
      <c r="R7" s="198">
        <v>3.1401333756211465E-2</v>
      </c>
      <c r="S7" s="198">
        <v>2.5222791512399732E-2</v>
      </c>
      <c r="T7" s="198">
        <v>1.9575461808144946E-2</v>
      </c>
      <c r="U7" s="198">
        <v>2.0502719055250057E-2</v>
      </c>
      <c r="V7" s="198">
        <v>2.9772322030155639E-2</v>
      </c>
      <c r="W7" s="198">
        <v>3.754792897390441E-2</v>
      </c>
      <c r="X7" s="198">
        <v>6.1196850942484442E-2</v>
      </c>
      <c r="Y7" s="198">
        <v>7.1346624938643285E-2</v>
      </c>
      <c r="Z7" s="198">
        <v>8.4638546118269667E-2</v>
      </c>
      <c r="AA7" s="198"/>
      <c r="AB7" s="198">
        <v>0.13244483030734319</v>
      </c>
      <c r="AC7" s="198">
        <v>0.11457472947303225</v>
      </c>
      <c r="AD7" s="198">
        <v>0.11513604960814702</v>
      </c>
      <c r="AE7" s="198">
        <v>0.10909443663408144</v>
      </c>
      <c r="AF7" s="198">
        <v>0.10046558271513885</v>
      </c>
      <c r="AG7" s="198">
        <v>9.1254253949578673E-2</v>
      </c>
      <c r="AH7" s="198">
        <v>9.976422828868188E-2</v>
      </c>
      <c r="AI7" s="198">
        <v>0.1078202890767653</v>
      </c>
      <c r="AJ7" s="198">
        <v>0.11575009819644255</v>
      </c>
      <c r="AK7" s="198">
        <v>0.11981236701491657</v>
      </c>
      <c r="AL7" s="198">
        <v>0.12631487773323868</v>
      </c>
      <c r="AM7" s="45">
        <v>0.13260600180178897</v>
      </c>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row>
    <row r="8" spans="1:131" hidden="1">
      <c r="A8" s="24" t="s">
        <v>418</v>
      </c>
      <c r="B8" s="24"/>
      <c r="C8" s="198">
        <v>1.9411307694657556</v>
      </c>
      <c r="D8" s="198">
        <v>2.9394812076628273E-2</v>
      </c>
      <c r="E8" s="198">
        <v>5.8789624153256547E-3</v>
      </c>
      <c r="F8" s="198">
        <v>3.527377449195393E-2</v>
      </c>
      <c r="G8" s="198">
        <v>-2.8647632859860557</v>
      </c>
      <c r="H8" s="198">
        <v>1.3999633197255716</v>
      </c>
      <c r="I8" s="198">
        <v>159.18467184699767</v>
      </c>
      <c r="J8" s="198">
        <v>-17.415683311197927</v>
      </c>
      <c r="K8" s="198">
        <v>-126.37002300184083</v>
      </c>
      <c r="L8" s="199">
        <v>51.736777996568122</v>
      </c>
      <c r="M8" s="198">
        <v>1.844082765927995E-2</v>
      </c>
      <c r="N8" s="198">
        <v>4.5372564079253387E-4</v>
      </c>
      <c r="O8" s="198">
        <v>8.0663499454378285E-2</v>
      </c>
      <c r="P8" s="198">
        <v>5.9313712054777444E-2</v>
      </c>
      <c r="Q8" s="198">
        <v>5.4911234021980379E-2</v>
      </c>
      <c r="R8" s="198">
        <v>3.1401333756211465E-2</v>
      </c>
      <c r="S8" s="198">
        <v>2.5222791512399732E-2</v>
      </c>
      <c r="T8" s="198">
        <v>1.9575461808144946E-2</v>
      </c>
      <c r="U8" s="198">
        <v>2.0502719055250057E-2</v>
      </c>
      <c r="V8" s="198">
        <v>2.9772322030155639E-2</v>
      </c>
      <c r="W8" s="198">
        <v>3.754792897390441E-2</v>
      </c>
      <c r="X8" s="198">
        <v>6.1196850942484442E-2</v>
      </c>
      <c r="Y8" s="198">
        <v>7.1346624938643285E-2</v>
      </c>
      <c r="Z8" s="198">
        <v>8.4638546118269667E-2</v>
      </c>
      <c r="AA8" s="198"/>
      <c r="AB8" s="198">
        <v>0.13244483030734319</v>
      </c>
      <c r="AC8" s="198">
        <v>0.11457472947303225</v>
      </c>
      <c r="AD8" s="198">
        <v>0.11513604960814702</v>
      </c>
      <c r="AE8" s="198">
        <v>0.10909443663408144</v>
      </c>
      <c r="AF8" s="198">
        <v>0.10046558271513885</v>
      </c>
      <c r="AG8" s="198">
        <v>9.1254253949578673E-2</v>
      </c>
      <c r="AH8" s="198">
        <v>9.976422828868188E-2</v>
      </c>
      <c r="AI8" s="198">
        <v>0.1078202890767653</v>
      </c>
      <c r="AJ8" s="198">
        <v>0.11575009819644255</v>
      </c>
      <c r="AK8" s="198">
        <v>0.11981236701491657</v>
      </c>
      <c r="AL8" s="198">
        <v>0.12631487773323868</v>
      </c>
      <c r="AM8" s="45">
        <v>0.13260600180178897</v>
      </c>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row>
    <row r="9" spans="1:131">
      <c r="A9" s="24" t="s">
        <v>419</v>
      </c>
      <c r="B9" s="24"/>
      <c r="C9" s="198">
        <v>32.677068971184418</v>
      </c>
      <c r="D9" s="198">
        <v>0.93212841418794667</v>
      </c>
      <c r="E9" s="198">
        <v>0.18642568283758934</v>
      </c>
      <c r="F9" s="198">
        <v>1.1185540970255361</v>
      </c>
      <c r="G9" s="198">
        <v>-0.58882269104469975</v>
      </c>
      <c r="H9" s="198">
        <v>23.567035603887383</v>
      </c>
      <c r="I9" s="198">
        <v>299.85963241024848</v>
      </c>
      <c r="J9" s="198">
        <v>-17.096852703131635</v>
      </c>
      <c r="K9" s="198">
        <v>-19.102367372714323</v>
      </c>
      <c r="L9" s="199">
        <v>19.239084018786379</v>
      </c>
      <c r="M9" s="198">
        <v>0.310433592000535</v>
      </c>
      <c r="N9" s="198">
        <v>7.6380346401149751E-3</v>
      </c>
      <c r="O9" s="198">
        <v>1.3578924081726151</v>
      </c>
      <c r="P9" s="198">
        <v>0.99848927761027284</v>
      </c>
      <c r="Q9" s="198">
        <v>0.92437779548615628</v>
      </c>
      <c r="R9" s="198">
        <v>0.52861124303403384</v>
      </c>
      <c r="S9" s="198">
        <v>0.42460142864219907</v>
      </c>
      <c r="T9" s="198">
        <v>0.32953406628219623</v>
      </c>
      <c r="U9" s="198">
        <v>0.34514354993693402</v>
      </c>
      <c r="V9" s="198">
        <v>0.50118839787360969</v>
      </c>
      <c r="W9" s="198">
        <v>0.63208325997691295</v>
      </c>
      <c r="X9" s="198">
        <v>1.0301901090451673</v>
      </c>
      <c r="Y9" s="198">
        <v>1.2010517893253161</v>
      </c>
      <c r="Z9" s="198">
        <v>1.4248084944265076</v>
      </c>
      <c r="AA9" s="198"/>
      <c r="AB9" s="198">
        <v>2.2295812950412466</v>
      </c>
      <c r="AC9" s="198">
        <v>1.9287553400513546</v>
      </c>
      <c r="AD9" s="198">
        <v>1.9382046244883369</v>
      </c>
      <c r="AE9" s="198">
        <v>1.8364998826150838</v>
      </c>
      <c r="AF9" s="198">
        <v>1.6912414285804978</v>
      </c>
      <c r="AG9" s="198">
        <v>1.5361775708934102</v>
      </c>
      <c r="AH9" s="198">
        <v>1.6794348015736593</v>
      </c>
      <c r="AI9" s="198">
        <v>1.8150508343259031</v>
      </c>
      <c r="AJ9" s="198">
        <v>1.948541541705364</v>
      </c>
      <c r="AK9" s="198">
        <v>2.0169259290165296</v>
      </c>
      <c r="AL9" s="198">
        <v>2.1263894409915411</v>
      </c>
      <c r="AM9" s="45">
        <v>2.2322944620895657</v>
      </c>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row>
    <row r="10" spans="1:131">
      <c r="A10" s="24" t="s">
        <v>421</v>
      </c>
      <c r="B10" s="24"/>
      <c r="C10" s="198">
        <v>2.6150142699850236</v>
      </c>
      <c r="D10" s="198">
        <v>0.13553311531055059</v>
      </c>
      <c r="E10" s="198">
        <v>2.7106623062110119E-2</v>
      </c>
      <c r="F10" s="198">
        <v>0.16263973837266071</v>
      </c>
      <c r="G10" s="198">
        <v>-0.92619873676686304</v>
      </c>
      <c r="H10" s="198">
        <v>1.8859749771240535</v>
      </c>
      <c r="I10" s="198">
        <v>544.82460172298306</v>
      </c>
      <c r="J10" s="198">
        <v>-16.541655603319388</v>
      </c>
      <c r="K10" s="198">
        <v>-43.838014609514389</v>
      </c>
      <c r="L10" s="199">
        <v>8.2560305106367622</v>
      </c>
      <c r="M10" s="198">
        <v>2.4842750544119063E-2</v>
      </c>
      <c r="N10" s="198">
        <v>6.1124116107701858E-4</v>
      </c>
      <c r="O10" s="198">
        <v>0.10866666247229853</v>
      </c>
      <c r="P10" s="198">
        <v>7.9905076911286385E-2</v>
      </c>
      <c r="Q10" s="198">
        <v>7.3974233374027726E-2</v>
      </c>
      <c r="R10" s="198">
        <v>4.2302629560426443E-2</v>
      </c>
      <c r="S10" s="198">
        <v>3.397914286420569E-2</v>
      </c>
      <c r="T10" s="198">
        <v>2.6371284601260828E-2</v>
      </c>
      <c r="U10" s="198">
        <v>2.7620448733461079E-2</v>
      </c>
      <c r="V10" s="198">
        <v>4.0108089668206129E-2</v>
      </c>
      <c r="W10" s="198">
        <v>5.0583078492011067E-2</v>
      </c>
      <c r="X10" s="198">
        <v>8.2441966821631199E-2</v>
      </c>
      <c r="Y10" s="198">
        <v>9.6115339195396221E-2</v>
      </c>
      <c r="Z10" s="198">
        <v>0.11402168744714514</v>
      </c>
      <c r="AA10" s="198"/>
      <c r="AB10" s="198">
        <v>0.1784244146182741</v>
      </c>
      <c r="AC10" s="198">
        <v>0.15435052458321183</v>
      </c>
      <c r="AD10" s="198">
        <v>0.15510671277333518</v>
      </c>
      <c r="AE10" s="198">
        <v>0.14696769175042057</v>
      </c>
      <c r="AF10" s="198">
        <v>0.135343242493011</v>
      </c>
      <c r="AG10" s="198">
        <v>0.12293410625841673</v>
      </c>
      <c r="AH10" s="198">
        <v>0.13439840566782024</v>
      </c>
      <c r="AI10" s="198">
        <v>0.14525121077095249</v>
      </c>
      <c r="AJ10" s="198">
        <v>0.15593393464118435</v>
      </c>
      <c r="AK10" s="198">
        <v>0.16140646183817914</v>
      </c>
      <c r="AL10" s="198">
        <v>0.17016638599507808</v>
      </c>
      <c r="AM10" s="45">
        <v>0.17864153845378286</v>
      </c>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row>
    <row r="11" spans="1:131" hidden="1">
      <c r="A11" s="24" t="s">
        <v>422</v>
      </c>
      <c r="B11" s="24"/>
      <c r="C11" s="198">
        <v>2.6150142699850236</v>
      </c>
      <c r="D11" s="198">
        <v>0.13553311531055059</v>
      </c>
      <c r="E11" s="198">
        <v>2.7106623062110119E-2</v>
      </c>
      <c r="F11" s="198">
        <v>0.16263973837266071</v>
      </c>
      <c r="G11" s="198">
        <v>-0.92619873676686304</v>
      </c>
      <c r="H11" s="198">
        <v>1.8859749771240535</v>
      </c>
      <c r="I11" s="198">
        <v>544.82460172298306</v>
      </c>
      <c r="J11" s="198">
        <v>-16.541655603319388</v>
      </c>
      <c r="K11" s="198">
        <v>-43.838014609514389</v>
      </c>
      <c r="L11" s="199">
        <v>8.2560305106367622</v>
      </c>
      <c r="M11" s="198">
        <v>2.4842750544119063E-2</v>
      </c>
      <c r="N11" s="198">
        <v>6.1124116107701858E-4</v>
      </c>
      <c r="O11" s="198">
        <v>0.10866666247229853</v>
      </c>
      <c r="P11" s="198">
        <v>7.9905076911286385E-2</v>
      </c>
      <c r="Q11" s="198">
        <v>7.3974233374027726E-2</v>
      </c>
      <c r="R11" s="198">
        <v>4.2302629560426443E-2</v>
      </c>
      <c r="S11" s="198">
        <v>3.397914286420569E-2</v>
      </c>
      <c r="T11" s="198">
        <v>2.6371284601260828E-2</v>
      </c>
      <c r="U11" s="198">
        <v>2.7620448733461079E-2</v>
      </c>
      <c r="V11" s="198">
        <v>4.0108089668206129E-2</v>
      </c>
      <c r="W11" s="198">
        <v>5.0583078492011067E-2</v>
      </c>
      <c r="X11" s="198">
        <v>8.2441966821631199E-2</v>
      </c>
      <c r="Y11" s="198">
        <v>9.6115339195396221E-2</v>
      </c>
      <c r="Z11" s="198">
        <v>0.11402168744714514</v>
      </c>
      <c r="AA11" s="198"/>
      <c r="AB11" s="198">
        <v>0.1784244146182741</v>
      </c>
      <c r="AC11" s="198">
        <v>0.15435052458321183</v>
      </c>
      <c r="AD11" s="198">
        <v>0.15510671277333518</v>
      </c>
      <c r="AE11" s="198">
        <v>0.14696769175042057</v>
      </c>
      <c r="AF11" s="198">
        <v>0.135343242493011</v>
      </c>
      <c r="AG11" s="198">
        <v>0.12293410625841673</v>
      </c>
      <c r="AH11" s="198">
        <v>0.13439840566782024</v>
      </c>
      <c r="AI11" s="198">
        <v>0.14525121077095249</v>
      </c>
      <c r="AJ11" s="198">
        <v>0.15593393464118435</v>
      </c>
      <c r="AK11" s="198">
        <v>0.16140646183817914</v>
      </c>
      <c r="AL11" s="198">
        <v>0.17016638599507808</v>
      </c>
      <c r="AM11" s="45">
        <v>0.17864153845378286</v>
      </c>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row>
    <row r="12" spans="1:131" hidden="1">
      <c r="A12" s="24" t="s">
        <v>423</v>
      </c>
      <c r="B12" s="24"/>
      <c r="C12" s="198">
        <v>1.9411307694657556</v>
      </c>
      <c r="D12" s="198">
        <v>0.18729926518091722</v>
      </c>
      <c r="E12" s="198">
        <v>3.7459853036183446E-2</v>
      </c>
      <c r="F12" s="198">
        <v>0.22475911821710065</v>
      </c>
      <c r="G12" s="198">
        <v>-2.4132276813599534</v>
      </c>
      <c r="H12" s="198">
        <v>1.3999633197255716</v>
      </c>
      <c r="I12" s="198">
        <v>1014.3004822512222</v>
      </c>
      <c r="J12" s="198">
        <v>-15.477619190144264</v>
      </c>
      <c r="K12" s="198">
        <v>-109.25382421363217</v>
      </c>
      <c r="L12" s="199">
        <v>8.119588003670934</v>
      </c>
      <c r="M12" s="198">
        <v>1.844082765927995E-2</v>
      </c>
      <c r="N12" s="198">
        <v>4.5372564079253387E-4</v>
      </c>
      <c r="O12" s="198">
        <v>8.0663499454378285E-2</v>
      </c>
      <c r="P12" s="198">
        <v>5.9313712054777444E-2</v>
      </c>
      <c r="Q12" s="198">
        <v>5.4911234021980379E-2</v>
      </c>
      <c r="R12" s="198">
        <v>3.1401333756211465E-2</v>
      </c>
      <c r="S12" s="198">
        <v>2.5222791512399732E-2</v>
      </c>
      <c r="T12" s="198">
        <v>1.9575461808144946E-2</v>
      </c>
      <c r="U12" s="198">
        <v>2.0502719055250057E-2</v>
      </c>
      <c r="V12" s="198">
        <v>2.9772322030155639E-2</v>
      </c>
      <c r="W12" s="198">
        <v>3.754792897390441E-2</v>
      </c>
      <c r="X12" s="198">
        <v>6.1196850942484442E-2</v>
      </c>
      <c r="Y12" s="198">
        <v>7.1346624938643285E-2</v>
      </c>
      <c r="Z12" s="198">
        <v>8.4638546118269667E-2</v>
      </c>
      <c r="AA12" s="198"/>
      <c r="AB12" s="198">
        <v>0.13244483030734319</v>
      </c>
      <c r="AC12" s="198">
        <v>0.11457472947303225</v>
      </c>
      <c r="AD12" s="198">
        <v>0.11513604960814702</v>
      </c>
      <c r="AE12" s="198">
        <v>0.10909443663408144</v>
      </c>
      <c r="AF12" s="198">
        <v>0.10046558271513885</v>
      </c>
      <c r="AG12" s="198">
        <v>9.1254253949578673E-2</v>
      </c>
      <c r="AH12" s="198">
        <v>9.976422828868188E-2</v>
      </c>
      <c r="AI12" s="198">
        <v>0.1078202890767653</v>
      </c>
      <c r="AJ12" s="198">
        <v>0.11575009819644255</v>
      </c>
      <c r="AK12" s="198">
        <v>0.11981236701491657</v>
      </c>
      <c r="AL12" s="198">
        <v>0.12631487773323868</v>
      </c>
      <c r="AM12" s="45">
        <v>0.13260600180178897</v>
      </c>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row>
    <row r="13" spans="1:131">
      <c r="A13" s="24" t="s">
        <v>424</v>
      </c>
      <c r="B13" s="24"/>
      <c r="C13" s="198">
        <v>58.159445328717929</v>
      </c>
      <c r="D13" s="198">
        <v>5.3072521232113603</v>
      </c>
      <c r="E13" s="198">
        <v>1.061450424642272</v>
      </c>
      <c r="F13" s="198">
        <v>6.3687025478536325</v>
      </c>
      <c r="G13" s="198">
        <v>4.5869340819345172</v>
      </c>
      <c r="H13" s="198">
        <v>41.9451854746493</v>
      </c>
      <c r="I13" s="198">
        <v>959.25664359199027</v>
      </c>
      <c r="J13" s="198">
        <v>-15.602372454547233</v>
      </c>
      <c r="K13" s="198">
        <v>-11.973200574277088</v>
      </c>
      <c r="L13" s="199">
        <v>5.8628005645095023</v>
      </c>
      <c r="M13" s="198">
        <v>0.55251728782877529</v>
      </c>
      <c r="N13" s="198">
        <v>1.3594360573231034E-2</v>
      </c>
      <c r="O13" s="198">
        <v>2.4168100677890703</v>
      </c>
      <c r="P13" s="198">
        <v>1.7771355993921891</v>
      </c>
      <c r="Q13" s="198">
        <v>1.6452301737057928</v>
      </c>
      <c r="R13" s="198">
        <v>0.94083519903496327</v>
      </c>
      <c r="S13" s="198">
        <v>0.75571599146140989</v>
      </c>
      <c r="T13" s="198">
        <v>0.58651277838872906</v>
      </c>
      <c r="U13" s="198">
        <v>0.614294918580917</v>
      </c>
      <c r="V13" s="198">
        <v>0.89202734955274654</v>
      </c>
      <c r="W13" s="198">
        <v>1.1249972215758555</v>
      </c>
      <c r="X13" s="198">
        <v>1.8335575133141042</v>
      </c>
      <c r="Y13" s="198">
        <v>2.1376613043177928</v>
      </c>
      <c r="Z13" s="198">
        <v>2.5359089521941232</v>
      </c>
      <c r="AA13" s="198"/>
      <c r="AB13" s="198">
        <v>3.9682632352745988</v>
      </c>
      <c r="AC13" s="198">
        <v>3.4328458544157976</v>
      </c>
      <c r="AD13" s="198">
        <v>3.449663921608201</v>
      </c>
      <c r="AE13" s="198">
        <v>3.2686473383930745</v>
      </c>
      <c r="AF13" s="198">
        <v>3.01011279469185</v>
      </c>
      <c r="AG13" s="198">
        <v>2.7341263541220129</v>
      </c>
      <c r="AH13" s="198">
        <v>2.9890990716273271</v>
      </c>
      <c r="AI13" s="198">
        <v>3.2304717984623759</v>
      </c>
      <c r="AJ13" s="198">
        <v>3.468061819298514</v>
      </c>
      <c r="AK13" s="198">
        <v>3.5897740217812037</v>
      </c>
      <c r="AL13" s="198">
        <v>3.7845998534925536</v>
      </c>
      <c r="AM13" s="45">
        <v>3.9730921962427188</v>
      </c>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row>
    <row r="14" spans="1:131">
      <c r="A14" s="24" t="s">
        <v>425</v>
      </c>
      <c r="B14" s="24"/>
      <c r="C14" s="198">
        <v>7.0735978583603307</v>
      </c>
      <c r="D14" s="198">
        <v>1.0527185054529571</v>
      </c>
      <c r="E14" s="198">
        <v>0.21054370109059142</v>
      </c>
      <c r="F14" s="198">
        <v>1.2632622065435486</v>
      </c>
      <c r="G14" s="198">
        <v>1.3584597667175526</v>
      </c>
      <c r="H14" s="198">
        <v>5.1015509598661914</v>
      </c>
      <c r="I14" s="198">
        <v>1564.4339911467118</v>
      </c>
      <c r="J14" s="198">
        <v>-14.230777531497228</v>
      </c>
      <c r="K14" s="198">
        <v>-3.6453467777018531</v>
      </c>
      <c r="L14" s="199">
        <v>3.456336084860181</v>
      </c>
      <c r="M14" s="198">
        <v>6.7199490672632839E-2</v>
      </c>
      <c r="N14" s="198">
        <v>1.6534036611436324E-3</v>
      </c>
      <c r="O14" s="198">
        <v>0.29394266783240841</v>
      </c>
      <c r="P14" s="198">
        <v>0.21614275202981206</v>
      </c>
      <c r="Q14" s="198">
        <v>0.20009985596421492</v>
      </c>
      <c r="R14" s="198">
        <v>0.11442835830618876</v>
      </c>
      <c r="S14" s="198">
        <v>9.1913376898911395E-2</v>
      </c>
      <c r="T14" s="198">
        <v>7.1334166095681648E-2</v>
      </c>
      <c r="U14" s="198">
        <v>7.4713147553523887E-2</v>
      </c>
      <c r="V14" s="198">
        <v>0.10849214110849645</v>
      </c>
      <c r="W14" s="198">
        <v>0.13682692281920555</v>
      </c>
      <c r="X14" s="198">
        <v>0.2230050239656412</v>
      </c>
      <c r="Y14" s="198">
        <v>0.2599914139252576</v>
      </c>
      <c r="Z14" s="198">
        <v>0.30842797815301254</v>
      </c>
      <c r="AA14" s="198"/>
      <c r="AB14" s="198">
        <v>0.48263696745725504</v>
      </c>
      <c r="AC14" s="198">
        <v>0.41751723983320893</v>
      </c>
      <c r="AD14" s="198">
        <v>0.41956272433536601</v>
      </c>
      <c r="AE14" s="198">
        <v>0.39754672146392922</v>
      </c>
      <c r="AF14" s="198">
        <v>0.36610265619987936</v>
      </c>
      <c r="AG14" s="198">
        <v>0.33253601738622945</v>
      </c>
      <c r="AH14" s="198">
        <v>0.36354687827549825</v>
      </c>
      <c r="AI14" s="198">
        <v>0.3929036507473968</v>
      </c>
      <c r="AJ14" s="198">
        <v>0.4218003545081605</v>
      </c>
      <c r="AK14" s="198">
        <v>0.43660350763233169</v>
      </c>
      <c r="AL14" s="198">
        <v>0.46029904974346292</v>
      </c>
      <c r="AM14" s="45">
        <v>0.48322428612525709</v>
      </c>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row>
    <row r="15" spans="1:131" hidden="1">
      <c r="A15" s="24" t="s">
        <v>426</v>
      </c>
      <c r="B15" s="24"/>
      <c r="C15" s="198">
        <v>32.677068971184418</v>
      </c>
      <c r="D15" s="198">
        <v>5.9720678877064044</v>
      </c>
      <c r="E15" s="198">
        <v>1.194413577541281</v>
      </c>
      <c r="F15" s="198">
        <v>7.1664814652476849</v>
      </c>
      <c r="G15" s="198">
        <v>6.5721006304698761</v>
      </c>
      <c r="H15" s="198">
        <v>23.567035603887383</v>
      </c>
      <c r="I15" s="198">
        <v>1921.1752954626838</v>
      </c>
      <c r="J15" s="198">
        <v>-13.422246670553562</v>
      </c>
      <c r="K15" s="198">
        <v>-2.977504018819626</v>
      </c>
      <c r="L15" s="199">
        <v>3.0028621934750586</v>
      </c>
      <c r="M15" s="198">
        <v>0.310433592000535</v>
      </c>
      <c r="N15" s="198">
        <v>7.6380346401149751E-3</v>
      </c>
      <c r="O15" s="198">
        <v>1.3578924081726151</v>
      </c>
      <c r="P15" s="198">
        <v>0.99848927761027284</v>
      </c>
      <c r="Q15" s="198">
        <v>0.92437779548615628</v>
      </c>
      <c r="R15" s="198">
        <v>0.52861124303403384</v>
      </c>
      <c r="S15" s="198">
        <v>0.42460142864219907</v>
      </c>
      <c r="T15" s="198">
        <v>0.32953406628219623</v>
      </c>
      <c r="U15" s="198">
        <v>0.34514354993693402</v>
      </c>
      <c r="V15" s="198">
        <v>0.50118839787360969</v>
      </c>
      <c r="W15" s="198">
        <v>0.63208325997691295</v>
      </c>
      <c r="X15" s="198">
        <v>1.0301901090451673</v>
      </c>
      <c r="Y15" s="198">
        <v>1.2010517893253161</v>
      </c>
      <c r="Z15" s="198">
        <v>1.4248084944265076</v>
      </c>
      <c r="AA15" s="198"/>
      <c r="AB15" s="198">
        <v>2.2295812950412466</v>
      </c>
      <c r="AC15" s="198">
        <v>1.9287553400513546</v>
      </c>
      <c r="AD15" s="198">
        <v>1.9382046244883369</v>
      </c>
      <c r="AE15" s="198">
        <v>1.8364998826150838</v>
      </c>
      <c r="AF15" s="198">
        <v>1.6912414285804978</v>
      </c>
      <c r="AG15" s="198">
        <v>1.5361775708934102</v>
      </c>
      <c r="AH15" s="198">
        <v>1.6794348015736593</v>
      </c>
      <c r="AI15" s="198">
        <v>1.8150508343259031</v>
      </c>
      <c r="AJ15" s="198">
        <v>1.948541541705364</v>
      </c>
      <c r="AK15" s="198">
        <v>2.0169259290165296</v>
      </c>
      <c r="AL15" s="198">
        <v>2.1263894409915411</v>
      </c>
      <c r="AM15" s="45">
        <v>2.2322944620895657</v>
      </c>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row>
    <row r="16" spans="1:131" hidden="1">
      <c r="A16" s="24" t="s">
        <v>427</v>
      </c>
      <c r="B16" s="24"/>
      <c r="C16" s="198">
        <v>32.677068971184418</v>
      </c>
      <c r="D16" s="198">
        <v>6.677762119662626</v>
      </c>
      <c r="E16" s="198">
        <v>1.3355524239325254</v>
      </c>
      <c r="F16" s="198">
        <v>8.0133145435951505</v>
      </c>
      <c r="G16" s="198">
        <v>7.5747758233022511</v>
      </c>
      <c r="H16" s="198">
        <v>23.567035603887383</v>
      </c>
      <c r="I16" s="198">
        <v>2148.1925280322707</v>
      </c>
      <c r="J16" s="198">
        <v>-12.907726943575259</v>
      </c>
      <c r="K16" s="198">
        <v>-0.71969455112343739</v>
      </c>
      <c r="L16" s="199">
        <v>2.6855249641276595</v>
      </c>
      <c r="M16" s="198">
        <v>0.310433592000535</v>
      </c>
      <c r="N16" s="198">
        <v>7.6380346401149751E-3</v>
      </c>
      <c r="O16" s="198">
        <v>1.3578924081726151</v>
      </c>
      <c r="P16" s="198">
        <v>0.99848927761027284</v>
      </c>
      <c r="Q16" s="198">
        <v>0.92437779548615628</v>
      </c>
      <c r="R16" s="198">
        <v>0.52861124303403384</v>
      </c>
      <c r="S16" s="198">
        <v>0.42460142864219907</v>
      </c>
      <c r="T16" s="198">
        <v>0.32953406628219623</v>
      </c>
      <c r="U16" s="198">
        <v>0.34514354993693402</v>
      </c>
      <c r="V16" s="198">
        <v>0.50118839787360969</v>
      </c>
      <c r="W16" s="198">
        <v>0.63208325997691295</v>
      </c>
      <c r="X16" s="198">
        <v>1.0301901090451673</v>
      </c>
      <c r="Y16" s="198">
        <v>1.2010517893253161</v>
      </c>
      <c r="Z16" s="198">
        <v>1.4248084944265076</v>
      </c>
      <c r="AA16" s="198"/>
      <c r="AB16" s="198">
        <v>2.2295812950412466</v>
      </c>
      <c r="AC16" s="198">
        <v>1.9287553400513546</v>
      </c>
      <c r="AD16" s="198">
        <v>1.9382046244883369</v>
      </c>
      <c r="AE16" s="198">
        <v>1.8364998826150838</v>
      </c>
      <c r="AF16" s="198">
        <v>1.6912414285804978</v>
      </c>
      <c r="AG16" s="198">
        <v>1.5361775708934102</v>
      </c>
      <c r="AH16" s="198">
        <v>1.6794348015736593</v>
      </c>
      <c r="AI16" s="198">
        <v>1.8150508343259031</v>
      </c>
      <c r="AJ16" s="198">
        <v>1.948541541705364</v>
      </c>
      <c r="AK16" s="198">
        <v>2.0169259290165296</v>
      </c>
      <c r="AL16" s="198">
        <v>2.1263894409915411</v>
      </c>
      <c r="AM16" s="45">
        <v>2.2322944620895657</v>
      </c>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row>
    <row r="17" spans="1:131" hidden="1">
      <c r="A17" s="24" t="s">
        <v>428</v>
      </c>
      <c r="B17" s="24"/>
      <c r="C17" s="198">
        <v>147.30939530738755</v>
      </c>
      <c r="D17" s="198">
        <v>31.358712414728529</v>
      </c>
      <c r="E17" s="198">
        <v>6.2717424829457062</v>
      </c>
      <c r="F17" s="198">
        <v>37.630454897674234</v>
      </c>
      <c r="G17" s="198">
        <v>39.129809093117451</v>
      </c>
      <c r="H17" s="198">
        <v>106.2410391537172</v>
      </c>
      <c r="I17" s="198">
        <v>2237.7580480577449</v>
      </c>
      <c r="J17" s="198">
        <v>-12.704732543597039</v>
      </c>
      <c r="K17" s="198">
        <v>1.7690625707805541</v>
      </c>
      <c r="L17" s="199">
        <v>2.478449906978315</v>
      </c>
      <c r="M17" s="198">
        <v>1.3994457324500227</v>
      </c>
      <c r="N17" s="198">
        <v>3.4432533259467366E-2</v>
      </c>
      <c r="O17" s="198">
        <v>6.1214275281786348</v>
      </c>
      <c r="P17" s="198">
        <v>4.5012253649611278</v>
      </c>
      <c r="Q17" s="198">
        <v>4.1671281536517206</v>
      </c>
      <c r="R17" s="198">
        <v>2.3829983843623639</v>
      </c>
      <c r="S17" s="198">
        <v>1.914118422159945</v>
      </c>
      <c r="T17" s="198">
        <v>1.4855513534589628</v>
      </c>
      <c r="U17" s="198">
        <v>1.5559194638995804</v>
      </c>
      <c r="V17" s="198">
        <v>2.2593752178613391</v>
      </c>
      <c r="W17" s="198">
        <v>2.8494539364356686</v>
      </c>
      <c r="X17" s="198">
        <v>4.6441338465490487</v>
      </c>
      <c r="Y17" s="198">
        <v>5.4143844104985908</v>
      </c>
      <c r="Z17" s="198">
        <v>6.4230876376300188</v>
      </c>
      <c r="AA17" s="198"/>
      <c r="AB17" s="198">
        <v>10.051032197863719</v>
      </c>
      <c r="AC17" s="198">
        <v>8.6948980365836448</v>
      </c>
      <c r="AD17" s="198">
        <v>8.7374957486895504</v>
      </c>
      <c r="AE17" s="198">
        <v>8.279007135819942</v>
      </c>
      <c r="AF17" s="198">
        <v>7.6241768312418259</v>
      </c>
      <c r="AG17" s="198">
        <v>6.925143416401017</v>
      </c>
      <c r="AH17" s="198">
        <v>7.5709521345430195</v>
      </c>
      <c r="AI17" s="198">
        <v>8.1823140592106416</v>
      </c>
      <c r="AJ17" s="198">
        <v>8.7840949411056624</v>
      </c>
      <c r="AK17" s="198">
        <v>9.0923742042230877</v>
      </c>
      <c r="AL17" s="198">
        <v>9.5858396301302093</v>
      </c>
      <c r="AM17" s="45">
        <v>10.063263251928216</v>
      </c>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row>
    <row r="18" spans="1:131" hidden="1">
      <c r="A18" s="24" t="s">
        <v>429</v>
      </c>
      <c r="B18" s="24"/>
      <c r="C18" s="198">
        <v>74.660780013982716</v>
      </c>
      <c r="D18" s="198">
        <v>15.900946569337281</v>
      </c>
      <c r="E18" s="198">
        <v>3.1801893138674564</v>
      </c>
      <c r="F18" s="198">
        <v>19.081135883204738</v>
      </c>
      <c r="G18" s="198">
        <v>19.671312737140749</v>
      </c>
      <c r="H18" s="198">
        <v>53.846116441934939</v>
      </c>
      <c r="I18" s="198">
        <v>2238.8026257637403</v>
      </c>
      <c r="J18" s="198">
        <v>-12.702365076466847</v>
      </c>
      <c r="K18" s="198">
        <v>1.6105494991589777</v>
      </c>
      <c r="L18" s="199">
        <v>2.3516049926055604</v>
      </c>
      <c r="M18" s="198">
        <v>0.70928069288407625</v>
      </c>
      <c r="N18" s="198">
        <v>1.7451431292925229E-2</v>
      </c>
      <c r="O18" s="198">
        <v>3.1025214182653222</v>
      </c>
      <c r="P18" s="198">
        <v>2.2813548047323233</v>
      </c>
      <c r="Q18" s="198">
        <v>2.1120244076805492</v>
      </c>
      <c r="R18" s="198">
        <v>1.2077744109756194</v>
      </c>
      <c r="S18" s="198">
        <v>0.97013210962809815</v>
      </c>
      <c r="T18" s="198">
        <v>0.75292158092588179</v>
      </c>
      <c r="U18" s="198">
        <v>0.78858623084616497</v>
      </c>
      <c r="V18" s="198">
        <v>1.1451185157456829</v>
      </c>
      <c r="W18" s="198">
        <v>1.4441879492090448</v>
      </c>
      <c r="X18" s="198">
        <v>2.3537850708650705</v>
      </c>
      <c r="Y18" s="198">
        <v>2.7441709508062861</v>
      </c>
      <c r="Z18" s="198">
        <v>3.2554117279685637</v>
      </c>
      <c r="AA18" s="198"/>
      <c r="AB18" s="198">
        <v>5.0941618643690605</v>
      </c>
      <c r="AC18" s="198">
        <v>4.4068327631022868</v>
      </c>
      <c r="AD18" s="198">
        <v>4.428422549727923</v>
      </c>
      <c r="AE18" s="198">
        <v>4.1960468930839969</v>
      </c>
      <c r="AF18" s="198">
        <v>3.8641594312247038</v>
      </c>
      <c r="AG18" s="198">
        <v>3.5098685192367203</v>
      </c>
      <c r="AH18" s="198">
        <v>3.8371835729418806</v>
      </c>
      <c r="AI18" s="198">
        <v>4.1470399678533409</v>
      </c>
      <c r="AJ18" s="198">
        <v>4.452040405510636</v>
      </c>
      <c r="AK18" s="198">
        <v>4.6082854990327089</v>
      </c>
      <c r="AL18" s="198">
        <v>4.8583884441386838</v>
      </c>
      <c r="AM18" s="45">
        <v>5.1003609261121561</v>
      </c>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row>
    <row r="19" spans="1:131" hidden="1">
      <c r="A19" s="24" t="s">
        <v>430</v>
      </c>
      <c r="B19" s="24"/>
      <c r="C19" s="198">
        <v>58.159445328717929</v>
      </c>
      <c r="D19" s="198">
        <v>13.388193469372712</v>
      </c>
      <c r="E19" s="198">
        <v>2.6776386938745427</v>
      </c>
      <c r="F19" s="198">
        <v>16.065832163247254</v>
      </c>
      <c r="G19" s="198">
        <v>16.284414231913335</v>
      </c>
      <c r="H19" s="198">
        <v>41.9451854746493</v>
      </c>
      <c r="I19" s="198">
        <v>2419.8423653217528</v>
      </c>
      <c r="J19" s="198">
        <v>-12.292050333769687</v>
      </c>
      <c r="K19" s="198">
        <v>2.8261335494413684</v>
      </c>
      <c r="L19" s="199">
        <v>2.3240895655667342</v>
      </c>
      <c r="M19" s="198">
        <v>0.55251728782877529</v>
      </c>
      <c r="N19" s="198">
        <v>1.3594360573231034E-2</v>
      </c>
      <c r="O19" s="198">
        <v>2.4168100677890703</v>
      </c>
      <c r="P19" s="198">
        <v>1.7771355993921891</v>
      </c>
      <c r="Q19" s="198">
        <v>1.6452301737057928</v>
      </c>
      <c r="R19" s="198">
        <v>0.94083519903496327</v>
      </c>
      <c r="S19" s="198">
        <v>0.75571599146140989</v>
      </c>
      <c r="T19" s="198">
        <v>0.58651277838872906</v>
      </c>
      <c r="U19" s="198">
        <v>0.614294918580917</v>
      </c>
      <c r="V19" s="198">
        <v>0.89202734955274654</v>
      </c>
      <c r="W19" s="198">
        <v>1.1249972215758555</v>
      </c>
      <c r="X19" s="198">
        <v>1.8335575133141042</v>
      </c>
      <c r="Y19" s="198">
        <v>2.1376613043177928</v>
      </c>
      <c r="Z19" s="198">
        <v>2.5359089521941232</v>
      </c>
      <c r="AA19" s="198"/>
      <c r="AB19" s="198">
        <v>3.9682632352745988</v>
      </c>
      <c r="AC19" s="198">
        <v>3.4328458544157976</v>
      </c>
      <c r="AD19" s="198">
        <v>3.449663921608201</v>
      </c>
      <c r="AE19" s="198">
        <v>3.2686473383930745</v>
      </c>
      <c r="AF19" s="198">
        <v>3.01011279469185</v>
      </c>
      <c r="AG19" s="198">
        <v>2.7341263541220129</v>
      </c>
      <c r="AH19" s="198">
        <v>2.9890990716273271</v>
      </c>
      <c r="AI19" s="198">
        <v>3.2304717984623759</v>
      </c>
      <c r="AJ19" s="198">
        <v>3.468061819298514</v>
      </c>
      <c r="AK19" s="198">
        <v>3.5897740217812037</v>
      </c>
      <c r="AL19" s="198">
        <v>3.7845998534925536</v>
      </c>
      <c r="AM19" s="45">
        <v>3.9730921962427188</v>
      </c>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row>
    <row r="20" spans="1:131" hidden="1">
      <c r="A20" s="24" t="s">
        <v>431</v>
      </c>
      <c r="B20" s="24"/>
      <c r="C20" s="198">
        <v>75.7337104936271</v>
      </c>
      <c r="D20" s="198">
        <v>19.271398161973615</v>
      </c>
      <c r="E20" s="198">
        <v>3.8542796323947233</v>
      </c>
      <c r="F20" s="198">
        <v>23.125677794368336</v>
      </c>
      <c r="G20" s="198">
        <v>21.411399501585095</v>
      </c>
      <c r="H20" s="198">
        <v>54.619924852859768</v>
      </c>
      <c r="I20" s="198">
        <v>2674.9110291607008</v>
      </c>
      <c r="J20" s="198">
        <v>-11.71395387037056</v>
      </c>
      <c r="K20" s="198">
        <v>3.0265333512445136</v>
      </c>
      <c r="L20" s="199">
        <v>2.2128097062600665</v>
      </c>
      <c r="M20" s="198">
        <v>0.71947357961625447</v>
      </c>
      <c r="N20" s="198">
        <v>1.770222123302621E-2</v>
      </c>
      <c r="O20" s="198">
        <v>3.1471069395093139</v>
      </c>
      <c r="P20" s="198">
        <v>2.31413955603578</v>
      </c>
      <c r="Q20" s="198">
        <v>2.1423757562778842</v>
      </c>
      <c r="R20" s="198">
        <v>1.2251310201327645</v>
      </c>
      <c r="S20" s="198">
        <v>0.98407362362656903</v>
      </c>
      <c r="T20" s="198">
        <v>0.76374161940935492</v>
      </c>
      <c r="U20" s="198">
        <v>0.79991879665574095</v>
      </c>
      <c r="V20" s="198">
        <v>1.1615747134725027</v>
      </c>
      <c r="W20" s="198">
        <v>1.4649419952925617</v>
      </c>
      <c r="X20" s="198">
        <v>2.3876106985184391</v>
      </c>
      <c r="Y20" s="198">
        <v>2.7836067115085368</v>
      </c>
      <c r="Z20" s="198">
        <v>3.3021943957370379</v>
      </c>
      <c r="AA20" s="198"/>
      <c r="AB20" s="198">
        <v>5.1673687278856217</v>
      </c>
      <c r="AC20" s="198">
        <v>4.4701622004500132</v>
      </c>
      <c r="AD20" s="198">
        <v>4.492062248234391</v>
      </c>
      <c r="AE20" s="198">
        <v>4.2563471820009324</v>
      </c>
      <c r="AF20" s="198">
        <v>3.9196902525098531</v>
      </c>
      <c r="AG20" s="198">
        <v>3.5603079187866329</v>
      </c>
      <c r="AH20" s="198">
        <v>3.8923267312457321</v>
      </c>
      <c r="AI20" s="198">
        <v>4.2066359911065145</v>
      </c>
      <c r="AJ20" s="198">
        <v>4.5160195100255649</v>
      </c>
      <c r="AK20" s="198">
        <v>4.6745099607901333</v>
      </c>
      <c r="AL20" s="198">
        <v>4.9282070696967377</v>
      </c>
      <c r="AM20" s="45">
        <v>5.173656874718481</v>
      </c>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row>
    <row r="21" spans="1:131" hidden="1">
      <c r="A21" s="24" t="s">
        <v>432</v>
      </c>
      <c r="B21" s="24"/>
      <c r="C21" s="198">
        <v>147.30939530738755</v>
      </c>
      <c r="D21" s="198">
        <v>35.88243373990732</v>
      </c>
      <c r="E21" s="198">
        <v>7.176486747981464</v>
      </c>
      <c r="F21" s="198">
        <v>43.058920487888784</v>
      </c>
      <c r="G21" s="198">
        <v>45.678073477000304</v>
      </c>
      <c r="H21" s="198">
        <v>106.2410391537172</v>
      </c>
      <c r="I21" s="198">
        <v>2560.5708494479809</v>
      </c>
      <c r="J21" s="198">
        <v>-11.973098418044508</v>
      </c>
      <c r="K21" s="198">
        <v>5.0399520749787783</v>
      </c>
      <c r="L21" s="199">
        <v>2.1659901452226413</v>
      </c>
      <c r="M21" s="198">
        <v>1.3994457324500227</v>
      </c>
      <c r="N21" s="198">
        <v>3.4432533259467366E-2</v>
      </c>
      <c r="O21" s="198">
        <v>6.1214275281786348</v>
      </c>
      <c r="P21" s="198">
        <v>4.5012253649611278</v>
      </c>
      <c r="Q21" s="198">
        <v>4.1671281536517206</v>
      </c>
      <c r="R21" s="198">
        <v>2.3829983843623639</v>
      </c>
      <c r="S21" s="198">
        <v>1.914118422159945</v>
      </c>
      <c r="T21" s="198">
        <v>1.4855513534589628</v>
      </c>
      <c r="U21" s="198">
        <v>1.5559194638995804</v>
      </c>
      <c r="V21" s="198">
        <v>2.2593752178613391</v>
      </c>
      <c r="W21" s="198">
        <v>2.8494539364356686</v>
      </c>
      <c r="X21" s="198">
        <v>4.6441338465490487</v>
      </c>
      <c r="Y21" s="198">
        <v>5.4143844104985908</v>
      </c>
      <c r="Z21" s="198">
        <v>6.4230876376300188</v>
      </c>
      <c r="AA21" s="198"/>
      <c r="AB21" s="198">
        <v>10.051032197863719</v>
      </c>
      <c r="AC21" s="198">
        <v>8.6948980365836448</v>
      </c>
      <c r="AD21" s="198">
        <v>8.7374957486895504</v>
      </c>
      <c r="AE21" s="198">
        <v>8.279007135819942</v>
      </c>
      <c r="AF21" s="198">
        <v>7.6241768312418259</v>
      </c>
      <c r="AG21" s="198">
        <v>6.925143416401017</v>
      </c>
      <c r="AH21" s="198">
        <v>7.5709521345430195</v>
      </c>
      <c r="AI21" s="198">
        <v>8.1823140592106416</v>
      </c>
      <c r="AJ21" s="198">
        <v>8.7840949411056624</v>
      </c>
      <c r="AK21" s="198">
        <v>9.0923742042230877</v>
      </c>
      <c r="AL21" s="198">
        <v>9.5858396301302093</v>
      </c>
      <c r="AM21" s="45">
        <v>10.063263251928216</v>
      </c>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row>
    <row r="22" spans="1:131" hidden="1">
      <c r="A22" s="24" t="s">
        <v>433</v>
      </c>
      <c r="B22" s="24"/>
      <c r="C22" s="198">
        <v>58.159445328717929</v>
      </c>
      <c r="D22" s="198">
        <v>14.529979530207335</v>
      </c>
      <c r="E22" s="198">
        <v>2.9059959060414671</v>
      </c>
      <c r="F22" s="198">
        <v>17.435975436248803</v>
      </c>
      <c r="G22" s="198">
        <v>17.937194422983517</v>
      </c>
      <c r="H22" s="198">
        <v>41.9451854746493</v>
      </c>
      <c r="I22" s="198">
        <v>2626.2139186207141</v>
      </c>
      <c r="J22" s="198">
        <v>-11.824322690111964</v>
      </c>
      <c r="K22" s="198">
        <v>4.9171861494113838</v>
      </c>
      <c r="L22" s="199">
        <v>2.1414593653948395</v>
      </c>
      <c r="M22" s="198">
        <v>0.55251728782877529</v>
      </c>
      <c r="N22" s="198">
        <v>1.3594360573231034E-2</v>
      </c>
      <c r="O22" s="198">
        <v>2.4168100677890703</v>
      </c>
      <c r="P22" s="198">
        <v>1.7771355993921891</v>
      </c>
      <c r="Q22" s="198">
        <v>1.6452301737057928</v>
      </c>
      <c r="R22" s="198">
        <v>0.94083519903496327</v>
      </c>
      <c r="S22" s="198">
        <v>0.75571599146140989</v>
      </c>
      <c r="T22" s="198">
        <v>0.58651277838872906</v>
      </c>
      <c r="U22" s="198">
        <v>0.614294918580917</v>
      </c>
      <c r="V22" s="198">
        <v>0.89202734955274654</v>
      </c>
      <c r="W22" s="198">
        <v>1.1249972215758555</v>
      </c>
      <c r="X22" s="198">
        <v>1.8335575133141042</v>
      </c>
      <c r="Y22" s="198">
        <v>2.1376613043177928</v>
      </c>
      <c r="Z22" s="198">
        <v>2.5359089521941232</v>
      </c>
      <c r="AA22" s="198"/>
      <c r="AB22" s="198">
        <v>3.9682632352745988</v>
      </c>
      <c r="AC22" s="198">
        <v>3.4328458544157976</v>
      </c>
      <c r="AD22" s="198">
        <v>3.449663921608201</v>
      </c>
      <c r="AE22" s="198">
        <v>3.2686473383930745</v>
      </c>
      <c r="AF22" s="198">
        <v>3.01011279469185</v>
      </c>
      <c r="AG22" s="198">
        <v>2.7341263541220129</v>
      </c>
      <c r="AH22" s="198">
        <v>2.9890990716273271</v>
      </c>
      <c r="AI22" s="198">
        <v>3.2304717984623759</v>
      </c>
      <c r="AJ22" s="198">
        <v>3.468061819298514</v>
      </c>
      <c r="AK22" s="198">
        <v>3.5897740217812037</v>
      </c>
      <c r="AL22" s="198">
        <v>3.7845998534925536</v>
      </c>
      <c r="AM22" s="45">
        <v>3.9730921962427188</v>
      </c>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row>
    <row r="23" spans="1:131" hidden="1">
      <c r="A23" s="24" t="s">
        <v>434</v>
      </c>
      <c r="B23" s="24"/>
      <c r="C23" s="198">
        <v>7.0735978583603307</v>
      </c>
      <c r="D23" s="198">
        <v>1.947148610061336</v>
      </c>
      <c r="E23" s="198">
        <v>0.38942972201226722</v>
      </c>
      <c r="F23" s="198">
        <v>2.3365783320736031</v>
      </c>
      <c r="G23" s="198">
        <v>2.6531824909667474</v>
      </c>
      <c r="H23" s="198">
        <v>5.1015509598661914</v>
      </c>
      <c r="I23" s="198">
        <v>2893.6372407392369</v>
      </c>
      <c r="J23" s="198">
        <v>-11.218225200830503</v>
      </c>
      <c r="K23" s="198">
        <v>9.8227590078014355</v>
      </c>
      <c r="L23" s="199">
        <v>1.8686549854469094</v>
      </c>
      <c r="M23" s="198">
        <v>6.7199490672632839E-2</v>
      </c>
      <c r="N23" s="198">
        <v>1.6534036611436324E-3</v>
      </c>
      <c r="O23" s="198">
        <v>0.29394266783240841</v>
      </c>
      <c r="P23" s="198">
        <v>0.21614275202981206</v>
      </c>
      <c r="Q23" s="198">
        <v>0.20009985596421492</v>
      </c>
      <c r="R23" s="198">
        <v>0.11442835830618876</v>
      </c>
      <c r="S23" s="198">
        <v>9.1913376898911395E-2</v>
      </c>
      <c r="T23" s="198">
        <v>7.1334166095681648E-2</v>
      </c>
      <c r="U23" s="198">
        <v>7.4713147553523887E-2</v>
      </c>
      <c r="V23" s="198">
        <v>0.10849214110849645</v>
      </c>
      <c r="W23" s="198">
        <v>0.13682692281920555</v>
      </c>
      <c r="X23" s="198">
        <v>0.2230050239656412</v>
      </c>
      <c r="Y23" s="198">
        <v>0.2599914139252576</v>
      </c>
      <c r="Z23" s="198">
        <v>0.30842797815301254</v>
      </c>
      <c r="AA23" s="198"/>
      <c r="AB23" s="198">
        <v>0.48263696745725504</v>
      </c>
      <c r="AC23" s="198">
        <v>0.41751723983320893</v>
      </c>
      <c r="AD23" s="198">
        <v>0.41956272433536601</v>
      </c>
      <c r="AE23" s="198">
        <v>0.39754672146392922</v>
      </c>
      <c r="AF23" s="198">
        <v>0.36610265619987936</v>
      </c>
      <c r="AG23" s="198">
        <v>0.33253601738622945</v>
      </c>
      <c r="AH23" s="198">
        <v>0.36354687827549825</v>
      </c>
      <c r="AI23" s="198">
        <v>0.3929036507473968</v>
      </c>
      <c r="AJ23" s="198">
        <v>0.4218003545081605</v>
      </c>
      <c r="AK23" s="198">
        <v>0.43660350763233169</v>
      </c>
      <c r="AL23" s="198">
        <v>0.46029904974346292</v>
      </c>
      <c r="AM23" s="45">
        <v>0.48322428612525709</v>
      </c>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row>
    <row r="24" spans="1:131" hidden="1">
      <c r="A24" s="24" t="s">
        <v>435</v>
      </c>
      <c r="B24" s="24"/>
      <c r="C24" s="198">
        <v>7.0735978583603307</v>
      </c>
      <c r="D24" s="198">
        <v>2.008153465301179</v>
      </c>
      <c r="E24" s="198">
        <v>0.4016306930602358</v>
      </c>
      <c r="F24" s="198">
        <v>2.4097841583614148</v>
      </c>
      <c r="G24" s="198">
        <v>2.7414894161938901</v>
      </c>
      <c r="H24" s="198">
        <v>5.1015509598661914</v>
      </c>
      <c r="I24" s="198">
        <v>2984.295919833256</v>
      </c>
      <c r="J24" s="198">
        <v>-11.012753227237624</v>
      </c>
      <c r="K24" s="198">
        <v>10.741354926662265</v>
      </c>
      <c r="L24" s="199">
        <v>1.8118878962527063</v>
      </c>
      <c r="M24" s="198">
        <v>6.7199490672632839E-2</v>
      </c>
      <c r="N24" s="198">
        <v>1.6534036611436324E-3</v>
      </c>
      <c r="O24" s="198">
        <v>0.29394266783240841</v>
      </c>
      <c r="P24" s="198">
        <v>0.21614275202981206</v>
      </c>
      <c r="Q24" s="198">
        <v>0.20009985596421492</v>
      </c>
      <c r="R24" s="198">
        <v>0.11442835830618876</v>
      </c>
      <c r="S24" s="198">
        <v>9.1913376898911395E-2</v>
      </c>
      <c r="T24" s="198">
        <v>7.1334166095681648E-2</v>
      </c>
      <c r="U24" s="198">
        <v>7.4713147553523887E-2</v>
      </c>
      <c r="V24" s="198">
        <v>0.10849214110849645</v>
      </c>
      <c r="W24" s="198">
        <v>0.13682692281920555</v>
      </c>
      <c r="X24" s="198">
        <v>0.2230050239656412</v>
      </c>
      <c r="Y24" s="198">
        <v>0.2599914139252576</v>
      </c>
      <c r="Z24" s="198">
        <v>0.30842797815301254</v>
      </c>
      <c r="AA24" s="198"/>
      <c r="AB24" s="198">
        <v>0.48263696745725504</v>
      </c>
      <c r="AC24" s="198">
        <v>0.41751723983320893</v>
      </c>
      <c r="AD24" s="198">
        <v>0.41956272433536601</v>
      </c>
      <c r="AE24" s="198">
        <v>0.39754672146392922</v>
      </c>
      <c r="AF24" s="198">
        <v>0.36610265619987936</v>
      </c>
      <c r="AG24" s="198">
        <v>0.33253601738622945</v>
      </c>
      <c r="AH24" s="198">
        <v>0.36354687827549825</v>
      </c>
      <c r="AI24" s="198">
        <v>0.3929036507473968</v>
      </c>
      <c r="AJ24" s="198">
        <v>0.4218003545081605</v>
      </c>
      <c r="AK24" s="198">
        <v>0.43660350763233169</v>
      </c>
      <c r="AL24" s="198">
        <v>0.46029904974346292</v>
      </c>
      <c r="AM24" s="45">
        <v>0.48322428612525709</v>
      </c>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row>
    <row r="25" spans="1:131" hidden="1">
      <c r="A25" s="24" t="s">
        <v>436</v>
      </c>
      <c r="B25" s="24"/>
      <c r="C25" s="198">
        <v>75.7337104936271</v>
      </c>
      <c r="D25" s="198">
        <v>23.583436394929375</v>
      </c>
      <c r="E25" s="198">
        <v>4.7166872789858756</v>
      </c>
      <c r="F25" s="198">
        <v>28.300123673915252</v>
      </c>
      <c r="G25" s="198">
        <v>27.538095131141713</v>
      </c>
      <c r="H25" s="198">
        <v>54.619924852859768</v>
      </c>
      <c r="I25" s="198">
        <v>3273.431101786025</v>
      </c>
      <c r="J25" s="198">
        <v>-10.357447226039847</v>
      </c>
      <c r="K25" s="198">
        <v>8.9791399938501453</v>
      </c>
      <c r="L25" s="199">
        <v>1.8082155709583696</v>
      </c>
      <c r="M25" s="198">
        <v>0.71947357961625447</v>
      </c>
      <c r="N25" s="198">
        <v>1.770222123302621E-2</v>
      </c>
      <c r="O25" s="198">
        <v>3.1471069395093139</v>
      </c>
      <c r="P25" s="198">
        <v>2.31413955603578</v>
      </c>
      <c r="Q25" s="198">
        <v>2.1423757562778842</v>
      </c>
      <c r="R25" s="198">
        <v>1.2251310201327645</v>
      </c>
      <c r="S25" s="198">
        <v>0.98407362362656903</v>
      </c>
      <c r="T25" s="198">
        <v>0.76374161940935492</v>
      </c>
      <c r="U25" s="198">
        <v>0.79991879665574095</v>
      </c>
      <c r="V25" s="198">
        <v>1.1615747134725027</v>
      </c>
      <c r="W25" s="198">
        <v>1.4649419952925617</v>
      </c>
      <c r="X25" s="198">
        <v>2.3876106985184391</v>
      </c>
      <c r="Y25" s="198">
        <v>2.7836067115085368</v>
      </c>
      <c r="Z25" s="198">
        <v>3.3021943957370379</v>
      </c>
      <c r="AA25" s="198"/>
      <c r="AB25" s="198">
        <v>5.1673687278856217</v>
      </c>
      <c r="AC25" s="198">
        <v>4.4701622004500132</v>
      </c>
      <c r="AD25" s="198">
        <v>4.492062248234391</v>
      </c>
      <c r="AE25" s="198">
        <v>4.2563471820009324</v>
      </c>
      <c r="AF25" s="198">
        <v>3.9196902525098531</v>
      </c>
      <c r="AG25" s="198">
        <v>3.5603079187866329</v>
      </c>
      <c r="AH25" s="198">
        <v>3.8923267312457321</v>
      </c>
      <c r="AI25" s="198">
        <v>4.2066359911065145</v>
      </c>
      <c r="AJ25" s="198">
        <v>4.5160195100255649</v>
      </c>
      <c r="AK25" s="198">
        <v>4.6745099607901333</v>
      </c>
      <c r="AL25" s="198">
        <v>4.9282070696967377</v>
      </c>
      <c r="AM25" s="45">
        <v>5.173656874718481</v>
      </c>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row>
    <row r="26" spans="1:131" hidden="1">
      <c r="A26" s="24" t="s">
        <v>420</v>
      </c>
      <c r="B26" s="24"/>
      <c r="C26" s="198">
        <v>74.660780013982716</v>
      </c>
      <c r="D26" s="198">
        <v>21.673265650078871</v>
      </c>
      <c r="E26" s="198">
        <v>4.3346531300157745</v>
      </c>
      <c r="F26" s="198">
        <v>26.007918780094645</v>
      </c>
      <c r="G26" s="198">
        <v>28.850063832589374</v>
      </c>
      <c r="H26" s="198">
        <v>53.846116441934939</v>
      </c>
      <c r="I26" s="198">
        <v>3051.5267650694309</v>
      </c>
      <c r="J26" s="198">
        <v>-10.860378908583932</v>
      </c>
      <c r="K26" s="198">
        <v>10.656645338332369</v>
      </c>
      <c r="L26" s="199">
        <v>1.7252935456670198</v>
      </c>
      <c r="M26" s="198">
        <v>0.70928069288407625</v>
      </c>
      <c r="N26" s="198">
        <v>1.7451431292925229E-2</v>
      </c>
      <c r="O26" s="198">
        <v>3.1025214182653222</v>
      </c>
      <c r="P26" s="198">
        <v>2.2813548047323233</v>
      </c>
      <c r="Q26" s="198">
        <v>2.1120244076805492</v>
      </c>
      <c r="R26" s="198">
        <v>1.2077744109756194</v>
      </c>
      <c r="S26" s="198">
        <v>0.97013210962809815</v>
      </c>
      <c r="T26" s="198">
        <v>0.75292158092588179</v>
      </c>
      <c r="U26" s="198">
        <v>0.78858623084616497</v>
      </c>
      <c r="V26" s="198">
        <v>1.1451185157456829</v>
      </c>
      <c r="W26" s="198">
        <v>1.4441879492090448</v>
      </c>
      <c r="X26" s="198">
        <v>2.3537850708650705</v>
      </c>
      <c r="Y26" s="198">
        <v>2.7441709508062861</v>
      </c>
      <c r="Z26" s="198">
        <v>3.2554117279685637</v>
      </c>
      <c r="AA26" s="198"/>
      <c r="AB26" s="198">
        <v>5.0941618643690605</v>
      </c>
      <c r="AC26" s="198">
        <v>4.4068327631022868</v>
      </c>
      <c r="AD26" s="198">
        <v>4.428422549727923</v>
      </c>
      <c r="AE26" s="198">
        <v>4.1960468930839969</v>
      </c>
      <c r="AF26" s="198">
        <v>3.8641594312247038</v>
      </c>
      <c r="AG26" s="198">
        <v>3.5098685192367203</v>
      </c>
      <c r="AH26" s="198">
        <v>3.8371835729418806</v>
      </c>
      <c r="AI26" s="198">
        <v>4.1470399678533409</v>
      </c>
      <c r="AJ26" s="198">
        <v>4.452040405510636</v>
      </c>
      <c r="AK26" s="198">
        <v>4.6082854990327089</v>
      </c>
      <c r="AL26" s="198">
        <v>4.8583884441386838</v>
      </c>
      <c r="AM26" s="45">
        <v>5.1003609261121561</v>
      </c>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row>
    <row r="27" spans="1:131" hidden="1">
      <c r="A27" s="24" t="s">
        <v>437</v>
      </c>
      <c r="B27" s="24"/>
      <c r="C27" s="198">
        <v>2.6150142699850236</v>
      </c>
      <c r="D27" s="198">
        <v>1.0315522391340137</v>
      </c>
      <c r="E27" s="198">
        <v>0.20631044782680275</v>
      </c>
      <c r="F27" s="198">
        <v>1.2378626869608165</v>
      </c>
      <c r="G27" s="198">
        <v>1.6360123274452882</v>
      </c>
      <c r="H27" s="198">
        <v>1.8859749771240535</v>
      </c>
      <c r="I27" s="198">
        <v>4146.6990303799967</v>
      </c>
      <c r="J27" s="198">
        <v>-8.378242514955403</v>
      </c>
      <c r="K27" s="198">
        <v>28.257949446998648</v>
      </c>
      <c r="L27" s="199">
        <v>1.0847395728062454</v>
      </c>
      <c r="M27" s="198">
        <v>2.4842750544119063E-2</v>
      </c>
      <c r="N27" s="198">
        <v>6.1124116107701858E-4</v>
      </c>
      <c r="O27" s="198">
        <v>0.10866666247229853</v>
      </c>
      <c r="P27" s="198">
        <v>7.9905076911286385E-2</v>
      </c>
      <c r="Q27" s="198">
        <v>7.3974233374027726E-2</v>
      </c>
      <c r="R27" s="198">
        <v>4.2302629560426443E-2</v>
      </c>
      <c r="S27" s="198">
        <v>3.397914286420569E-2</v>
      </c>
      <c r="T27" s="198">
        <v>2.6371284601260828E-2</v>
      </c>
      <c r="U27" s="198">
        <v>2.7620448733461079E-2</v>
      </c>
      <c r="V27" s="198">
        <v>4.0108089668206129E-2</v>
      </c>
      <c r="W27" s="198">
        <v>5.0583078492011067E-2</v>
      </c>
      <c r="X27" s="198">
        <v>8.2441966821631199E-2</v>
      </c>
      <c r="Y27" s="198">
        <v>9.6115339195396221E-2</v>
      </c>
      <c r="Z27" s="198">
        <v>0.11402168744714514</v>
      </c>
      <c r="AA27" s="198"/>
      <c r="AB27" s="198">
        <v>0.1784244146182741</v>
      </c>
      <c r="AC27" s="198">
        <v>0.15435052458321183</v>
      </c>
      <c r="AD27" s="198">
        <v>0.15510671277333518</v>
      </c>
      <c r="AE27" s="198">
        <v>0.14696769175042057</v>
      </c>
      <c r="AF27" s="198">
        <v>0.135343242493011</v>
      </c>
      <c r="AG27" s="198">
        <v>0.12293410625841673</v>
      </c>
      <c r="AH27" s="198">
        <v>0.13439840566782024</v>
      </c>
      <c r="AI27" s="198">
        <v>0.14525121077095249</v>
      </c>
      <c r="AJ27" s="198">
        <v>0.15593393464118435</v>
      </c>
      <c r="AK27" s="198">
        <v>0.16140646183817914</v>
      </c>
      <c r="AL27" s="198">
        <v>0.17016638599507808</v>
      </c>
      <c r="AM27" s="45">
        <v>0.17864153845378286</v>
      </c>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row>
    <row r="28" spans="1:131">
      <c r="A28" s="24"/>
      <c r="B28" s="24"/>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row>
  </sheetData>
  <autoFilter ref="A3:EA27">
    <filterColumn colId="0">
      <customFilters>
        <customFilter val="*New*"/>
      </custom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FFFF00"/>
  </sheetPr>
  <dimension ref="A1:EA172"/>
  <sheetViews>
    <sheetView topLeftCell="A136" workbookViewId="0">
      <selection activeCell="A34" sqref="A34:EA172"/>
    </sheetView>
  </sheetViews>
  <sheetFormatPr defaultRowHeight="12.75"/>
  <cols>
    <col min="1" max="1" width="44.140625" customWidth="1"/>
    <col min="2" max="2" width="54.85546875" customWidth="1"/>
    <col min="3" max="3" width="17.42578125" bestFit="1" customWidth="1"/>
    <col min="4" max="4" width="12.140625" bestFit="1" customWidth="1"/>
    <col min="5" max="5" width="12.5703125" customWidth="1"/>
    <col min="6" max="6" width="13.7109375" customWidth="1"/>
    <col min="7" max="7" width="25.42578125" customWidth="1"/>
    <col min="8" max="8" width="15.7109375" bestFit="1" customWidth="1"/>
    <col min="9" max="9" width="15.42578125" bestFit="1" customWidth="1"/>
    <col min="10" max="10" width="14.42578125" bestFit="1" customWidth="1"/>
    <col min="11" max="11" width="14.28515625" customWidth="1"/>
    <col min="12" max="12" width="12.5703125" customWidth="1"/>
    <col min="13" max="13" width="13.28515625" bestFit="1" customWidth="1"/>
    <col min="14" max="14" width="12.140625" bestFit="1" customWidth="1"/>
    <col min="15" max="15" width="13.28515625" bestFit="1" customWidth="1"/>
    <col min="16" max="16" width="27.7109375" customWidth="1"/>
    <col min="17" max="18" width="13.28515625" bestFit="1" customWidth="1"/>
    <col min="19" max="19" width="14.42578125" bestFit="1" customWidth="1"/>
    <col min="20" max="20" width="10.7109375" customWidth="1"/>
    <col min="21" max="21" width="14" bestFit="1" customWidth="1"/>
    <col min="22" max="22" width="12.140625" bestFit="1" customWidth="1"/>
    <col min="23" max="23" width="15.42578125" bestFit="1" customWidth="1"/>
    <col min="24" max="24" width="12.42578125" bestFit="1" customWidth="1"/>
    <col min="25" max="25" width="13.28515625" bestFit="1" customWidth="1"/>
    <col min="26" max="26" width="12.28515625" bestFit="1" customWidth="1"/>
    <col min="27" max="27" width="12.5703125" bestFit="1" customWidth="1"/>
    <col min="28" max="30" width="14.28515625" bestFit="1" customWidth="1"/>
    <col min="31" max="31" width="13.7109375" bestFit="1" customWidth="1"/>
    <col min="32" max="32" width="14" bestFit="1" customWidth="1"/>
    <col min="33" max="33" width="12.85546875" bestFit="1" customWidth="1"/>
    <col min="34" max="34" width="15.28515625" bestFit="1" customWidth="1"/>
    <col min="35" max="35" width="12.28515625" bestFit="1" customWidth="1"/>
    <col min="36" max="36" width="10.85546875" bestFit="1" customWidth="1"/>
    <col min="37" max="37" width="12.28515625" bestFit="1" customWidth="1"/>
    <col min="38" max="38" width="12.5703125" bestFit="1" customWidth="1"/>
    <col min="39" max="43" width="12.85546875" customWidth="1"/>
    <col min="44" max="44" width="12.5703125" customWidth="1"/>
    <col min="45" max="45" width="12.28515625" customWidth="1"/>
    <col min="46" max="46" width="12.7109375" customWidth="1"/>
    <col min="47" max="47" width="11.85546875" customWidth="1"/>
    <col min="48" max="48" width="12.5703125" bestFit="1" customWidth="1"/>
    <col min="49" max="49" width="13.42578125" customWidth="1"/>
    <col min="50" max="50" width="15.7109375" bestFit="1" customWidth="1"/>
    <col min="51" max="51" width="11" bestFit="1" customWidth="1"/>
    <col min="52" max="52" width="16.140625" bestFit="1" customWidth="1"/>
    <col min="53" max="53" width="17.28515625" bestFit="1" customWidth="1"/>
    <col min="54" max="54" width="15" bestFit="1" customWidth="1"/>
    <col min="55" max="55" width="12.5703125" bestFit="1" customWidth="1"/>
    <col min="56" max="56" width="13.5703125" customWidth="1"/>
    <col min="57" max="58" width="14.5703125" bestFit="1" customWidth="1"/>
    <col min="59" max="59" width="14.85546875" bestFit="1" customWidth="1"/>
    <col min="60" max="60" width="15" bestFit="1" customWidth="1"/>
    <col min="61" max="61" width="13.28515625" bestFit="1" customWidth="1"/>
    <col min="62" max="62" width="14" bestFit="1" customWidth="1"/>
    <col min="63" max="63" width="13.28515625" bestFit="1" customWidth="1"/>
    <col min="64" max="64" width="11.140625" bestFit="1" customWidth="1"/>
    <col min="65" max="65" width="16.85546875" bestFit="1" customWidth="1"/>
    <col min="66" max="66" width="14.7109375" customWidth="1"/>
    <col min="67" max="67" width="12" customWidth="1"/>
    <col min="68" max="68" width="14" customWidth="1"/>
    <col min="69" max="69" width="12.5703125" customWidth="1"/>
    <col min="70" max="70" width="11.28515625" customWidth="1"/>
    <col min="71" max="71" width="14.42578125" customWidth="1"/>
    <col min="72" max="72" width="15.7109375" customWidth="1"/>
    <col min="73" max="73" width="12.85546875" customWidth="1"/>
    <col min="74" max="74" width="13" customWidth="1"/>
    <col min="75" max="75" width="11.7109375" customWidth="1"/>
    <col min="76" max="76" width="14" customWidth="1"/>
    <col min="77" max="77" width="14.85546875" customWidth="1"/>
    <col min="78" max="78" width="11.85546875" customWidth="1"/>
    <col min="79" max="79" width="13.85546875" customWidth="1"/>
    <col min="80" max="80" width="13.7109375" customWidth="1"/>
    <col min="81" max="81" width="13" customWidth="1"/>
    <col min="82" max="82" width="12.42578125" customWidth="1"/>
    <col min="83" max="83" width="13" customWidth="1"/>
    <col min="84" max="84" width="12.7109375" customWidth="1"/>
    <col min="85" max="85" width="12.42578125" customWidth="1"/>
    <col min="86" max="86" width="10.28515625" customWidth="1"/>
    <col min="87" max="91" width="9.85546875" customWidth="1"/>
    <col min="92" max="99" width="10.7109375" customWidth="1"/>
    <col min="100" max="100" width="16.5703125" customWidth="1"/>
    <col min="101" max="105" width="10.7109375" customWidth="1"/>
  </cols>
  <sheetData>
    <row r="1" spans="1:105">
      <c r="A1" s="15" t="s">
        <v>14</v>
      </c>
      <c r="B1" s="16"/>
      <c r="C1" s="16"/>
      <c r="D1" s="16"/>
      <c r="E1" s="16"/>
      <c r="F1" s="16"/>
      <c r="G1" s="16"/>
      <c r="H1" s="17"/>
      <c r="I1" s="18"/>
      <c r="J1" s="18"/>
      <c r="K1" s="18"/>
      <c r="L1" s="18"/>
      <c r="M1" s="18"/>
      <c r="N1" s="19"/>
      <c r="O1" s="20"/>
      <c r="P1" s="19"/>
      <c r="Q1" s="19"/>
      <c r="R1" s="19"/>
      <c r="S1" s="17"/>
      <c r="T1" s="17"/>
      <c r="U1" s="17"/>
      <c r="V1" s="19"/>
      <c r="W1" s="17"/>
      <c r="X1" s="17"/>
      <c r="Y1" s="17"/>
      <c r="Z1" s="17"/>
      <c r="AA1" s="17"/>
      <c r="AB1" s="17"/>
      <c r="AC1" s="17"/>
      <c r="AD1" s="17"/>
      <c r="AE1" s="17"/>
      <c r="AF1" s="17"/>
      <c r="AG1" s="17"/>
      <c r="AH1" s="17"/>
      <c r="AI1" s="17"/>
      <c r="AJ1" s="17"/>
      <c r="AK1" s="17"/>
      <c r="AL1" s="17"/>
      <c r="AM1" s="17"/>
      <c r="AN1" s="17"/>
      <c r="AO1" s="17"/>
      <c r="AP1" s="21"/>
      <c r="AQ1" s="17"/>
      <c r="AR1" s="17"/>
      <c r="AS1" s="17"/>
      <c r="AT1" s="17"/>
      <c r="AU1" s="17"/>
      <c r="AV1" s="21"/>
      <c r="AW1" s="17"/>
      <c r="AX1" s="17"/>
      <c r="AY1" s="17"/>
      <c r="AZ1" s="17"/>
      <c r="BA1" s="17"/>
      <c r="BB1" s="17"/>
      <c r="BC1" s="17"/>
      <c r="BD1" s="17"/>
      <c r="BE1" s="17"/>
      <c r="BF1" s="17"/>
      <c r="BG1" s="17"/>
      <c r="BH1" s="17"/>
      <c r="BI1" s="17"/>
      <c r="BJ1" s="17"/>
      <c r="BK1" s="17"/>
      <c r="BL1" s="17"/>
      <c r="BM1" s="22"/>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21"/>
      <c r="CQ1" s="17"/>
      <c r="CR1" s="17"/>
      <c r="CS1" s="17"/>
      <c r="CT1" s="17"/>
      <c r="CU1" s="17"/>
      <c r="CV1" s="17"/>
      <c r="CW1" s="17"/>
      <c r="CX1" s="17"/>
      <c r="CY1" s="17"/>
      <c r="CZ1" s="17"/>
      <c r="DA1" s="17"/>
    </row>
    <row r="2" spans="1:105">
      <c r="A2" s="23" t="s">
        <v>15</v>
      </c>
      <c r="B2" s="17" t="str">
        <f>'7PSourceSummary'!D2</f>
        <v>Exterior Building Lighting</v>
      </c>
      <c r="C2" s="17"/>
      <c r="D2" s="17"/>
      <c r="E2" s="17"/>
      <c r="F2" s="17"/>
      <c r="G2" s="17"/>
      <c r="H2" s="17"/>
      <c r="I2" s="18"/>
      <c r="J2" s="18"/>
      <c r="K2" s="18"/>
      <c r="L2" s="18"/>
      <c r="M2" s="18"/>
      <c r="N2" s="19"/>
      <c r="O2" s="19"/>
      <c r="P2" s="19"/>
      <c r="Q2" s="19"/>
      <c r="R2" s="19"/>
      <c r="S2" s="17"/>
      <c r="T2" s="17"/>
      <c r="U2" s="17"/>
      <c r="V2" s="19"/>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21"/>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row>
    <row r="3" spans="1:105">
      <c r="A3" s="23" t="s">
        <v>16</v>
      </c>
      <c r="B3" s="24"/>
      <c r="C3" s="23">
        <v>2012</v>
      </c>
      <c r="D3" s="24"/>
      <c r="E3" s="24"/>
      <c r="F3" s="24"/>
      <c r="G3" s="24"/>
      <c r="H3" s="24"/>
      <c r="I3" s="24"/>
      <c r="J3" s="25"/>
      <c r="K3" s="26"/>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6"/>
      <c r="CP3" s="26"/>
      <c r="CQ3" s="24"/>
      <c r="CR3" s="24"/>
      <c r="CS3" s="24"/>
      <c r="CT3" s="24"/>
      <c r="CU3" s="24"/>
      <c r="CV3" s="24"/>
      <c r="CW3" s="24"/>
      <c r="CX3" s="24"/>
      <c r="CY3" s="24"/>
      <c r="CZ3" s="24"/>
      <c r="DA3" s="24"/>
    </row>
    <row r="4" spans="1:105">
      <c r="A4" s="24" t="s">
        <v>886</v>
      </c>
      <c r="B4" s="27" t="s">
        <v>887</v>
      </c>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row>
    <row r="5" spans="1:105">
      <c r="A5" s="28">
        <v>1</v>
      </c>
      <c r="B5" s="28">
        <v>2</v>
      </c>
      <c r="C5" s="28">
        <v>3</v>
      </c>
      <c r="D5" s="28">
        <v>4</v>
      </c>
      <c r="E5" s="28">
        <v>5</v>
      </c>
      <c r="F5" s="28">
        <v>6</v>
      </c>
      <c r="G5" s="28">
        <v>7</v>
      </c>
      <c r="H5" s="28">
        <v>8</v>
      </c>
      <c r="I5" s="28">
        <v>9</v>
      </c>
      <c r="J5" s="28">
        <v>10</v>
      </c>
      <c r="K5" s="28">
        <v>11</v>
      </c>
      <c r="L5" s="28">
        <v>12</v>
      </c>
      <c r="M5" s="28">
        <v>13</v>
      </c>
      <c r="N5" s="28">
        <v>14</v>
      </c>
      <c r="O5" s="28">
        <v>15</v>
      </c>
      <c r="P5" s="28">
        <v>16</v>
      </c>
      <c r="Q5" s="28">
        <v>17</v>
      </c>
      <c r="R5" s="28">
        <v>18</v>
      </c>
      <c r="S5" s="28">
        <v>19</v>
      </c>
      <c r="T5" s="28">
        <v>20</v>
      </c>
      <c r="U5" s="28">
        <v>21</v>
      </c>
      <c r="V5" s="28">
        <v>22</v>
      </c>
      <c r="W5" s="28">
        <v>23</v>
      </c>
      <c r="X5" s="28">
        <v>24</v>
      </c>
      <c r="Y5" s="28">
        <v>25</v>
      </c>
      <c r="Z5" s="28">
        <v>26</v>
      </c>
      <c r="AA5" s="28">
        <v>27</v>
      </c>
      <c r="AB5" s="28">
        <v>28</v>
      </c>
      <c r="AC5" s="28">
        <v>29</v>
      </c>
      <c r="AD5" s="28">
        <v>30</v>
      </c>
      <c r="AE5" s="28">
        <v>31</v>
      </c>
      <c r="AF5" s="28">
        <v>32</v>
      </c>
      <c r="AG5" s="28">
        <v>33</v>
      </c>
      <c r="AH5" s="28">
        <v>34</v>
      </c>
      <c r="AI5" s="28">
        <v>35</v>
      </c>
      <c r="AJ5" s="28">
        <v>36</v>
      </c>
      <c r="AK5" s="28">
        <v>37</v>
      </c>
      <c r="AL5" s="28">
        <v>38</v>
      </c>
      <c r="AM5" s="28">
        <v>39</v>
      </c>
      <c r="AN5" s="28">
        <v>40</v>
      </c>
      <c r="AO5" s="28">
        <v>41</v>
      </c>
      <c r="AP5" s="28">
        <v>42</v>
      </c>
      <c r="AQ5" s="28">
        <v>43</v>
      </c>
      <c r="AR5" s="28">
        <v>44</v>
      </c>
      <c r="AS5" s="28">
        <v>45</v>
      </c>
      <c r="AT5" s="28">
        <v>46</v>
      </c>
      <c r="AU5" s="28">
        <v>47</v>
      </c>
      <c r="AV5" s="28">
        <v>48</v>
      </c>
      <c r="AW5" s="28">
        <v>49</v>
      </c>
      <c r="AX5" s="28">
        <v>50</v>
      </c>
      <c r="AY5" s="28">
        <v>51</v>
      </c>
      <c r="AZ5" s="28">
        <v>52</v>
      </c>
      <c r="BA5" s="28">
        <v>53</v>
      </c>
      <c r="BB5" s="28">
        <v>54</v>
      </c>
      <c r="BC5" s="28">
        <v>55</v>
      </c>
      <c r="BD5" s="28">
        <v>56</v>
      </c>
      <c r="BE5" s="28">
        <v>57</v>
      </c>
      <c r="BF5" s="28">
        <v>58</v>
      </c>
      <c r="BG5" s="28">
        <v>59</v>
      </c>
      <c r="BH5" s="28">
        <v>60</v>
      </c>
      <c r="BI5" s="28">
        <v>61</v>
      </c>
      <c r="BJ5" s="28">
        <v>62</v>
      </c>
      <c r="BK5" s="28">
        <v>63</v>
      </c>
      <c r="BL5" s="28">
        <v>64</v>
      </c>
      <c r="BM5" s="28">
        <v>65</v>
      </c>
      <c r="BN5" s="28">
        <v>66</v>
      </c>
      <c r="BO5" s="28">
        <v>67</v>
      </c>
      <c r="BP5" s="28">
        <v>68</v>
      </c>
      <c r="BQ5" s="28">
        <v>69</v>
      </c>
      <c r="BR5" s="28">
        <v>70</v>
      </c>
      <c r="BS5" s="28">
        <v>71</v>
      </c>
      <c r="BT5" s="28">
        <v>72</v>
      </c>
      <c r="BU5" s="28">
        <v>73</v>
      </c>
      <c r="BV5" s="28">
        <v>74</v>
      </c>
      <c r="BW5" s="28">
        <v>75</v>
      </c>
      <c r="BX5" s="28">
        <v>76</v>
      </c>
      <c r="BY5" s="28">
        <v>77</v>
      </c>
      <c r="BZ5" s="28">
        <v>78</v>
      </c>
      <c r="CA5" s="28">
        <v>79</v>
      </c>
      <c r="CB5" s="28">
        <v>80</v>
      </c>
      <c r="CC5" s="28">
        <v>81</v>
      </c>
      <c r="CD5" s="28">
        <v>82</v>
      </c>
      <c r="CE5" s="28">
        <v>83</v>
      </c>
      <c r="CF5" s="28">
        <v>84</v>
      </c>
      <c r="CG5" s="28">
        <v>85</v>
      </c>
      <c r="CH5" s="28">
        <v>86</v>
      </c>
      <c r="CI5" s="28">
        <v>87</v>
      </c>
      <c r="CJ5" s="28">
        <v>88</v>
      </c>
      <c r="CK5" s="28">
        <v>89</v>
      </c>
      <c r="CL5" s="28">
        <v>90</v>
      </c>
      <c r="CM5" s="28">
        <v>91</v>
      </c>
      <c r="CN5" s="28">
        <v>92</v>
      </c>
      <c r="CO5" s="28">
        <v>93</v>
      </c>
      <c r="CP5" s="28">
        <v>94</v>
      </c>
      <c r="CQ5" s="28">
        <v>95</v>
      </c>
      <c r="CR5" s="28">
        <v>96</v>
      </c>
      <c r="CS5" s="28">
        <v>97</v>
      </c>
      <c r="CT5" s="28">
        <v>98</v>
      </c>
      <c r="CU5" s="28">
        <v>99</v>
      </c>
      <c r="CV5" s="28">
        <v>100</v>
      </c>
      <c r="CW5" s="28">
        <v>101</v>
      </c>
      <c r="CX5" s="28">
        <v>102</v>
      </c>
      <c r="CY5" s="28">
        <v>103</v>
      </c>
      <c r="CZ5" s="28">
        <v>104</v>
      </c>
      <c r="DA5" s="28">
        <v>105</v>
      </c>
    </row>
    <row r="6" spans="1:105">
      <c r="A6" s="29" t="s">
        <v>17</v>
      </c>
      <c r="B6" s="30"/>
      <c r="C6" s="30"/>
      <c r="D6" s="30"/>
      <c r="E6" s="30"/>
      <c r="F6" s="30"/>
      <c r="G6" s="31"/>
      <c r="H6" s="32"/>
      <c r="I6" s="380" t="s">
        <v>18</v>
      </c>
      <c r="J6" s="381"/>
      <c r="K6" s="381"/>
      <c r="L6" s="381"/>
      <c r="M6" s="381"/>
      <c r="N6" s="382"/>
      <c r="O6" s="383" t="s">
        <v>19</v>
      </c>
      <c r="P6" s="384"/>
      <c r="Q6" s="33" t="s">
        <v>20</v>
      </c>
      <c r="R6" s="385" t="s">
        <v>21</v>
      </c>
      <c r="S6" s="385"/>
      <c r="T6" s="385"/>
      <c r="U6" s="34"/>
      <c r="V6" s="34"/>
      <c r="W6" s="34"/>
      <c r="X6" s="35"/>
      <c r="Y6" s="36"/>
      <c r="Z6" s="34"/>
      <c r="AA6" s="34"/>
      <c r="AB6" s="34"/>
      <c r="AC6" s="34"/>
      <c r="AD6" s="34"/>
      <c r="AE6" s="37"/>
      <c r="AF6" s="37"/>
      <c r="AG6" s="37"/>
      <c r="AH6" s="37"/>
      <c r="AI6" s="37"/>
      <c r="AJ6" s="37"/>
      <c r="AK6" s="37"/>
      <c r="AL6" s="37"/>
      <c r="AM6" s="37"/>
      <c r="AN6" s="37"/>
      <c r="AO6" s="3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row>
    <row r="7" spans="1:105" ht="25.5">
      <c r="A7" s="38" t="s">
        <v>22</v>
      </c>
      <c r="B7" s="38" t="s">
        <v>23</v>
      </c>
      <c r="C7" s="38" t="s">
        <v>24</v>
      </c>
      <c r="D7" s="38" t="s">
        <v>25</v>
      </c>
      <c r="E7" s="38" t="s">
        <v>26</v>
      </c>
      <c r="F7" s="39" t="s">
        <v>27</v>
      </c>
      <c r="G7" s="38" t="s">
        <v>28</v>
      </c>
      <c r="H7" s="40" t="s">
        <v>29</v>
      </c>
      <c r="I7" s="40" t="s">
        <v>30</v>
      </c>
      <c r="J7" s="40" t="s">
        <v>31</v>
      </c>
      <c r="K7" s="40" t="s">
        <v>32</v>
      </c>
      <c r="L7" s="40" t="s">
        <v>33</v>
      </c>
      <c r="M7" s="40" t="s">
        <v>34</v>
      </c>
      <c r="N7" s="40" t="s">
        <v>35</v>
      </c>
      <c r="O7" s="41" t="s">
        <v>36</v>
      </c>
      <c r="P7" s="40" t="s">
        <v>28</v>
      </c>
      <c r="Q7" s="42" t="s">
        <v>37</v>
      </c>
      <c r="R7" s="43" t="s">
        <v>38</v>
      </c>
      <c r="S7" s="43" t="s">
        <v>39</v>
      </c>
      <c r="T7" s="43" t="s">
        <v>40</v>
      </c>
      <c r="U7" s="44"/>
      <c r="V7" s="44"/>
      <c r="W7" s="44"/>
      <c r="X7" s="44"/>
      <c r="Y7" s="44"/>
      <c r="Z7" s="44"/>
      <c r="AA7" s="44"/>
      <c r="AB7" s="44"/>
      <c r="AC7" s="44"/>
      <c r="AD7" s="44"/>
      <c r="AE7" s="37"/>
      <c r="AF7" s="37"/>
      <c r="AG7" s="37"/>
      <c r="AH7" s="37"/>
      <c r="AI7" s="37"/>
      <c r="AJ7" s="37"/>
      <c r="AK7" s="37"/>
      <c r="AL7" s="37"/>
      <c r="AM7" s="37"/>
      <c r="AN7" s="37"/>
      <c r="AO7" s="3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row>
    <row r="8" spans="1:105">
      <c r="A8" s="45" t="str">
        <f>M_Weight!C8</f>
        <v>Exterior Lighting: Parking Lot - HPS 250W - New</v>
      </c>
      <c r="B8" s="45" t="str">
        <f>M_Weight!D8</f>
        <v>Exterior Lighting: Parking Lot - HPS 250W to LED 135W - New</v>
      </c>
      <c r="C8" s="45">
        <f>M_Weight!E8</f>
        <v>130.19651169604927</v>
      </c>
      <c r="D8" s="45">
        <f>M_Weight!F8</f>
        <v>16.279069767441861</v>
      </c>
      <c r="E8" s="45">
        <f>M_Weight!G8</f>
        <v>0.35225089298694362</v>
      </c>
      <c r="F8" s="48"/>
      <c r="G8" s="45" t="str">
        <f>M_Weight!I8</f>
        <v>S-All-Lgt-Streetlight-All-All-U</v>
      </c>
      <c r="H8" s="47"/>
      <c r="I8" s="45">
        <f>M_Weight!K8</f>
        <v>-4.5237213251787889</v>
      </c>
      <c r="J8" s="45">
        <f>M_Weight!L8</f>
        <v>5.5813953488372094</v>
      </c>
      <c r="K8" s="47"/>
      <c r="L8" s="47"/>
      <c r="M8" s="47"/>
      <c r="N8" s="47"/>
      <c r="O8" s="24"/>
      <c r="P8" s="50"/>
      <c r="Q8" s="51" t="str">
        <f>'Savings and Cost Analysis'!BW13</f>
        <v>L</v>
      </c>
      <c r="R8" s="47"/>
      <c r="S8" s="47"/>
      <c r="T8" s="47"/>
      <c r="U8" s="44"/>
      <c r="V8" s="44"/>
      <c r="W8" s="44"/>
      <c r="X8" s="44"/>
      <c r="Y8" s="44"/>
      <c r="Z8" s="44"/>
      <c r="AA8" s="44"/>
      <c r="AB8" s="44"/>
      <c r="AC8" s="44"/>
      <c r="AD8" s="44"/>
      <c r="AE8" s="37"/>
      <c r="AF8" s="37"/>
      <c r="AG8" s="37"/>
      <c r="AH8" s="37"/>
      <c r="AI8" s="37"/>
      <c r="AJ8" s="37"/>
      <c r="AK8" s="37"/>
      <c r="AL8" s="37"/>
      <c r="AM8" s="37"/>
      <c r="AN8" s="37"/>
      <c r="AO8" s="37"/>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row>
    <row r="9" spans="1:105">
      <c r="A9" s="45" t="str">
        <f>M_Weight!C9</f>
        <v>Exterior Lighting: Parking Lot - MH 400W - New</v>
      </c>
      <c r="B9" s="45" t="str">
        <f>M_Weight!D9</f>
        <v>Exterior Lighting: Parking Lot - MH 400W to LED 180W - New</v>
      </c>
      <c r="C9" s="45">
        <f>M_Weight!E9</f>
        <v>51.403081848075573</v>
      </c>
      <c r="D9" s="45">
        <f>M_Weight!F9</f>
        <v>16.279069767441861</v>
      </c>
      <c r="E9" s="45">
        <f>M_Weight!G9</f>
        <v>5.3072521232113603</v>
      </c>
      <c r="F9" s="48"/>
      <c r="G9" s="45" t="str">
        <f>M_Weight!I9</f>
        <v>S-All-Lgt-Streetlight-All-All-U</v>
      </c>
      <c r="H9" s="24"/>
      <c r="I9" s="45">
        <f>M_Weight!K9</f>
        <v>-1.141786060834624</v>
      </c>
      <c r="J9" s="45">
        <f>M_Weight!L9</f>
        <v>3.7209302325581395</v>
      </c>
      <c r="K9" s="24"/>
      <c r="L9" s="24"/>
      <c r="M9" s="24"/>
      <c r="N9" s="24"/>
      <c r="O9" s="24"/>
      <c r="P9" s="50"/>
      <c r="Q9" s="51" t="str">
        <f>'Savings and Cost Analysis'!BW14</f>
        <v>L</v>
      </c>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row>
    <row r="10" spans="1:105">
      <c r="A10" s="45" t="str">
        <f>M_Weight!C10</f>
        <v>Exterior Lighting: Parking Lot - MH 1000W - New</v>
      </c>
      <c r="B10" s="45" t="str">
        <f>M_Weight!D10</f>
        <v>Exterior Lighting: Parking Lot - MH 1000W to LED 421W - New</v>
      </c>
      <c r="C10" s="45">
        <f>M_Weight!E10</f>
        <v>6.2518603404583653</v>
      </c>
      <c r="D10" s="45">
        <f>M_Weight!F10</f>
        <v>16.279069767441861</v>
      </c>
      <c r="E10" s="45">
        <f>M_Weight!G10</f>
        <v>1.0527185054529571</v>
      </c>
      <c r="F10" s="48"/>
      <c r="G10" s="45" t="str">
        <f>M_Weight!I10</f>
        <v>S-All-Lgt-Streetlight-All-All-U</v>
      </c>
      <c r="H10" s="24"/>
      <c r="I10" s="45">
        <f>M_Weight!K10</f>
        <v>-6.1004855239842989E-2</v>
      </c>
      <c r="J10" s="45">
        <f>M_Weight!L10</f>
        <v>3.7209302325581395</v>
      </c>
      <c r="K10" s="24"/>
      <c r="L10" s="24"/>
      <c r="M10" s="24"/>
      <c r="N10" s="24"/>
      <c r="O10" s="24"/>
      <c r="P10" s="50"/>
      <c r="Q10" s="51" t="str">
        <f>'Savings and Cost Analysis'!BW15</f>
        <v>L</v>
      </c>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row>
    <row r="11" spans="1:105">
      <c r="A11" s="45" t="str">
        <f>M_Weight!C11</f>
        <v>Exterior Lighting: Parking Lot - HPS 250W - NR</v>
      </c>
      <c r="B11" s="45" t="str">
        <f>M_Weight!D11</f>
        <v>Exterior Lighting: Parking Lot - HPS 250W to LED 135W - NR</v>
      </c>
      <c r="C11" s="45">
        <f>M_Weight!E11</f>
        <v>130.19651169604927</v>
      </c>
      <c r="D11" s="45">
        <f>M_Weight!F11</f>
        <v>16.279069767441861</v>
      </c>
      <c r="E11" s="45">
        <f>M_Weight!G11</f>
        <v>31.358712414728529</v>
      </c>
      <c r="F11" s="24"/>
      <c r="G11" s="45" t="str">
        <f>M_Weight!I11</f>
        <v>S-All-Lgt-Streetlight-All-All-U</v>
      </c>
      <c r="H11" s="24"/>
      <c r="I11" s="45">
        <f>M_Weight!K11</f>
        <v>-4.5237213251787889</v>
      </c>
      <c r="J11" s="45">
        <f>M_Weight!L11</f>
        <v>5.5813953488372094</v>
      </c>
      <c r="K11" s="24"/>
      <c r="L11" s="24"/>
      <c r="M11" s="24"/>
      <c r="N11" s="24"/>
      <c r="O11" s="24"/>
      <c r="P11" s="24"/>
      <c r="Q11" s="51" t="str">
        <f>'Savings and Cost Analysis'!BW16</f>
        <v>L</v>
      </c>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row>
    <row r="12" spans="1:105">
      <c r="A12" s="45" t="str">
        <f>M_Weight!C12</f>
        <v>Exterior Lighting: Parking Lot - MH 400W - NR</v>
      </c>
      <c r="B12" s="45" t="str">
        <f>M_Weight!D12</f>
        <v>Exterior Lighting: Parking Lot - MH 400W to LED 180W - NR</v>
      </c>
      <c r="C12" s="45">
        <f>M_Weight!E12</f>
        <v>51.403081848075573</v>
      </c>
      <c r="D12" s="45">
        <f>M_Weight!F12</f>
        <v>16.279069767441861</v>
      </c>
      <c r="E12" s="45">
        <f>M_Weight!G12</f>
        <v>13.388193469372712</v>
      </c>
      <c r="F12" s="24"/>
      <c r="G12" s="45" t="str">
        <f>M_Weight!I12</f>
        <v>S-All-Lgt-Streetlight-All-All-U</v>
      </c>
      <c r="H12" s="24"/>
      <c r="I12" s="45">
        <f>M_Weight!K12</f>
        <v>-1.141786060834624</v>
      </c>
      <c r="J12" s="45">
        <f>M_Weight!L12</f>
        <v>3.7209302325581395</v>
      </c>
      <c r="K12" s="24"/>
      <c r="L12" s="24"/>
      <c r="M12" s="24"/>
      <c r="N12" s="24"/>
      <c r="O12" s="24"/>
      <c r="P12" s="24"/>
      <c r="Q12" s="51" t="str">
        <f>'Savings and Cost Analysis'!BW17</f>
        <v>L</v>
      </c>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row>
    <row r="13" spans="1:105">
      <c r="A13" s="45" t="str">
        <f>M_Weight!C13</f>
        <v>Exterior Lighting: Parking Lot - MH 1000W - NR</v>
      </c>
      <c r="B13" s="45" t="str">
        <f>M_Weight!D13</f>
        <v>Exterior Lighting: Parking Lot - MH 1000W to LED 421W - NR</v>
      </c>
      <c r="C13" s="45">
        <f>M_Weight!E13</f>
        <v>6.2518603404583653</v>
      </c>
      <c r="D13" s="45">
        <f>M_Weight!F13</f>
        <v>16.279069767441861</v>
      </c>
      <c r="E13" s="45">
        <f>M_Weight!G13</f>
        <v>1.947148610061336</v>
      </c>
      <c r="F13" s="24"/>
      <c r="G13" s="45" t="str">
        <f>M_Weight!I13</f>
        <v>S-All-Lgt-Streetlight-All-All-U</v>
      </c>
      <c r="H13" s="24"/>
      <c r="I13" s="45">
        <f>M_Weight!K13</f>
        <v>-6.1004855239842989E-2</v>
      </c>
      <c r="J13" s="45">
        <f>M_Weight!L13</f>
        <v>3.7209302325581395</v>
      </c>
      <c r="K13" s="24"/>
      <c r="L13" s="24"/>
      <c r="M13" s="24"/>
      <c r="N13" s="24"/>
      <c r="O13" s="24"/>
      <c r="P13" s="24"/>
      <c r="Q13" s="51" t="str">
        <f>'Savings and Cost Analysis'!BW18</f>
        <v>L</v>
      </c>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row>
    <row r="14" spans="1:105">
      <c r="A14" s="45" t="str">
        <f>M_Weight!C14</f>
        <v>Exterior Lighting: Parking Lot - HPS 250W - Retro</v>
      </c>
      <c r="B14" s="45" t="str">
        <f>M_Weight!D14</f>
        <v>Exterior Lighting: Parking Lot - HPS 250W to LED 135W - Retro</v>
      </c>
      <c r="C14" s="45">
        <f>M_Weight!E14</f>
        <v>130.19651169604927</v>
      </c>
      <c r="D14" s="45">
        <f>M_Weight!F14</f>
        <v>16.279069767441861</v>
      </c>
      <c r="E14" s="45">
        <f>M_Weight!G14</f>
        <v>35.88243373990732</v>
      </c>
      <c r="G14" s="45" t="str">
        <f>M_Weight!I14</f>
        <v>S-All-Lgt-Streetlight-All-All-U</v>
      </c>
      <c r="I14" s="45">
        <f>M_Weight!K14</f>
        <v>-4.5237213251787889</v>
      </c>
      <c r="J14" s="45">
        <f>M_Weight!L14</f>
        <v>5.5813953488372094</v>
      </c>
      <c r="Q14" s="51" t="str">
        <f>'Savings and Cost Analysis'!BW19</f>
        <v>R</v>
      </c>
    </row>
    <row r="15" spans="1:105">
      <c r="A15" s="45" t="str">
        <f>M_Weight!C15</f>
        <v>Exterior Lighting: Parking Lot - MH 400W - Retro</v>
      </c>
      <c r="B15" s="45" t="str">
        <f>M_Weight!D15</f>
        <v>Exterior Lighting: Parking Lot - MH 400W to LED 180W - Retro</v>
      </c>
      <c r="C15" s="45">
        <f>M_Weight!E15</f>
        <v>51.403081848075573</v>
      </c>
      <c r="D15" s="45">
        <f>M_Weight!F15</f>
        <v>16.279069767441861</v>
      </c>
      <c r="E15" s="45">
        <f>M_Weight!G15</f>
        <v>14.529979530207335</v>
      </c>
      <c r="G15" s="45" t="str">
        <f>M_Weight!I15</f>
        <v>S-All-Lgt-Streetlight-All-All-U</v>
      </c>
      <c r="I15" s="45">
        <f>M_Weight!K15</f>
        <v>-1.141786060834624</v>
      </c>
      <c r="J15" s="45">
        <f>M_Weight!L15</f>
        <v>3.7209302325581395</v>
      </c>
      <c r="Q15" s="51" t="str">
        <f>'Savings and Cost Analysis'!BW20</f>
        <v>R</v>
      </c>
    </row>
    <row r="16" spans="1:105">
      <c r="A16" s="45" t="str">
        <f>M_Weight!C16</f>
        <v>Exterior Lighting: Parking Lot - MH 1000W - Retro</v>
      </c>
      <c r="B16" s="45" t="str">
        <f>M_Weight!D16</f>
        <v>Exterior Lighting: Parking Lot - MH 1000W to LED 421W - Retro</v>
      </c>
      <c r="C16" s="45">
        <f>M_Weight!E16</f>
        <v>6.2518603404583653</v>
      </c>
      <c r="D16" s="45">
        <f>M_Weight!F16</f>
        <v>16.279069767441861</v>
      </c>
      <c r="E16" s="45">
        <f>M_Weight!G16</f>
        <v>2.008153465301179</v>
      </c>
      <c r="G16" s="45" t="str">
        <f>M_Weight!I16</f>
        <v>S-All-Lgt-Streetlight-All-All-U</v>
      </c>
      <c r="I16" s="45">
        <f>M_Weight!K16</f>
        <v>-6.1004855239842989E-2</v>
      </c>
      <c r="J16" s="45">
        <f>M_Weight!L16</f>
        <v>3.7209302325581395</v>
      </c>
      <c r="Q16" s="51" t="str">
        <f>'Savings and Cost Analysis'!BW21</f>
        <v>R</v>
      </c>
    </row>
    <row r="17" spans="1:17">
      <c r="A17" s="45" t="str">
        <f>M_Weight!C17</f>
        <v>Exterior Lighting: Façade - HID 150W - New</v>
      </c>
      <c r="B17" s="45" t="str">
        <f>M_Weight!D17</f>
        <v>Exterior Lighting: Façade - HID 150W to LED 27W - New</v>
      </c>
      <c r="C17" s="45">
        <f>M_Weight!E17</f>
        <v>66.935750455655011</v>
      </c>
      <c r="D17" s="45">
        <f>M_Weight!F17</f>
        <v>16.744186046511629</v>
      </c>
      <c r="E17" s="45">
        <f>M_Weight!G17</f>
        <v>0.75267609869364605</v>
      </c>
      <c r="G17" s="45" t="str">
        <f>M_Weight!I17</f>
        <v>S-All-Lgt-Streetlight-All-All-U</v>
      </c>
      <c r="I17" s="45">
        <f>M_Weight!K17</f>
        <v>-4.3120382329557554</v>
      </c>
      <c r="J17" s="45">
        <f>M_Weight!L17</f>
        <v>5.5813953488372094</v>
      </c>
      <c r="Q17" s="51" t="str">
        <f>'Savings and Cost Analysis'!BW22</f>
        <v>L</v>
      </c>
    </row>
    <row r="18" spans="1:17">
      <c r="A18" s="45" t="str">
        <f>M_Weight!C18</f>
        <v>Exterior Lighting: Façade - HID 400W - New</v>
      </c>
      <c r="B18" s="45" t="str">
        <f>M_Weight!D18</f>
        <v>Exterior Lighting: Façade - HID 400W to LED 82W - New</v>
      </c>
      <c r="C18" s="45">
        <f>M_Weight!E18</f>
        <v>28.880984703126135</v>
      </c>
      <c r="D18" s="45">
        <f>M_Weight!F18</f>
        <v>16.744186046511629</v>
      </c>
      <c r="E18" s="45">
        <f>M_Weight!G18</f>
        <v>0.93212841418794667</v>
      </c>
      <c r="G18" s="45" t="str">
        <f>M_Weight!I18</f>
        <v>S-All-Lgt-Streetlight-All-All-U</v>
      </c>
      <c r="I18" s="45">
        <f>M_Weight!K18</f>
        <v>-0.70569423195622161</v>
      </c>
      <c r="J18" s="45">
        <f>M_Weight!L18</f>
        <v>3.7209302325581395</v>
      </c>
      <c r="Q18" s="51" t="str">
        <f>'Savings and Cost Analysis'!BW23</f>
        <v>L</v>
      </c>
    </row>
    <row r="19" spans="1:17">
      <c r="A19" s="45" t="str">
        <f>M_Weight!C19</f>
        <v>Exterior Lighting: Façade - HID 150W - NR</v>
      </c>
      <c r="B19" s="45" t="str">
        <f>M_Weight!D19</f>
        <v>Exterior Lighting: Façade - HID 150W to LED 27W - NR</v>
      </c>
      <c r="C19" s="45">
        <f>M_Weight!E19</f>
        <v>66.935750455655011</v>
      </c>
      <c r="D19" s="45">
        <f>M_Weight!F19</f>
        <v>16.744186046511629</v>
      </c>
      <c r="E19" s="45">
        <f>M_Weight!G19</f>
        <v>19.271398161973615</v>
      </c>
      <c r="G19" s="45" t="str">
        <f>M_Weight!I19</f>
        <v>S-All-Lgt-Streetlight-All-All-U</v>
      </c>
      <c r="I19" s="45">
        <f>M_Weight!K19</f>
        <v>-4.3120382329557554</v>
      </c>
      <c r="J19" s="45">
        <f>M_Weight!L19</f>
        <v>5.5813953488372094</v>
      </c>
      <c r="Q19" s="51" t="str">
        <f>'Savings and Cost Analysis'!BW24</f>
        <v>L</v>
      </c>
    </row>
    <row r="20" spans="1:17">
      <c r="A20" s="45" t="str">
        <f>M_Weight!C20</f>
        <v>Exterior Lighting: Façade - HID 400W - NR</v>
      </c>
      <c r="B20" s="45" t="str">
        <f>M_Weight!D20</f>
        <v>Exterior Lighting: Façade - HID 400W to LED 82W - NR</v>
      </c>
      <c r="C20" s="45">
        <f>M_Weight!E20</f>
        <v>28.880984703126135</v>
      </c>
      <c r="D20" s="45">
        <f>M_Weight!F20</f>
        <v>16.744186046511629</v>
      </c>
      <c r="E20" s="45">
        <f>M_Weight!G20</f>
        <v>5.9720678877064044</v>
      </c>
      <c r="G20" s="45" t="str">
        <f>M_Weight!I20</f>
        <v>S-All-Lgt-Streetlight-All-All-U</v>
      </c>
      <c r="I20" s="45">
        <f>M_Weight!K20</f>
        <v>-0.70569423195622161</v>
      </c>
      <c r="J20" s="45">
        <f>M_Weight!L20</f>
        <v>3.7209302325581395</v>
      </c>
      <c r="Q20" s="51" t="str">
        <f>'Savings and Cost Analysis'!BW25</f>
        <v>L</v>
      </c>
    </row>
    <row r="21" spans="1:17">
      <c r="A21" s="45" t="str">
        <f>M_Weight!C21</f>
        <v>Exterior Lighting: Façade - HID 150W - Retro</v>
      </c>
      <c r="B21" s="45" t="str">
        <f>M_Weight!D21</f>
        <v>Exterior Lighting: Façade - HID 150W to LED 27W - Retro</v>
      </c>
      <c r="C21" s="45">
        <f>M_Weight!E21</f>
        <v>66.935750455655011</v>
      </c>
      <c r="D21" s="45">
        <f>M_Weight!F21</f>
        <v>16.744186046511629</v>
      </c>
      <c r="E21" s="45">
        <f>M_Weight!G21</f>
        <v>23.583436394929375</v>
      </c>
      <c r="G21" s="45" t="str">
        <f>M_Weight!I21</f>
        <v>S-All-Lgt-Streetlight-All-All-U</v>
      </c>
      <c r="I21" s="45">
        <f>M_Weight!K21</f>
        <v>-4.3120382329557554</v>
      </c>
      <c r="J21" s="45">
        <f>M_Weight!L21</f>
        <v>5.5813953488372094</v>
      </c>
      <c r="Q21" s="51" t="str">
        <f>'Savings and Cost Analysis'!BW26</f>
        <v>R</v>
      </c>
    </row>
    <row r="22" spans="1:17">
      <c r="A22" s="45" t="str">
        <f>M_Weight!C22</f>
        <v>Exterior Lighting: Façade - HID 400W - Retro</v>
      </c>
      <c r="B22" s="45" t="str">
        <f>M_Weight!D22</f>
        <v>Exterior Lighting: Façade - HID 400W to LED 82W - Retro</v>
      </c>
      <c r="C22" s="45">
        <f>M_Weight!E22</f>
        <v>28.880984703126135</v>
      </c>
      <c r="D22" s="45">
        <f>M_Weight!F22</f>
        <v>16.744186046511629</v>
      </c>
      <c r="E22" s="45">
        <f>M_Weight!G22</f>
        <v>6.677762119662626</v>
      </c>
      <c r="G22" s="45" t="str">
        <f>M_Weight!I22</f>
        <v>S-All-Lgt-Streetlight-All-All-U</v>
      </c>
      <c r="I22" s="45">
        <f>M_Weight!K22</f>
        <v>-0.70569423195622161</v>
      </c>
      <c r="J22" s="45">
        <f>M_Weight!L22</f>
        <v>3.7209302325581395</v>
      </c>
      <c r="Q22" s="51" t="str">
        <f>'Savings and Cost Analysis'!BW27</f>
        <v>R</v>
      </c>
    </row>
    <row r="23" spans="1:17">
      <c r="A23" s="45" t="str">
        <f>M_Weight!C23</f>
        <v>Exterior Lighting: Walkway - HID 150W - New</v>
      </c>
      <c r="B23" s="45" t="str">
        <f>M_Weight!D23</f>
        <v>Exterior Lighting: Walkway - HID 150W to LED 28W - New</v>
      </c>
      <c r="C23" s="45">
        <f>M_Weight!E23</f>
        <v>66.781973941888168</v>
      </c>
      <c r="D23" s="45">
        <f>M_Weight!F23</f>
        <v>16.744186046511629</v>
      </c>
      <c r="E23" s="45">
        <f>M_Weight!G23</f>
        <v>0.68761315445724391</v>
      </c>
      <c r="G23" s="45" t="str">
        <f>M_Weight!I23</f>
        <v>S-All-Lgt-Streetlight-All-All-U</v>
      </c>
      <c r="I23" s="45">
        <f>M_Weight!K23</f>
        <v>-4.0543416127582557</v>
      </c>
      <c r="J23" s="45">
        <f>M_Weight!L23</f>
        <v>5.5813953488372094</v>
      </c>
      <c r="Q23" s="51" t="str">
        <f>'Savings and Cost Analysis'!BW28</f>
        <v>L</v>
      </c>
    </row>
    <row r="24" spans="1:17">
      <c r="A24" s="45" t="str">
        <f>M_Weight!C24</f>
        <v>Exterior Lighting: Walkway - CFL 26W - New</v>
      </c>
      <c r="B24" s="45" t="str">
        <f>M_Weight!D24</f>
        <v>Exterior Lighting: Walkway - CFL 26W to LED 12W - New</v>
      </c>
      <c r="C24" s="45">
        <f>M_Weight!E24</f>
        <v>2.3112289292682102</v>
      </c>
      <c r="D24" s="45">
        <f>M_Weight!F24</f>
        <v>6.6762790697674417</v>
      </c>
      <c r="E24" s="45">
        <f>M_Weight!G24</f>
        <v>0.13553311531055059</v>
      </c>
      <c r="G24" s="45" t="str">
        <f>M_Weight!I24</f>
        <v>S-All-Lgt-Streetlight-All-All-U</v>
      </c>
      <c r="I24" s="45">
        <f>M_Weight!K24</f>
        <v>-0.33142343072491642</v>
      </c>
      <c r="J24" s="45">
        <f>M_Weight!L24</f>
        <v>2.3255813953488373</v>
      </c>
      <c r="Q24" s="51" t="str">
        <f>'Savings and Cost Analysis'!BW29</f>
        <v>L</v>
      </c>
    </row>
    <row r="25" spans="1:17">
      <c r="A25" s="45" t="str">
        <f>M_Weight!C25</f>
        <v>Exterior Lighting: Walkway - INC 75W - New</v>
      </c>
      <c r="B25" s="45" t="str">
        <f>M_Weight!D25</f>
        <v>Exterior Lighting: Walkway - INC 75W to LED 12W - New</v>
      </c>
      <c r="C25" s="45">
        <f>M_Weight!E25</f>
        <v>1.7156302515732005</v>
      </c>
      <c r="D25" s="45">
        <f>M_Weight!F25</f>
        <v>6.6762790697674417</v>
      </c>
      <c r="E25" s="45">
        <f>M_Weight!G25</f>
        <v>2.9394812076628273E-2</v>
      </c>
      <c r="G25" s="45" t="str">
        <f>M_Weight!I25</f>
        <v>S-All-Lgt-Streetlight-All-All-U</v>
      </c>
      <c r="I25" s="45">
        <f>M_Weight!K25</f>
        <v>-5.5390635160910709E-2</v>
      </c>
      <c r="J25" s="45">
        <f>M_Weight!L25</f>
        <v>0.23255813953488372</v>
      </c>
      <c r="Q25" s="51" t="str">
        <f>'Savings and Cost Analysis'!BW30</f>
        <v>L</v>
      </c>
    </row>
    <row r="26" spans="1:17">
      <c r="A26" s="45" t="str">
        <f>M_Weight!C26</f>
        <v>Exterior Lighting: Walkway - HID 150W - NR</v>
      </c>
      <c r="B26" s="45" t="str">
        <f>M_Weight!D26</f>
        <v>Exterior Lighting: Walkway - HID 150W to LED 29W - NR</v>
      </c>
      <c r="C26" s="45">
        <f>M_Weight!E26</f>
        <v>65.987461954092865</v>
      </c>
      <c r="D26" s="45">
        <f>M_Weight!F26</f>
        <v>14.186046511627907</v>
      </c>
      <c r="E26" s="45">
        <f>M_Weight!G26</f>
        <v>15.900946569337281</v>
      </c>
      <c r="G26" s="45" t="str">
        <f>M_Weight!I26</f>
        <v>S-All-Lgt-Streetlight-All-All-U</v>
      </c>
      <c r="I26" s="45">
        <f>M_Weight!K26</f>
        <v>-4.0543416127582557</v>
      </c>
      <c r="J26" s="45">
        <f>M_Weight!L26</f>
        <v>5.5813953488372094</v>
      </c>
      <c r="Q26" s="51" t="str">
        <f>'Savings and Cost Analysis'!BW31</f>
        <v>L</v>
      </c>
    </row>
    <row r="27" spans="1:17">
      <c r="A27" s="45" t="str">
        <f>M_Weight!C27</f>
        <v>Exterior Lighting: Walkway - CFL 26W - NR</v>
      </c>
      <c r="B27" s="45" t="str">
        <f>M_Weight!D27</f>
        <v>Exterior Lighting: Walkway - CFL 26W to LED 12W - NR</v>
      </c>
      <c r="C27" s="45">
        <f>M_Weight!E27</f>
        <v>2.3112289292682102</v>
      </c>
      <c r="D27" s="45">
        <f>M_Weight!F27</f>
        <v>6.6762790697674417</v>
      </c>
      <c r="E27" s="45">
        <f>M_Weight!G27</f>
        <v>0.13553311531055059</v>
      </c>
      <c r="G27" s="45" t="str">
        <f>M_Weight!I27</f>
        <v>S-All-Lgt-Streetlight-All-All-U</v>
      </c>
      <c r="I27" s="45">
        <f>M_Weight!K27</f>
        <v>-0.33142343072491642</v>
      </c>
      <c r="J27" s="45">
        <f>M_Weight!L27</f>
        <v>2.3255813953488373</v>
      </c>
      <c r="Q27" s="51" t="str">
        <f>'Savings and Cost Analysis'!BW32</f>
        <v>L</v>
      </c>
    </row>
    <row r="28" spans="1:17">
      <c r="A28" s="45" t="str">
        <f>M_Weight!C28</f>
        <v>Exterior Lighting: Walkway - INC 75W - NR</v>
      </c>
      <c r="B28" s="45" t="str">
        <f>M_Weight!D28</f>
        <v>Exterior Lighting: Walkway - INC 75W to LED 12W - NR</v>
      </c>
      <c r="C28" s="45">
        <f>M_Weight!E28</f>
        <v>1.7156302515732005</v>
      </c>
      <c r="D28" s="45">
        <f>M_Weight!F28</f>
        <v>6.6762790697674417</v>
      </c>
      <c r="E28" s="45">
        <f>M_Weight!G28</f>
        <v>2.9394812076628273E-2</v>
      </c>
      <c r="G28" s="45" t="str">
        <f>M_Weight!I28</f>
        <v>S-All-Lgt-Streetlight-All-All-U</v>
      </c>
      <c r="I28" s="45">
        <f>M_Weight!K28</f>
        <v>-5.5390635160910709E-2</v>
      </c>
      <c r="J28" s="45">
        <f>M_Weight!L28</f>
        <v>0.23255813953488372</v>
      </c>
      <c r="Q28" s="51" t="str">
        <f>'Savings and Cost Analysis'!BW33</f>
        <v>L</v>
      </c>
    </row>
    <row r="29" spans="1:17">
      <c r="A29" s="45" t="str">
        <f>M_Weight!C29</f>
        <v>Exterior Lighting: Walkway - HID 150W - Retro</v>
      </c>
      <c r="B29" s="45" t="str">
        <f>M_Weight!D29</f>
        <v>Exterior Lighting: Walkway - HID 150W to LED 29W - Retro</v>
      </c>
      <c r="C29" s="45">
        <f>M_Weight!E29</f>
        <v>65.987461954092865</v>
      </c>
      <c r="D29" s="45">
        <f>M_Weight!F29</f>
        <v>14.186046511627907</v>
      </c>
      <c r="E29" s="45">
        <f>M_Weight!G29</f>
        <v>21.673265650078871</v>
      </c>
      <c r="G29" s="45" t="str">
        <f>M_Weight!I29</f>
        <v>S-All-Lgt-Streetlight-All-All-U</v>
      </c>
      <c r="I29" s="45">
        <f>M_Weight!K29</f>
        <v>-4.0543416127582557</v>
      </c>
      <c r="J29" s="45">
        <f>M_Weight!L29</f>
        <v>5.5813953488372094</v>
      </c>
      <c r="Q29" s="51" t="str">
        <f>'Savings and Cost Analysis'!BW34</f>
        <v>R</v>
      </c>
    </row>
    <row r="30" spans="1:17">
      <c r="A30" s="45" t="str">
        <f>M_Weight!C30</f>
        <v>Exterior Lighting: Walkway - CFL 26W - Retro</v>
      </c>
      <c r="B30" s="45" t="str">
        <f>M_Weight!D30</f>
        <v>Exterior Lighting: Walkway - CFL 26W to LED 12W - Retro</v>
      </c>
      <c r="C30" s="45">
        <f>M_Weight!E30</f>
        <v>2.3112289292682102</v>
      </c>
      <c r="D30" s="45">
        <f>M_Weight!F30</f>
        <v>6.6762790697674417</v>
      </c>
      <c r="E30" s="45">
        <f>M_Weight!G30</f>
        <v>1.0315522391340137</v>
      </c>
      <c r="G30" s="45" t="str">
        <f>M_Weight!I30</f>
        <v>S-All-Lgt-Streetlight-All-All-U</v>
      </c>
      <c r="I30" s="45">
        <f>M_Weight!K30</f>
        <v>-0.33142343072491642</v>
      </c>
      <c r="J30" s="45">
        <f>M_Weight!L30</f>
        <v>2.3255813953488373</v>
      </c>
      <c r="Q30" s="51" t="str">
        <f>'Savings and Cost Analysis'!BW35</f>
        <v>R</v>
      </c>
    </row>
    <row r="31" spans="1:17">
      <c r="A31" s="45" t="str">
        <f>M_Weight!C31</f>
        <v>Exterior Lighting: Walkway - INC 75W - Retro</v>
      </c>
      <c r="B31" s="45" t="str">
        <f>M_Weight!D31</f>
        <v>Exterior Lighting: Walkway - INC 75W to LED 12W - Retro</v>
      </c>
      <c r="C31" s="45">
        <f>M_Weight!E31</f>
        <v>1.7156302515732005</v>
      </c>
      <c r="D31" s="45">
        <f>M_Weight!F31</f>
        <v>6.6762790697674417</v>
      </c>
      <c r="E31" s="45">
        <f>M_Weight!G31</f>
        <v>0.18729926518091722</v>
      </c>
      <c r="G31" s="45" t="str">
        <f>M_Weight!I31</f>
        <v>S-All-Lgt-Streetlight-All-All-U</v>
      </c>
      <c r="I31" s="45">
        <f>M_Weight!K31</f>
        <v>-5.5390635160910709E-2</v>
      </c>
      <c r="J31" s="45">
        <f>M_Weight!L31</f>
        <v>0.23255813953488372</v>
      </c>
      <c r="Q31" s="51" t="str">
        <f>'Savings and Cost Analysis'!BW36</f>
        <v>R</v>
      </c>
    </row>
    <row r="34" spans="1:13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row>
    <row r="35" spans="1:131">
      <c r="A35" s="201" t="s">
        <v>438</v>
      </c>
      <c r="B35" s="202"/>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row>
    <row r="36" spans="1:131">
      <c r="A36" s="24" t="s">
        <v>439</v>
      </c>
      <c r="B36" s="24" t="s">
        <v>440</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row>
    <row r="37" spans="1:131">
      <c r="A37" s="24" t="s">
        <v>441</v>
      </c>
      <c r="B37" s="24" t="s">
        <v>1001</v>
      </c>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row>
    <row r="38" spans="1:13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row>
    <row r="39" spans="1:131" ht="13.5" thickBot="1">
      <c r="A39" s="187" t="s">
        <v>442</v>
      </c>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188"/>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row>
    <row r="40" spans="1:131">
      <c r="A40" s="24"/>
      <c r="B40" s="204" t="s">
        <v>443</v>
      </c>
      <c r="C40" s="205"/>
      <c r="D40" s="205" t="s">
        <v>443</v>
      </c>
      <c r="E40" s="206"/>
      <c r="F40" s="24"/>
      <c r="G40" s="204" t="s">
        <v>444</v>
      </c>
      <c r="H40" s="205"/>
      <c r="I40" s="205"/>
      <c r="J40" s="205"/>
      <c r="K40" s="205"/>
      <c r="L40" s="205"/>
      <c r="M40" s="205"/>
      <c r="N40" s="205"/>
      <c r="O40" s="206"/>
      <c r="P40" s="24"/>
      <c r="Q40" s="204" t="s">
        <v>445</v>
      </c>
      <c r="R40" s="205"/>
      <c r="S40" s="205"/>
      <c r="T40" s="205"/>
      <c r="U40" s="206"/>
      <c r="V40" s="24"/>
      <c r="W40" s="204" t="s">
        <v>446</v>
      </c>
      <c r="X40" s="206"/>
      <c r="Y40" s="24"/>
      <c r="Z40" s="204" t="s">
        <v>447</v>
      </c>
      <c r="AA40" s="205"/>
      <c r="AB40" s="20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row>
    <row r="41" spans="1:131">
      <c r="A41" s="24"/>
      <c r="B41" s="207" t="s">
        <v>448</v>
      </c>
      <c r="C41" s="208" t="s">
        <v>449</v>
      </c>
      <c r="D41" s="208" t="s">
        <v>448</v>
      </c>
      <c r="E41" s="209" t="s">
        <v>449</v>
      </c>
      <c r="F41" s="24"/>
      <c r="G41" s="207" t="s">
        <v>450</v>
      </c>
      <c r="H41" s="208" t="s">
        <v>888</v>
      </c>
      <c r="I41" s="208"/>
      <c r="J41" s="208"/>
      <c r="K41" s="208" t="s">
        <v>452</v>
      </c>
      <c r="L41" s="208"/>
      <c r="M41" s="208"/>
      <c r="N41" s="208"/>
      <c r="O41" s="209"/>
      <c r="P41" s="24"/>
      <c r="Q41" s="207"/>
      <c r="R41" s="208" t="s">
        <v>453</v>
      </c>
      <c r="S41" s="208" t="s">
        <v>454</v>
      </c>
      <c r="T41" s="208" t="s">
        <v>455</v>
      </c>
      <c r="U41" s="209" t="s">
        <v>456</v>
      </c>
      <c r="V41" s="24"/>
      <c r="W41" s="207" t="s">
        <v>457</v>
      </c>
      <c r="X41" s="209">
        <v>20</v>
      </c>
      <c r="Y41" s="24"/>
      <c r="Z41" s="207"/>
      <c r="AA41" s="208" t="s">
        <v>449</v>
      </c>
      <c r="AB41" s="209" t="s">
        <v>458</v>
      </c>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row>
    <row r="42" spans="1:131">
      <c r="A42" s="24"/>
      <c r="B42" s="207" t="s">
        <v>459</v>
      </c>
      <c r="C42" s="208" t="s">
        <v>460</v>
      </c>
      <c r="D42" s="208" t="s">
        <v>459</v>
      </c>
      <c r="E42" s="209" t="s">
        <v>460</v>
      </c>
      <c r="F42" s="24"/>
      <c r="G42" s="207" t="s">
        <v>461</v>
      </c>
      <c r="H42" s="208" t="s">
        <v>462</v>
      </c>
      <c r="I42" s="208"/>
      <c r="J42" s="208"/>
      <c r="K42" s="208" t="s">
        <v>463</v>
      </c>
      <c r="L42" s="208"/>
      <c r="M42" s="208"/>
      <c r="N42" s="208"/>
      <c r="O42" s="209"/>
      <c r="P42" s="24"/>
      <c r="Q42" s="207" t="s">
        <v>464</v>
      </c>
      <c r="R42" s="208">
        <v>6.8012888465852586E-2</v>
      </c>
      <c r="S42" s="208">
        <v>4.387844424080023E-2</v>
      </c>
      <c r="T42" s="208">
        <v>5.3289007766645871E-2</v>
      </c>
      <c r="U42" s="209">
        <v>5.447903102274565E-2</v>
      </c>
      <c r="V42" s="24"/>
      <c r="W42" s="207" t="s">
        <v>465</v>
      </c>
      <c r="X42" s="209">
        <v>2016</v>
      </c>
      <c r="Y42" s="24"/>
      <c r="Z42" s="207" t="s">
        <v>466</v>
      </c>
      <c r="AA42" s="208">
        <v>0.03</v>
      </c>
      <c r="AB42" s="209">
        <v>0.01</v>
      </c>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row>
    <row r="43" spans="1:131">
      <c r="A43" s="24"/>
      <c r="B43" s="207" t="s">
        <v>467</v>
      </c>
      <c r="C43" s="208" t="s">
        <v>468</v>
      </c>
      <c r="D43" s="208" t="s">
        <v>467</v>
      </c>
      <c r="E43" s="209" t="s">
        <v>468</v>
      </c>
      <c r="F43" s="24"/>
      <c r="G43" s="207" t="s">
        <v>469</v>
      </c>
      <c r="H43" s="208" t="s">
        <v>470</v>
      </c>
      <c r="I43" s="208"/>
      <c r="J43" s="208"/>
      <c r="K43" s="208" t="s">
        <v>471</v>
      </c>
      <c r="L43" s="208"/>
      <c r="M43" s="208"/>
      <c r="N43" s="208"/>
      <c r="O43" s="209"/>
      <c r="P43" s="24"/>
      <c r="Q43" s="207" t="s">
        <v>472</v>
      </c>
      <c r="R43" s="208">
        <v>12</v>
      </c>
      <c r="S43" s="208">
        <v>12</v>
      </c>
      <c r="T43" s="208">
        <v>1</v>
      </c>
      <c r="U43" s="209">
        <v>1</v>
      </c>
      <c r="V43" s="24"/>
      <c r="W43" s="207" t="s">
        <v>473</v>
      </c>
      <c r="X43" s="209">
        <v>2016</v>
      </c>
      <c r="Y43" s="24"/>
      <c r="Z43" s="207" t="s">
        <v>474</v>
      </c>
      <c r="AA43" s="208">
        <v>26</v>
      </c>
      <c r="AB43" s="209">
        <v>0</v>
      </c>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row>
    <row r="44" spans="1:131" ht="13.5" thickBot="1">
      <c r="A44" s="24"/>
      <c r="B44" s="210" t="s">
        <v>475</v>
      </c>
      <c r="C44" s="211" t="s">
        <v>468</v>
      </c>
      <c r="D44" s="211" t="s">
        <v>475</v>
      </c>
      <c r="E44" s="212" t="s">
        <v>468</v>
      </c>
      <c r="F44" s="24"/>
      <c r="G44" s="207" t="s">
        <v>476</v>
      </c>
      <c r="H44" s="208" t="s">
        <v>477</v>
      </c>
      <c r="I44" s="208"/>
      <c r="J44" s="208"/>
      <c r="K44" s="208" t="s">
        <v>463</v>
      </c>
      <c r="L44" s="208"/>
      <c r="M44" s="208"/>
      <c r="N44" s="208"/>
      <c r="O44" s="209"/>
      <c r="P44" s="24"/>
      <c r="Q44" s="207"/>
      <c r="R44" s="208" t="s">
        <v>453</v>
      </c>
      <c r="S44" s="208" t="s">
        <v>454</v>
      </c>
      <c r="T44" s="208" t="s">
        <v>455</v>
      </c>
      <c r="U44" s="209" t="s">
        <v>456</v>
      </c>
      <c r="V44" s="24"/>
      <c r="W44" s="207" t="s">
        <v>478</v>
      </c>
      <c r="X44" s="209">
        <v>2012</v>
      </c>
      <c r="Y44" s="24"/>
      <c r="Z44" s="207" t="s">
        <v>479</v>
      </c>
      <c r="AA44" s="208">
        <v>0.9</v>
      </c>
      <c r="AB44" s="209" t="s">
        <v>274</v>
      </c>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row>
    <row r="45" spans="1:131">
      <c r="A45" s="24"/>
      <c r="B45" s="24"/>
      <c r="C45" s="24"/>
      <c r="D45" s="24"/>
      <c r="E45" s="24"/>
      <c r="F45" s="24"/>
      <c r="G45" s="207" t="s">
        <v>480</v>
      </c>
      <c r="H45" s="208" t="s">
        <v>470</v>
      </c>
      <c r="I45" s="208"/>
      <c r="J45" s="208"/>
      <c r="K45" s="208"/>
      <c r="L45" s="208"/>
      <c r="M45" s="208"/>
      <c r="N45" s="208"/>
      <c r="O45" s="209"/>
      <c r="P45" s="24"/>
      <c r="Q45" s="207" t="s">
        <v>481</v>
      </c>
      <c r="R45" s="208">
        <v>0.35</v>
      </c>
      <c r="S45" s="208">
        <v>0.19500000000000001</v>
      </c>
      <c r="T45" s="208">
        <v>4.8749999999999988E-2</v>
      </c>
      <c r="U45" s="209">
        <v>0.40625</v>
      </c>
      <c r="V45" s="24"/>
      <c r="W45" s="207" t="s">
        <v>482</v>
      </c>
      <c r="X45" s="209">
        <v>0.04</v>
      </c>
      <c r="Y45" s="24"/>
      <c r="Z45" s="207" t="s">
        <v>483</v>
      </c>
      <c r="AA45" s="208">
        <v>5.5E-2</v>
      </c>
      <c r="AB45" s="209">
        <v>0</v>
      </c>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row>
    <row r="46" spans="1:131">
      <c r="A46" s="24"/>
      <c r="B46" s="24" t="s">
        <v>484</v>
      </c>
      <c r="C46" s="24" t="s">
        <v>449</v>
      </c>
      <c r="D46" s="24"/>
      <c r="E46" s="24"/>
      <c r="F46" s="24"/>
      <c r="G46" s="207" t="s">
        <v>485</v>
      </c>
      <c r="H46" s="208" t="s">
        <v>486</v>
      </c>
      <c r="I46" s="208"/>
      <c r="J46" s="208"/>
      <c r="K46" s="208" t="s">
        <v>487</v>
      </c>
      <c r="L46" s="208"/>
      <c r="M46" s="208"/>
      <c r="N46" s="208"/>
      <c r="O46" s="209"/>
      <c r="P46" s="24"/>
      <c r="Q46" s="207" t="s">
        <v>488</v>
      </c>
      <c r="R46" s="208">
        <v>1</v>
      </c>
      <c r="S46" s="208">
        <v>0</v>
      </c>
      <c r="T46" s="208">
        <v>0</v>
      </c>
      <c r="U46" s="209">
        <v>0</v>
      </c>
      <c r="V46" s="24"/>
      <c r="W46" s="207" t="s">
        <v>489</v>
      </c>
      <c r="X46" s="209">
        <v>0</v>
      </c>
      <c r="Y46" s="24"/>
      <c r="Z46" s="207" t="s">
        <v>490</v>
      </c>
      <c r="AA46" s="208">
        <v>31</v>
      </c>
      <c r="AB46" s="209">
        <v>0</v>
      </c>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row>
    <row r="47" spans="1:131">
      <c r="A47" s="24"/>
      <c r="B47" s="24" t="s">
        <v>491</v>
      </c>
      <c r="C47" s="24" t="s">
        <v>492</v>
      </c>
      <c r="D47" s="24"/>
      <c r="E47" s="24"/>
      <c r="F47" s="24"/>
      <c r="G47" s="207" t="s">
        <v>493</v>
      </c>
      <c r="H47" s="208" t="s">
        <v>487</v>
      </c>
      <c r="I47" s="208"/>
      <c r="J47" s="208"/>
      <c r="K47" s="208" t="s">
        <v>494</v>
      </c>
      <c r="L47" s="208"/>
      <c r="M47" s="208"/>
      <c r="N47" s="208"/>
      <c r="O47" s="209"/>
      <c r="P47" s="24"/>
      <c r="Q47" s="207" t="s">
        <v>495</v>
      </c>
      <c r="R47" s="208">
        <v>1</v>
      </c>
      <c r="S47" s="208">
        <v>0</v>
      </c>
      <c r="T47" s="208">
        <v>0</v>
      </c>
      <c r="U47" s="209">
        <v>0</v>
      </c>
      <c r="V47" s="24"/>
      <c r="W47" s="207" t="s">
        <v>496</v>
      </c>
      <c r="X47" s="209">
        <v>0.2</v>
      </c>
      <c r="Y47" s="24"/>
      <c r="Z47" s="207" t="s">
        <v>497</v>
      </c>
      <c r="AA47" s="208">
        <v>0.7</v>
      </c>
      <c r="AB47" s="209" t="s">
        <v>274</v>
      </c>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row>
    <row r="48" spans="1:131">
      <c r="A48" s="24"/>
      <c r="B48" s="24" t="s">
        <v>498</v>
      </c>
      <c r="C48" s="24" t="s">
        <v>499</v>
      </c>
      <c r="D48" s="24"/>
      <c r="E48" s="24"/>
      <c r="F48" s="24"/>
      <c r="G48" s="207" t="s">
        <v>500</v>
      </c>
      <c r="H48" s="208" t="s">
        <v>494</v>
      </c>
      <c r="I48" s="208"/>
      <c r="J48" s="208"/>
      <c r="K48" s="208" t="s">
        <v>501</v>
      </c>
      <c r="L48" s="208"/>
      <c r="M48" s="208"/>
      <c r="N48" s="208"/>
      <c r="O48" s="209"/>
      <c r="P48" s="24"/>
      <c r="Q48" s="207" t="s">
        <v>502</v>
      </c>
      <c r="R48" s="208"/>
      <c r="S48" s="208">
        <v>0.3</v>
      </c>
      <c r="T48" s="208">
        <v>7.4999999999999983E-2</v>
      </c>
      <c r="U48" s="209">
        <v>0.625</v>
      </c>
      <c r="V48" s="24"/>
      <c r="W48" s="207" t="s">
        <v>503</v>
      </c>
      <c r="X48" s="209">
        <v>0.1</v>
      </c>
      <c r="Y48" s="24"/>
      <c r="Z48" s="207" t="s">
        <v>504</v>
      </c>
      <c r="AA48" s="208">
        <v>0</v>
      </c>
      <c r="AB48" s="209">
        <v>0</v>
      </c>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row>
    <row r="49" spans="1:131" ht="13.5" thickBot="1">
      <c r="A49" s="24"/>
      <c r="B49" s="24" t="s">
        <v>505</v>
      </c>
      <c r="C49" s="24" t="s">
        <v>506</v>
      </c>
      <c r="D49" s="24"/>
      <c r="E49" s="24"/>
      <c r="F49" s="24"/>
      <c r="G49" s="210" t="s">
        <v>507</v>
      </c>
      <c r="H49" s="211" t="s">
        <v>501</v>
      </c>
      <c r="I49" s="211"/>
      <c r="J49" s="211"/>
      <c r="K49" s="211"/>
      <c r="L49" s="211"/>
      <c r="M49" s="211"/>
      <c r="N49" s="211"/>
      <c r="O49" s="212"/>
      <c r="P49" s="24"/>
      <c r="Q49" s="210" t="s">
        <v>508</v>
      </c>
      <c r="R49" s="211"/>
      <c r="S49" s="211">
        <v>20</v>
      </c>
      <c r="T49" s="211"/>
      <c r="U49" s="212"/>
      <c r="V49" s="24"/>
      <c r="W49" s="210" t="s">
        <v>509</v>
      </c>
      <c r="X49" s="212">
        <v>2018</v>
      </c>
      <c r="Y49" s="24"/>
      <c r="Z49" s="210" t="s">
        <v>510</v>
      </c>
      <c r="AA49" s="211">
        <v>0</v>
      </c>
      <c r="AB49" s="212">
        <v>0</v>
      </c>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row>
    <row r="50" spans="1:13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row>
    <row r="51" spans="1:13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row>
    <row r="52" spans="1:13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row>
    <row r="53" spans="1:13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row>
    <row r="54" spans="1:13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row>
    <row r="55" spans="1:13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row>
    <row r="56" spans="1:13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row>
    <row r="57" spans="1:131" ht="13.5" thickBot="1">
      <c r="A57" s="187" t="s">
        <v>511</v>
      </c>
      <c r="B57" s="188"/>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row>
    <row r="58" spans="1:131" ht="26.25" thickBot="1">
      <c r="A58" s="213" t="s">
        <v>512</v>
      </c>
      <c r="B58" s="214"/>
      <c r="C58" s="215" t="s">
        <v>513</v>
      </c>
      <c r="D58" s="216"/>
      <c r="E58" s="216"/>
      <c r="F58" s="216"/>
      <c r="G58" s="216"/>
      <c r="H58" s="216"/>
      <c r="I58" s="216"/>
      <c r="J58" s="216"/>
      <c r="K58" s="217"/>
      <c r="L58" s="215" t="s">
        <v>514</v>
      </c>
      <c r="M58" s="216"/>
      <c r="N58" s="216"/>
      <c r="O58" s="216"/>
      <c r="P58" s="216"/>
      <c r="Q58" s="217"/>
      <c r="R58" s="215" t="s">
        <v>515</v>
      </c>
      <c r="S58" s="216"/>
      <c r="T58" s="216"/>
      <c r="U58" s="217"/>
      <c r="V58" s="215" t="s">
        <v>516</v>
      </c>
      <c r="W58" s="216"/>
      <c r="X58" s="216"/>
      <c r="Y58" s="217"/>
      <c r="Z58" s="215" t="s">
        <v>517</v>
      </c>
      <c r="AA58" s="216"/>
      <c r="AB58" s="216"/>
      <c r="AC58" s="217"/>
      <c r="AD58" s="215" t="s">
        <v>518</v>
      </c>
      <c r="AE58" s="216"/>
      <c r="AF58" s="216"/>
      <c r="AG58" s="217"/>
      <c r="AH58" s="215" t="s">
        <v>519</v>
      </c>
      <c r="AI58" s="216"/>
      <c r="AJ58" s="216"/>
      <c r="AK58" s="216"/>
      <c r="AL58" s="217"/>
      <c r="AM58" s="215" t="s">
        <v>520</v>
      </c>
      <c r="AN58" s="216"/>
      <c r="AO58" s="216"/>
      <c r="AP58" s="216"/>
      <c r="AQ58" s="216"/>
      <c r="AR58" s="216"/>
      <c r="AS58" s="217"/>
      <c r="AT58" s="215" t="s">
        <v>521</v>
      </c>
      <c r="AU58" s="216"/>
      <c r="AV58" s="216"/>
      <c r="AW58" s="216"/>
      <c r="AX58" s="216"/>
      <c r="AY58" s="216"/>
      <c r="AZ58" s="217"/>
      <c r="BA58" s="215" t="s">
        <v>522</v>
      </c>
      <c r="BB58" s="216"/>
      <c r="BC58" s="216"/>
      <c r="BD58" s="216"/>
      <c r="BE58" s="216"/>
      <c r="BF58" s="217"/>
      <c r="BG58" s="215" t="s">
        <v>523</v>
      </c>
      <c r="BH58" s="217"/>
      <c r="BI58" s="215" t="s">
        <v>524</v>
      </c>
      <c r="BJ58" s="216"/>
      <c r="BK58" s="216"/>
      <c r="BL58" s="216"/>
      <c r="BM58" s="217"/>
      <c r="BN58" s="215" t="s">
        <v>525</v>
      </c>
      <c r="BO58" s="216"/>
      <c r="BP58" s="216"/>
      <c r="BQ58" s="216"/>
      <c r="BR58" s="216"/>
      <c r="BS58" s="216"/>
      <c r="BT58" s="216"/>
      <c r="BU58" s="216"/>
      <c r="BV58" s="216"/>
      <c r="BW58" s="216"/>
      <c r="BX58" s="216"/>
      <c r="BY58" s="216"/>
      <c r="BZ58" s="216"/>
      <c r="CA58" s="216"/>
      <c r="CB58" s="216"/>
      <c r="CC58" s="217"/>
      <c r="CD58" s="215" t="s">
        <v>526</v>
      </c>
      <c r="CE58" s="217"/>
      <c r="CF58" s="215" t="s">
        <v>527</v>
      </c>
      <c r="CG58" s="216"/>
      <c r="CH58" s="216"/>
      <c r="CI58" s="216"/>
      <c r="CJ58" s="216"/>
      <c r="CK58" s="217"/>
      <c r="CL58" s="218"/>
      <c r="CM58" s="215" t="s">
        <v>19</v>
      </c>
      <c r="CN58" s="216"/>
      <c r="CO58" s="216"/>
      <c r="CP58" s="217"/>
      <c r="CQ58" s="215" t="s">
        <v>528</v>
      </c>
      <c r="CR58" s="216"/>
      <c r="CS58" s="216"/>
      <c r="CT58" s="216"/>
      <c r="CU58" s="217"/>
      <c r="CV58" s="215" t="s">
        <v>529</v>
      </c>
      <c r="CW58" s="217"/>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row>
    <row r="59" spans="1:131" ht="127.5">
      <c r="A59" s="195" t="s">
        <v>388</v>
      </c>
      <c r="B59" s="196" t="s">
        <v>389</v>
      </c>
      <c r="C59" s="197" t="s">
        <v>11</v>
      </c>
      <c r="D59" s="197" t="s">
        <v>530</v>
      </c>
      <c r="E59" s="197" t="s">
        <v>531</v>
      </c>
      <c r="F59" s="197" t="s">
        <v>532</v>
      </c>
      <c r="G59" s="197" t="s">
        <v>533</v>
      </c>
      <c r="H59" s="197" t="s">
        <v>534</v>
      </c>
      <c r="I59" s="197" t="s">
        <v>535</v>
      </c>
      <c r="J59" s="197" t="s">
        <v>536</v>
      </c>
      <c r="K59" s="197" t="s">
        <v>537</v>
      </c>
      <c r="L59" s="197" t="s">
        <v>538</v>
      </c>
      <c r="M59" s="197" t="s">
        <v>539</v>
      </c>
      <c r="N59" s="197" t="s">
        <v>540</v>
      </c>
      <c r="O59" s="197" t="s">
        <v>541</v>
      </c>
      <c r="P59" s="197" t="s">
        <v>542</v>
      </c>
      <c r="Q59" s="197" t="s">
        <v>543</v>
      </c>
      <c r="R59" s="197" t="s">
        <v>544</v>
      </c>
      <c r="S59" s="197" t="s">
        <v>545</v>
      </c>
      <c r="T59" s="197" t="s">
        <v>546</v>
      </c>
      <c r="U59" s="197" t="s">
        <v>453</v>
      </c>
      <c r="V59" s="197" t="s">
        <v>544</v>
      </c>
      <c r="W59" s="197" t="s">
        <v>545</v>
      </c>
      <c r="X59" s="197" t="s">
        <v>546</v>
      </c>
      <c r="Y59" s="197" t="s">
        <v>453</v>
      </c>
      <c r="Z59" s="197" t="s">
        <v>544</v>
      </c>
      <c r="AA59" s="197" t="s">
        <v>545</v>
      </c>
      <c r="AB59" s="197" t="s">
        <v>546</v>
      </c>
      <c r="AC59" s="197" t="s">
        <v>453</v>
      </c>
      <c r="AD59" s="197" t="s">
        <v>544</v>
      </c>
      <c r="AE59" s="197" t="s">
        <v>545</v>
      </c>
      <c r="AF59" s="197" t="s">
        <v>546</v>
      </c>
      <c r="AG59" s="197" t="s">
        <v>453</v>
      </c>
      <c r="AH59" s="197" t="s">
        <v>544</v>
      </c>
      <c r="AI59" s="197" t="s">
        <v>545</v>
      </c>
      <c r="AJ59" s="197" t="s">
        <v>546</v>
      </c>
      <c r="AK59" s="197" t="s">
        <v>453</v>
      </c>
      <c r="AL59" s="197" t="s">
        <v>547</v>
      </c>
      <c r="AM59" s="197" t="s">
        <v>548</v>
      </c>
      <c r="AN59" s="197" t="s">
        <v>549</v>
      </c>
      <c r="AO59" s="197" t="s">
        <v>550</v>
      </c>
      <c r="AP59" s="197" t="s">
        <v>551</v>
      </c>
      <c r="AQ59" s="197" t="s">
        <v>552</v>
      </c>
      <c r="AR59" s="197" t="s">
        <v>553</v>
      </c>
      <c r="AS59" s="197" t="s">
        <v>554</v>
      </c>
      <c r="AT59" s="197" t="s">
        <v>555</v>
      </c>
      <c r="AU59" s="197" t="s">
        <v>556</v>
      </c>
      <c r="AV59" s="197" t="s">
        <v>557</v>
      </c>
      <c r="AW59" s="197" t="s">
        <v>558</v>
      </c>
      <c r="AX59" s="197" t="s">
        <v>559</v>
      </c>
      <c r="AY59" s="197" t="s">
        <v>560</v>
      </c>
      <c r="AZ59" s="197" t="s">
        <v>561</v>
      </c>
      <c r="BA59" s="197" t="s">
        <v>562</v>
      </c>
      <c r="BB59" s="197" t="s">
        <v>563</v>
      </c>
      <c r="BC59" s="197" t="s">
        <v>564</v>
      </c>
      <c r="BD59" s="197" t="s">
        <v>565</v>
      </c>
      <c r="BE59" s="197" t="s">
        <v>566</v>
      </c>
      <c r="BF59" s="197" t="s">
        <v>567</v>
      </c>
      <c r="BG59" s="197" t="s">
        <v>568</v>
      </c>
      <c r="BH59" s="197" t="s">
        <v>569</v>
      </c>
      <c r="BI59" s="197" t="s">
        <v>570</v>
      </c>
      <c r="BJ59" s="197" t="s">
        <v>571</v>
      </c>
      <c r="BK59" s="197" t="s">
        <v>572</v>
      </c>
      <c r="BL59" s="197" t="s">
        <v>573</v>
      </c>
      <c r="BM59" s="197" t="s">
        <v>574</v>
      </c>
      <c r="BN59" s="197" t="s">
        <v>575</v>
      </c>
      <c r="BO59" s="197" t="s">
        <v>576</v>
      </c>
      <c r="BP59" s="197" t="s">
        <v>577</v>
      </c>
      <c r="BQ59" s="197" t="s">
        <v>578</v>
      </c>
      <c r="BR59" s="197" t="s">
        <v>579</v>
      </c>
      <c r="BS59" s="197" t="s">
        <v>580</v>
      </c>
      <c r="BT59" s="197" t="s">
        <v>581</v>
      </c>
      <c r="BU59" s="197" t="s">
        <v>582</v>
      </c>
      <c r="BV59" s="197" t="s">
        <v>583</v>
      </c>
      <c r="BW59" s="197" t="s">
        <v>584</v>
      </c>
      <c r="BX59" s="197" t="s">
        <v>585</v>
      </c>
      <c r="BY59" s="197" t="s">
        <v>586</v>
      </c>
      <c r="BZ59" s="197" t="s">
        <v>587</v>
      </c>
      <c r="CA59" s="197" t="s">
        <v>588</v>
      </c>
      <c r="CB59" s="197" t="s">
        <v>589</v>
      </c>
      <c r="CC59" s="197" t="s">
        <v>590</v>
      </c>
      <c r="CD59" s="197" t="s">
        <v>399</v>
      </c>
      <c r="CE59" s="197" t="s">
        <v>398</v>
      </c>
      <c r="CF59" s="197" t="s">
        <v>591</v>
      </c>
      <c r="CG59" s="197" t="s">
        <v>592</v>
      </c>
      <c r="CH59" s="197" t="s">
        <v>593</v>
      </c>
      <c r="CI59" s="197" t="s">
        <v>594</v>
      </c>
      <c r="CJ59" s="197" t="s">
        <v>595</v>
      </c>
      <c r="CK59" s="197" t="s">
        <v>596</v>
      </c>
      <c r="CL59" s="197"/>
      <c r="CM59" s="197" t="s">
        <v>597</v>
      </c>
      <c r="CN59" s="197" t="s">
        <v>598</v>
      </c>
      <c r="CO59" s="197" t="s">
        <v>599</v>
      </c>
      <c r="CP59" s="197" t="s">
        <v>600</v>
      </c>
      <c r="CQ59" s="197" t="s">
        <v>601</v>
      </c>
      <c r="CR59" s="197" t="s">
        <v>602</v>
      </c>
      <c r="CS59" s="197" t="s">
        <v>603</v>
      </c>
      <c r="CT59" s="197" t="s">
        <v>604</v>
      </c>
      <c r="CU59" s="197" t="s">
        <v>605</v>
      </c>
      <c r="CV59" s="197" t="s">
        <v>606</v>
      </c>
      <c r="CW59" s="219" t="s">
        <v>607</v>
      </c>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row>
    <row r="60" spans="1:131">
      <c r="A60" s="24" t="s">
        <v>414</v>
      </c>
      <c r="B60" s="24" t="s">
        <v>608</v>
      </c>
      <c r="C60" s="45">
        <v>16.279069767441861</v>
      </c>
      <c r="D60" s="45">
        <v>130.19651169604927</v>
      </c>
      <c r="E60" s="45">
        <v>0</v>
      </c>
      <c r="F60" s="45">
        <v>0.35225089298694362</v>
      </c>
      <c r="G60" s="45">
        <v>0</v>
      </c>
      <c r="H60" s="45">
        <v>-6.2631594097944996</v>
      </c>
      <c r="I60" s="45" t="s">
        <v>369</v>
      </c>
      <c r="J60" s="45"/>
      <c r="K60" s="45"/>
      <c r="L60" s="45">
        <v>147.30939530738755</v>
      </c>
      <c r="M60" s="45">
        <v>3.4432533259467366E-2</v>
      </c>
      <c r="N60" s="45">
        <v>3.2668437627578137E-2</v>
      </c>
      <c r="O60" s="45">
        <v>0</v>
      </c>
      <c r="P60" s="45">
        <v>0</v>
      </c>
      <c r="Q60" s="45">
        <v>0</v>
      </c>
      <c r="R60" s="45">
        <v>7.024353360591569E-2</v>
      </c>
      <c r="S60" s="45">
        <v>1.739165594808435E-2</v>
      </c>
      <c r="T60" s="45">
        <v>0.1450942110600662</v>
      </c>
      <c r="U60" s="45">
        <v>0.20671743055763572</v>
      </c>
      <c r="V60" s="45" t="s">
        <v>609</v>
      </c>
      <c r="W60" s="45" t="s">
        <v>609</v>
      </c>
      <c r="X60" s="45" t="s">
        <v>609</v>
      </c>
      <c r="Y60" s="45" t="s">
        <v>609</v>
      </c>
      <c r="Z60" s="45">
        <v>0</v>
      </c>
      <c r="AA60" s="45">
        <v>0</v>
      </c>
      <c r="AB60" s="45">
        <v>0</v>
      </c>
      <c r="AC60" s="45">
        <v>0</v>
      </c>
      <c r="AD60" s="45">
        <v>0</v>
      </c>
      <c r="AE60" s="45">
        <v>0</v>
      </c>
      <c r="AF60" s="45">
        <v>0</v>
      </c>
      <c r="AG60" s="45">
        <v>-6.2631594097944996</v>
      </c>
      <c r="AH60" s="45">
        <v>7.024353360591569E-2</v>
      </c>
      <c r="AI60" s="45">
        <v>1.739165594808435E-2</v>
      </c>
      <c r="AJ60" s="45">
        <v>0.1450942110600662</v>
      </c>
      <c r="AK60" s="45">
        <v>-6.0564419792368636</v>
      </c>
      <c r="AL60" s="45">
        <v>-5.8237125786227972</v>
      </c>
      <c r="AM60" s="45">
        <v>70.652862821423369</v>
      </c>
      <c r="AN60" s="45">
        <v>12.166683460882998</v>
      </c>
      <c r="AO60" s="45">
        <v>8.281954628230638</v>
      </c>
      <c r="AP60" s="45">
        <v>0</v>
      </c>
      <c r="AQ60" s="45">
        <v>91.101500910536998</v>
      </c>
      <c r="AR60" s="45">
        <v>7.024353360591569E-2</v>
      </c>
      <c r="AS60" s="199">
        <v>1296.937899246924</v>
      </c>
      <c r="AT60" s="45">
        <v>70.652862821423369</v>
      </c>
      <c r="AU60" s="45">
        <v>13.763216584709271</v>
      </c>
      <c r="AV60" s="45">
        <v>8.4416079406132649</v>
      </c>
      <c r="AW60" s="45">
        <v>0</v>
      </c>
      <c r="AX60" s="45">
        <v>92.857687346745905</v>
      </c>
      <c r="AY60" s="45">
        <v>1.739165594808435E-2</v>
      </c>
      <c r="AZ60" s="199">
        <v>5339.2090795686399</v>
      </c>
      <c r="BA60" s="45">
        <v>70.652862821423369</v>
      </c>
      <c r="BB60" s="45">
        <v>25.929900045592269</v>
      </c>
      <c r="BC60" s="45">
        <v>9.6582762867015646</v>
      </c>
      <c r="BD60" s="45">
        <v>0</v>
      </c>
      <c r="BE60" s="45">
        <v>106.2410391537172</v>
      </c>
      <c r="BF60" s="45">
        <v>8.7635189554000043E-2</v>
      </c>
      <c r="BG60" s="45">
        <v>-17.73269077267943</v>
      </c>
      <c r="BH60" s="199">
        <v>1212.310256809023</v>
      </c>
      <c r="BI60" s="45">
        <v>3.5086982342204559E-2</v>
      </c>
      <c r="BJ60" s="45">
        <v>8.6872156599585078E-3</v>
      </c>
      <c r="BK60" s="45">
        <v>7.2475255159884261E-2</v>
      </c>
      <c r="BL60" s="45">
        <v>-3.0252218513701594</v>
      </c>
      <c r="BM60" s="45">
        <v>-2.9089723982081122</v>
      </c>
      <c r="BN60" s="45">
        <v>70.652862821423369</v>
      </c>
      <c r="BO60" s="45">
        <v>0</v>
      </c>
      <c r="BP60" s="45">
        <v>25.929900045592269</v>
      </c>
      <c r="BQ60" s="45">
        <v>0</v>
      </c>
      <c r="BR60" s="45">
        <v>0</v>
      </c>
      <c r="BS60" s="45">
        <v>0</v>
      </c>
      <c r="BT60" s="45">
        <v>0</v>
      </c>
      <c r="BU60" s="45">
        <v>0</v>
      </c>
      <c r="BV60" s="45">
        <v>0</v>
      </c>
      <c r="BW60" s="45">
        <v>9.6582762867015646</v>
      </c>
      <c r="BX60" s="45">
        <v>0.43944683117170197</v>
      </c>
      <c r="BY60" s="45"/>
      <c r="BZ60" s="45">
        <v>0</v>
      </c>
      <c r="CA60" s="45">
        <v>-6.2631594097944996</v>
      </c>
      <c r="CB60" s="45">
        <v>106.2410391537172</v>
      </c>
      <c r="CC60" s="45">
        <v>-5.8237125786227972</v>
      </c>
      <c r="CD60" s="199">
        <v>256.0132206745933</v>
      </c>
      <c r="CE60" s="45">
        <v>-20.685437368889712</v>
      </c>
      <c r="CF60" s="45">
        <v>1.3994457324500227</v>
      </c>
      <c r="CG60" s="45">
        <v>0</v>
      </c>
      <c r="CH60" s="45">
        <v>1.3994457324500227</v>
      </c>
      <c r="CI60" s="45">
        <v>6.9971962771009089E-2</v>
      </c>
      <c r="CJ60" s="45">
        <v>0</v>
      </c>
      <c r="CK60" s="45">
        <v>6.9971962771009089E-2</v>
      </c>
      <c r="CL60" s="45"/>
      <c r="CM60" s="45">
        <v>0</v>
      </c>
      <c r="CN60" s="45"/>
      <c r="CO60" s="45">
        <v>0</v>
      </c>
      <c r="CP60" s="45">
        <v>0</v>
      </c>
      <c r="CQ60" s="45">
        <v>0</v>
      </c>
      <c r="CR60" s="45">
        <v>0</v>
      </c>
      <c r="CS60" s="45">
        <v>0</v>
      </c>
      <c r="CT60" s="45">
        <v>0</v>
      </c>
      <c r="CU60" s="45">
        <v>0.1450942110600662</v>
      </c>
      <c r="CV60" s="45">
        <v>9999</v>
      </c>
      <c r="CW60" s="200">
        <v>0</v>
      </c>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row>
    <row r="61" spans="1:131">
      <c r="A61" s="24" t="s">
        <v>424</v>
      </c>
      <c r="B61" s="24" t="s">
        <v>610</v>
      </c>
      <c r="C61" s="45">
        <v>16.279069767441861</v>
      </c>
      <c r="D61" s="45">
        <v>51.403081848075573</v>
      </c>
      <c r="E61" s="45">
        <v>0</v>
      </c>
      <c r="F61" s="45">
        <v>5.3072521232113603</v>
      </c>
      <c r="G61" s="45">
        <v>0</v>
      </c>
      <c r="H61" s="45">
        <v>-3.0955219219923067</v>
      </c>
      <c r="I61" s="45" t="s">
        <v>369</v>
      </c>
      <c r="J61" s="45"/>
      <c r="K61" s="45"/>
      <c r="L61" s="45">
        <v>58.159445328717929</v>
      </c>
      <c r="M61" s="45">
        <v>1.3594360573231034E-2</v>
      </c>
      <c r="N61" s="45">
        <v>1.2897875306670808E-2</v>
      </c>
      <c r="O61" s="45">
        <v>0</v>
      </c>
      <c r="P61" s="45">
        <v>0</v>
      </c>
      <c r="Q61" s="45">
        <v>0</v>
      </c>
      <c r="R61" s="45">
        <v>1.0583369703073617</v>
      </c>
      <c r="S61" s="45">
        <v>0.26203454638240864</v>
      </c>
      <c r="T61" s="45">
        <v>2.1860883110458316</v>
      </c>
      <c r="U61" s="45">
        <v>3.1145457515489503</v>
      </c>
      <c r="V61" s="45" t="s">
        <v>609</v>
      </c>
      <c r="W61" s="45" t="s">
        <v>609</v>
      </c>
      <c r="X61" s="45" t="s">
        <v>609</v>
      </c>
      <c r="Y61" s="45" t="s">
        <v>609</v>
      </c>
      <c r="Z61" s="45">
        <v>0</v>
      </c>
      <c r="AA61" s="45">
        <v>0</v>
      </c>
      <c r="AB61" s="45">
        <v>0</v>
      </c>
      <c r="AC61" s="45">
        <v>0</v>
      </c>
      <c r="AD61" s="45">
        <v>0</v>
      </c>
      <c r="AE61" s="45">
        <v>0</v>
      </c>
      <c r="AF61" s="45">
        <v>0</v>
      </c>
      <c r="AG61" s="45">
        <v>-3.0955219219923067</v>
      </c>
      <c r="AH61" s="45">
        <v>1.0583369703073617</v>
      </c>
      <c r="AI61" s="45">
        <v>0.26203454638240864</v>
      </c>
      <c r="AJ61" s="45">
        <v>2.1860883110458316</v>
      </c>
      <c r="AK61" s="45">
        <v>1.9023829556643612E-2</v>
      </c>
      <c r="AL61" s="45">
        <v>3.5254836572922454</v>
      </c>
      <c r="AM61" s="45">
        <v>27.89456371065501</v>
      </c>
      <c r="AN61" s="45">
        <v>4.8035467126756632</v>
      </c>
      <c r="AO61" s="45">
        <v>3.2698110423330675</v>
      </c>
      <c r="AP61" s="45">
        <v>0</v>
      </c>
      <c r="AQ61" s="45">
        <v>35.967921465663743</v>
      </c>
      <c r="AR61" s="45">
        <v>1.0583369703073617</v>
      </c>
      <c r="AS61" s="199">
        <v>33.985320814426387</v>
      </c>
      <c r="AT61" s="45">
        <v>27.89456371065501</v>
      </c>
      <c r="AU61" s="45">
        <v>5.4338763718050505</v>
      </c>
      <c r="AV61" s="45">
        <v>3.3328440082460062</v>
      </c>
      <c r="AW61" s="45">
        <v>0</v>
      </c>
      <c r="AX61" s="45">
        <v>36.661284090706069</v>
      </c>
      <c r="AY61" s="45">
        <v>0.26203454638240864</v>
      </c>
      <c r="AZ61" s="199">
        <v>139.91011718433199</v>
      </c>
      <c r="BA61" s="45">
        <v>27.89456371065501</v>
      </c>
      <c r="BB61" s="45">
        <v>10.237423084480714</v>
      </c>
      <c r="BC61" s="45">
        <v>3.8131986795135724</v>
      </c>
      <c r="BD61" s="45">
        <v>0</v>
      </c>
      <c r="BE61" s="45">
        <v>41.945185474649293</v>
      </c>
      <c r="BF61" s="45">
        <v>1.3203715166897703</v>
      </c>
      <c r="BG61" s="45">
        <v>-16.105966795656428</v>
      </c>
      <c r="BH61" s="199">
        <v>31.767714574612853</v>
      </c>
      <c r="BI61" s="45">
        <v>1.3389791851102999</v>
      </c>
      <c r="BJ61" s="45">
        <v>0.331518989914874</v>
      </c>
      <c r="BK61" s="45">
        <v>2.7657795460487451</v>
      </c>
      <c r="BL61" s="45">
        <v>2.4068432372757596E-2</v>
      </c>
      <c r="BM61" s="45">
        <v>4.4603461534466762</v>
      </c>
      <c r="BN61" s="45">
        <v>27.89456371065501</v>
      </c>
      <c r="BO61" s="45">
        <v>0</v>
      </c>
      <c r="BP61" s="45">
        <v>10.237423084480714</v>
      </c>
      <c r="BQ61" s="45">
        <v>0</v>
      </c>
      <c r="BR61" s="45">
        <v>0</v>
      </c>
      <c r="BS61" s="45">
        <v>0</v>
      </c>
      <c r="BT61" s="45">
        <v>0</v>
      </c>
      <c r="BU61" s="45">
        <v>0</v>
      </c>
      <c r="BV61" s="45">
        <v>0</v>
      </c>
      <c r="BW61" s="45">
        <v>3.8131986795135724</v>
      </c>
      <c r="BX61" s="45">
        <v>6.6210055792845521</v>
      </c>
      <c r="BY61" s="45"/>
      <c r="BZ61" s="45">
        <v>0</v>
      </c>
      <c r="CA61" s="45">
        <v>-3.0955219219923067</v>
      </c>
      <c r="CB61" s="45">
        <v>41.9451854746493</v>
      </c>
      <c r="CC61" s="45">
        <v>3.5254836572922454</v>
      </c>
      <c r="CD61" s="199">
        <v>6.8026989038587367</v>
      </c>
      <c r="CE61" s="45">
        <v>-13.316118817234928</v>
      </c>
      <c r="CF61" s="45">
        <v>0.55251728782877529</v>
      </c>
      <c r="CG61" s="45">
        <v>0</v>
      </c>
      <c r="CH61" s="45">
        <v>0.55251728782877529</v>
      </c>
      <c r="CI61" s="45">
        <v>2.7625736531141015E-2</v>
      </c>
      <c r="CJ61" s="45">
        <v>0</v>
      </c>
      <c r="CK61" s="45">
        <v>2.7625736531141015E-2</v>
      </c>
      <c r="CL61" s="45"/>
      <c r="CM61" s="45">
        <v>0</v>
      </c>
      <c r="CN61" s="45"/>
      <c r="CO61" s="45">
        <v>0</v>
      </c>
      <c r="CP61" s="45">
        <v>0</v>
      </c>
      <c r="CQ61" s="45">
        <v>0</v>
      </c>
      <c r="CR61" s="45">
        <v>0</v>
      </c>
      <c r="CS61" s="45">
        <v>0</v>
      </c>
      <c r="CT61" s="45">
        <v>0</v>
      </c>
      <c r="CU61" s="45">
        <v>2.1860883110458316</v>
      </c>
      <c r="CV61" s="45">
        <v>9999</v>
      </c>
      <c r="CW61" s="200">
        <v>0</v>
      </c>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row>
    <row r="62" spans="1:131">
      <c r="A62" s="24" t="s">
        <v>425</v>
      </c>
      <c r="B62" s="24" t="s">
        <v>611</v>
      </c>
      <c r="C62" s="45">
        <v>16.279069767441861</v>
      </c>
      <c r="D62" s="45">
        <v>6.2518603404583653</v>
      </c>
      <c r="E62" s="45">
        <v>0</v>
      </c>
      <c r="F62" s="45">
        <v>1.0527185054529571</v>
      </c>
      <c r="G62" s="45">
        <v>0</v>
      </c>
      <c r="H62" s="45">
        <v>-0.16539163790882275</v>
      </c>
      <c r="I62" s="45" t="s">
        <v>369</v>
      </c>
      <c r="J62" s="45"/>
      <c r="K62" s="45"/>
      <c r="L62" s="45">
        <v>7.0735978583603307</v>
      </c>
      <c r="M62" s="45">
        <v>1.6534036611436324E-3</v>
      </c>
      <c r="N62" s="45">
        <v>1.5686941756580951E-3</v>
      </c>
      <c r="O62" s="45">
        <v>0</v>
      </c>
      <c r="P62" s="45">
        <v>0</v>
      </c>
      <c r="Q62" s="45">
        <v>0</v>
      </c>
      <c r="R62" s="45">
        <v>0.20992613272976152</v>
      </c>
      <c r="S62" s="45">
        <v>5.197578890934991E-2</v>
      </c>
      <c r="T62" s="45">
        <v>0.43362093342568286</v>
      </c>
      <c r="U62" s="45">
        <v>0.61778484847098958</v>
      </c>
      <c r="V62" s="45" t="s">
        <v>609</v>
      </c>
      <c r="W62" s="45" t="s">
        <v>609</v>
      </c>
      <c r="X62" s="45" t="s">
        <v>609</v>
      </c>
      <c r="Y62" s="45" t="s">
        <v>609</v>
      </c>
      <c r="Z62" s="45">
        <v>0</v>
      </c>
      <c r="AA62" s="45">
        <v>0</v>
      </c>
      <c r="AB62" s="45">
        <v>0</v>
      </c>
      <c r="AC62" s="45">
        <v>0</v>
      </c>
      <c r="AD62" s="45">
        <v>0</v>
      </c>
      <c r="AE62" s="45">
        <v>0</v>
      </c>
      <c r="AF62" s="45">
        <v>0</v>
      </c>
      <c r="AG62" s="45">
        <v>-0.16539163790882275</v>
      </c>
      <c r="AH62" s="45">
        <v>0.20992613272976152</v>
      </c>
      <c r="AI62" s="45">
        <v>5.197578890934991E-2</v>
      </c>
      <c r="AJ62" s="45">
        <v>0.43362093342568286</v>
      </c>
      <c r="AK62" s="45">
        <v>0.45239321056216686</v>
      </c>
      <c r="AL62" s="45">
        <v>1.1479160656269611</v>
      </c>
      <c r="AM62" s="45">
        <v>3.39265488190884</v>
      </c>
      <c r="AN62" s="45">
        <v>0.58422767870756454</v>
      </c>
      <c r="AO62" s="45">
        <v>0.39768825606164049</v>
      </c>
      <c r="AP62" s="45">
        <v>0</v>
      </c>
      <c r="AQ62" s="45">
        <v>4.3745708166780455</v>
      </c>
      <c r="AR62" s="45">
        <v>0.20992613272976152</v>
      </c>
      <c r="AS62" s="199">
        <v>20.838619564861144</v>
      </c>
      <c r="AT62" s="45">
        <v>3.39265488190884</v>
      </c>
      <c r="AU62" s="45">
        <v>0.66089103926195092</v>
      </c>
      <c r="AV62" s="45">
        <v>0.40535459211707914</v>
      </c>
      <c r="AW62" s="45">
        <v>0</v>
      </c>
      <c r="AX62" s="45">
        <v>4.4589005132878698</v>
      </c>
      <c r="AY62" s="45">
        <v>5.197578890934991E-2</v>
      </c>
      <c r="AZ62" s="199">
        <v>85.788029520139901</v>
      </c>
      <c r="BA62" s="45">
        <v>3.39265488190884</v>
      </c>
      <c r="BB62" s="45">
        <v>1.2451187179695156</v>
      </c>
      <c r="BC62" s="45">
        <v>0.46377735998783559</v>
      </c>
      <c r="BD62" s="45">
        <v>0</v>
      </c>
      <c r="BE62" s="45">
        <v>5.1015509598661906</v>
      </c>
      <c r="BF62" s="45">
        <v>0.26190192163911141</v>
      </c>
      <c r="BG62" s="45">
        <v>-15.052080266529886</v>
      </c>
      <c r="BH62" s="199">
        <v>19.478860360925069</v>
      </c>
      <c r="BI62" s="45">
        <v>2.1837164898651005</v>
      </c>
      <c r="BJ62" s="45">
        <v>0.5406682142866146</v>
      </c>
      <c r="BK62" s="45">
        <v>4.5106589177790184</v>
      </c>
      <c r="BL62" s="45">
        <v>4.7059339442952668</v>
      </c>
      <c r="BM62" s="45">
        <v>11.940977566226</v>
      </c>
      <c r="BN62" s="45">
        <v>3.39265488190884</v>
      </c>
      <c r="BO62" s="45">
        <v>0</v>
      </c>
      <c r="BP62" s="45">
        <v>1.2451187179695156</v>
      </c>
      <c r="BQ62" s="45">
        <v>0</v>
      </c>
      <c r="BR62" s="45">
        <v>0</v>
      </c>
      <c r="BS62" s="45">
        <v>0</v>
      </c>
      <c r="BT62" s="45">
        <v>0</v>
      </c>
      <c r="BU62" s="45">
        <v>0</v>
      </c>
      <c r="BV62" s="45">
        <v>0</v>
      </c>
      <c r="BW62" s="45">
        <v>0.46377735998783559</v>
      </c>
      <c r="BX62" s="45">
        <v>1.3133077035357839</v>
      </c>
      <c r="BY62" s="45"/>
      <c r="BZ62" s="45">
        <v>0</v>
      </c>
      <c r="CA62" s="45">
        <v>-0.16539163790882275</v>
      </c>
      <c r="CB62" s="45">
        <v>5.1015509598661914</v>
      </c>
      <c r="CC62" s="45">
        <v>1.1479160656269611</v>
      </c>
      <c r="CD62" s="199">
        <v>4.0104406481397792</v>
      </c>
      <c r="CE62" s="45">
        <v>-5.8354874044556135</v>
      </c>
      <c r="CF62" s="45">
        <v>6.7199490672632839E-2</v>
      </c>
      <c r="CG62" s="45">
        <v>0</v>
      </c>
      <c r="CH62" s="45">
        <v>6.7199490672632839E-2</v>
      </c>
      <c r="CI62" s="45">
        <v>3.3599589827211559E-3</v>
      </c>
      <c r="CJ62" s="45">
        <v>0</v>
      </c>
      <c r="CK62" s="45">
        <v>3.3599589827211559E-3</v>
      </c>
      <c r="CL62" s="45"/>
      <c r="CM62" s="45">
        <v>0</v>
      </c>
      <c r="CN62" s="45"/>
      <c r="CO62" s="45">
        <v>0</v>
      </c>
      <c r="CP62" s="45">
        <v>0</v>
      </c>
      <c r="CQ62" s="45">
        <v>0</v>
      </c>
      <c r="CR62" s="45">
        <v>0</v>
      </c>
      <c r="CS62" s="45">
        <v>0</v>
      </c>
      <c r="CT62" s="45">
        <v>0</v>
      </c>
      <c r="CU62" s="45">
        <v>0.43362093342568286</v>
      </c>
      <c r="CV62" s="45">
        <v>9999</v>
      </c>
      <c r="CW62" s="200">
        <v>0</v>
      </c>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row>
    <row r="63" spans="1:131">
      <c r="A63" s="24" t="s">
        <v>428</v>
      </c>
      <c r="B63" s="24" t="s">
        <v>612</v>
      </c>
      <c r="C63" s="45">
        <v>16.279069767441861</v>
      </c>
      <c r="D63" s="45">
        <v>130.19651169604927</v>
      </c>
      <c r="E63" s="45">
        <v>0</v>
      </c>
      <c r="F63" s="45">
        <v>31.358712414728529</v>
      </c>
      <c r="G63" s="45">
        <v>0</v>
      </c>
      <c r="H63" s="45">
        <v>-6.2631594097944996</v>
      </c>
      <c r="I63" s="45" t="s">
        <v>369</v>
      </c>
      <c r="J63" s="45"/>
      <c r="K63" s="45"/>
      <c r="L63" s="45">
        <v>147.30939530738755</v>
      </c>
      <c r="M63" s="45">
        <v>3.4432533259467366E-2</v>
      </c>
      <c r="N63" s="45">
        <v>3.2668437627578137E-2</v>
      </c>
      <c r="O63" s="45">
        <v>0</v>
      </c>
      <c r="P63" s="45">
        <v>0</v>
      </c>
      <c r="Q63" s="45">
        <v>0</v>
      </c>
      <c r="R63" s="45">
        <v>6.2533461609247798</v>
      </c>
      <c r="S63" s="45">
        <v>1.5482712695694849</v>
      </c>
      <c r="T63" s="45">
        <v>12.916837766095277</v>
      </c>
      <c r="U63" s="45">
        <v>18.402770823376699</v>
      </c>
      <c r="V63" s="45" t="s">
        <v>609</v>
      </c>
      <c r="W63" s="45" t="s">
        <v>609</v>
      </c>
      <c r="X63" s="45" t="s">
        <v>609</v>
      </c>
      <c r="Y63" s="45" t="s">
        <v>609</v>
      </c>
      <c r="Z63" s="45">
        <v>0</v>
      </c>
      <c r="AA63" s="45">
        <v>0</v>
      </c>
      <c r="AB63" s="45">
        <v>0</v>
      </c>
      <c r="AC63" s="45">
        <v>0</v>
      </c>
      <c r="AD63" s="45">
        <v>0</v>
      </c>
      <c r="AE63" s="45">
        <v>0</v>
      </c>
      <c r="AF63" s="45">
        <v>0</v>
      </c>
      <c r="AG63" s="45">
        <v>-6.2631594097944996</v>
      </c>
      <c r="AH63" s="45">
        <v>6.2533461609247798</v>
      </c>
      <c r="AI63" s="45">
        <v>1.5482712695694849</v>
      </c>
      <c r="AJ63" s="45">
        <v>12.916837766095277</v>
      </c>
      <c r="AK63" s="45">
        <v>12.139611413582198</v>
      </c>
      <c r="AL63" s="45">
        <v>32.85806661017174</v>
      </c>
      <c r="AM63" s="45">
        <v>70.652862821423369</v>
      </c>
      <c r="AN63" s="45">
        <v>12.166683460882998</v>
      </c>
      <c r="AO63" s="45">
        <v>8.281954628230638</v>
      </c>
      <c r="AP63" s="45">
        <v>0</v>
      </c>
      <c r="AQ63" s="45">
        <v>91.101500910536998</v>
      </c>
      <c r="AR63" s="45">
        <v>6.2533461609247798</v>
      </c>
      <c r="AS63" s="199">
        <v>14.568440410320161</v>
      </c>
      <c r="AT63" s="45">
        <v>70.652862821423369</v>
      </c>
      <c r="AU63" s="45">
        <v>13.763216584709271</v>
      </c>
      <c r="AV63" s="45">
        <v>8.4416079406132649</v>
      </c>
      <c r="AW63" s="45">
        <v>0</v>
      </c>
      <c r="AX63" s="45">
        <v>92.857687346745905</v>
      </c>
      <c r="AY63" s="45">
        <v>1.5482712695694849</v>
      </c>
      <c r="AZ63" s="199">
        <v>59.975076184528106</v>
      </c>
      <c r="BA63" s="45">
        <v>70.652862821423369</v>
      </c>
      <c r="BB63" s="45">
        <v>25.929900045592269</v>
      </c>
      <c r="BC63" s="45">
        <v>9.6582762867015646</v>
      </c>
      <c r="BD63" s="45">
        <v>0</v>
      </c>
      <c r="BE63" s="45">
        <v>106.2410391537172</v>
      </c>
      <c r="BF63" s="45">
        <v>7.8016174304942645</v>
      </c>
      <c r="BG63" s="45">
        <v>-13.87951960116029</v>
      </c>
      <c r="BH63" s="199">
        <v>13.617822214461802</v>
      </c>
      <c r="BI63" s="45">
        <v>3.1235764356476268</v>
      </c>
      <c r="BJ63" s="45">
        <v>0.77336893387368177</v>
      </c>
      <c r="BK63" s="45">
        <v>6.452022490194568</v>
      </c>
      <c r="BL63" s="45">
        <v>6.0637941949109466</v>
      </c>
      <c r="BM63" s="45">
        <v>16.412762054626825</v>
      </c>
      <c r="BN63" s="45">
        <v>70.652862821423369</v>
      </c>
      <c r="BO63" s="45">
        <v>0</v>
      </c>
      <c r="BP63" s="45">
        <v>25.929900045592269</v>
      </c>
      <c r="BQ63" s="45">
        <v>0</v>
      </c>
      <c r="BR63" s="45">
        <v>0</v>
      </c>
      <c r="BS63" s="45">
        <v>0</v>
      </c>
      <c r="BT63" s="45">
        <v>0</v>
      </c>
      <c r="BU63" s="45">
        <v>0</v>
      </c>
      <c r="BV63" s="45">
        <v>0</v>
      </c>
      <c r="BW63" s="45">
        <v>9.6582762867015646</v>
      </c>
      <c r="BX63" s="45">
        <v>39.121226019966244</v>
      </c>
      <c r="BY63" s="45"/>
      <c r="BZ63" s="45">
        <v>0</v>
      </c>
      <c r="CA63" s="45">
        <v>-6.2631594097944996</v>
      </c>
      <c r="CB63" s="45">
        <v>106.2410391537172</v>
      </c>
      <c r="CC63" s="45">
        <v>32.858066610171747</v>
      </c>
      <c r="CD63" s="199">
        <v>2.8757840693973415</v>
      </c>
      <c r="CE63" s="45">
        <v>-1.3637029160547693</v>
      </c>
      <c r="CF63" s="45">
        <v>1.3994457324500227</v>
      </c>
      <c r="CG63" s="45">
        <v>0</v>
      </c>
      <c r="CH63" s="45">
        <v>1.3994457324500227</v>
      </c>
      <c r="CI63" s="45">
        <v>6.9971962771009089E-2</v>
      </c>
      <c r="CJ63" s="45">
        <v>0</v>
      </c>
      <c r="CK63" s="45">
        <v>6.9971962771009089E-2</v>
      </c>
      <c r="CL63" s="45"/>
      <c r="CM63" s="45">
        <v>0</v>
      </c>
      <c r="CN63" s="45"/>
      <c r="CO63" s="45">
        <v>0</v>
      </c>
      <c r="CP63" s="45">
        <v>0</v>
      </c>
      <c r="CQ63" s="45">
        <v>0</v>
      </c>
      <c r="CR63" s="45">
        <v>0</v>
      </c>
      <c r="CS63" s="45">
        <v>0</v>
      </c>
      <c r="CT63" s="45">
        <v>0</v>
      </c>
      <c r="CU63" s="45">
        <v>12.916837766095277</v>
      </c>
      <c r="CV63" s="45">
        <v>9999</v>
      </c>
      <c r="CW63" s="200">
        <v>0</v>
      </c>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row>
    <row r="64" spans="1:131">
      <c r="A64" s="24" t="s">
        <v>430</v>
      </c>
      <c r="B64" s="24" t="s">
        <v>613</v>
      </c>
      <c r="C64" s="45">
        <v>16.279069767441861</v>
      </c>
      <c r="D64" s="45">
        <v>51.403081848075573</v>
      </c>
      <c r="E64" s="45">
        <v>0</v>
      </c>
      <c r="F64" s="45">
        <v>13.388193469372712</v>
      </c>
      <c r="G64" s="45">
        <v>0</v>
      </c>
      <c r="H64" s="45">
        <v>-3.0955219219923067</v>
      </c>
      <c r="I64" s="45" t="s">
        <v>369</v>
      </c>
      <c r="J64" s="45"/>
      <c r="K64" s="45"/>
      <c r="L64" s="45">
        <v>58.159445328717929</v>
      </c>
      <c r="M64" s="45">
        <v>1.3594360573231034E-2</v>
      </c>
      <c r="N64" s="45">
        <v>1.2897875306670808E-2</v>
      </c>
      <c r="O64" s="45">
        <v>0</v>
      </c>
      <c r="P64" s="45">
        <v>0</v>
      </c>
      <c r="Q64" s="45">
        <v>0</v>
      </c>
      <c r="R64" s="45">
        <v>2.6697846240044618</v>
      </c>
      <c r="S64" s="45">
        <v>0.66101423508485024</v>
      </c>
      <c r="T64" s="45">
        <v>5.5146754987223439</v>
      </c>
      <c r="U64" s="45">
        <v>7.8568231022194386</v>
      </c>
      <c r="V64" s="45" t="s">
        <v>609</v>
      </c>
      <c r="W64" s="45" t="s">
        <v>609</v>
      </c>
      <c r="X64" s="45" t="s">
        <v>609</v>
      </c>
      <c r="Y64" s="45" t="s">
        <v>609</v>
      </c>
      <c r="Z64" s="45">
        <v>0</v>
      </c>
      <c r="AA64" s="45">
        <v>0</v>
      </c>
      <c r="AB64" s="45">
        <v>0</v>
      </c>
      <c r="AC64" s="45">
        <v>0</v>
      </c>
      <c r="AD64" s="45">
        <v>0</v>
      </c>
      <c r="AE64" s="45">
        <v>0</v>
      </c>
      <c r="AF64" s="45">
        <v>0</v>
      </c>
      <c r="AG64" s="45">
        <v>-3.0955219219923067</v>
      </c>
      <c r="AH64" s="45">
        <v>2.6697846240044618</v>
      </c>
      <c r="AI64" s="45">
        <v>0.66101423508485024</v>
      </c>
      <c r="AJ64" s="45">
        <v>5.5146754987223439</v>
      </c>
      <c r="AK64" s="45">
        <v>4.7613011802271323</v>
      </c>
      <c r="AL64" s="45">
        <v>13.606775538038789</v>
      </c>
      <c r="AM64" s="45">
        <v>27.89456371065501</v>
      </c>
      <c r="AN64" s="45">
        <v>4.8035467126756632</v>
      </c>
      <c r="AO64" s="45">
        <v>3.2698110423330675</v>
      </c>
      <c r="AP64" s="45">
        <v>0</v>
      </c>
      <c r="AQ64" s="45">
        <v>35.967921465663743</v>
      </c>
      <c r="AR64" s="45">
        <v>2.6697846240044618</v>
      </c>
      <c r="AS64" s="199">
        <v>13.472218373823264</v>
      </c>
      <c r="AT64" s="45">
        <v>27.89456371065501</v>
      </c>
      <c r="AU64" s="45">
        <v>5.4338763718050505</v>
      </c>
      <c r="AV64" s="45">
        <v>3.3328440082460062</v>
      </c>
      <c r="AW64" s="45">
        <v>0</v>
      </c>
      <c r="AX64" s="45">
        <v>36.661284090706069</v>
      </c>
      <c r="AY64" s="45">
        <v>0.66101423508485024</v>
      </c>
      <c r="AZ64" s="199">
        <v>55.462170320734607</v>
      </c>
      <c r="BA64" s="45">
        <v>27.89456371065501</v>
      </c>
      <c r="BB64" s="45">
        <v>10.237423084480714</v>
      </c>
      <c r="BC64" s="45">
        <v>3.8131986795135724</v>
      </c>
      <c r="BD64" s="45">
        <v>0</v>
      </c>
      <c r="BE64" s="45">
        <v>41.945185474649293</v>
      </c>
      <c r="BF64" s="45">
        <v>3.3307988590893123</v>
      </c>
      <c r="BG64" s="45">
        <v>-13.562428735308954</v>
      </c>
      <c r="BH64" s="199">
        <v>12.593130732042374</v>
      </c>
      <c r="BI64" s="45">
        <v>3.3777389815942223</v>
      </c>
      <c r="BJ64" s="45">
        <v>0.83629725377842101</v>
      </c>
      <c r="BK64" s="45">
        <v>6.9770176348299655</v>
      </c>
      <c r="BL64" s="45">
        <v>6.0238689124823139</v>
      </c>
      <c r="BM64" s="45">
        <v>17.214922782684923</v>
      </c>
      <c r="BN64" s="45">
        <v>27.89456371065501</v>
      </c>
      <c r="BO64" s="45">
        <v>0</v>
      </c>
      <c r="BP64" s="45">
        <v>10.237423084480714</v>
      </c>
      <c r="BQ64" s="45">
        <v>0</v>
      </c>
      <c r="BR64" s="45">
        <v>0</v>
      </c>
      <c r="BS64" s="45">
        <v>0</v>
      </c>
      <c r="BT64" s="45">
        <v>0</v>
      </c>
      <c r="BU64" s="45">
        <v>0</v>
      </c>
      <c r="BV64" s="45">
        <v>0</v>
      </c>
      <c r="BW64" s="45">
        <v>3.8131986795135724</v>
      </c>
      <c r="BX64" s="45">
        <v>16.702297460031097</v>
      </c>
      <c r="BY64" s="45"/>
      <c r="BZ64" s="45">
        <v>0</v>
      </c>
      <c r="CA64" s="45">
        <v>-3.0955219219923067</v>
      </c>
      <c r="CB64" s="45">
        <v>41.9451854746493</v>
      </c>
      <c r="CC64" s="45">
        <v>13.606775538038791</v>
      </c>
      <c r="CD64" s="199">
        <v>2.6966773585744619</v>
      </c>
      <c r="CE64" s="45">
        <v>-0.56154218799668421</v>
      </c>
      <c r="CF64" s="45">
        <v>0.55251728782877529</v>
      </c>
      <c r="CG64" s="45">
        <v>0</v>
      </c>
      <c r="CH64" s="45">
        <v>0.55251728782877529</v>
      </c>
      <c r="CI64" s="45">
        <v>2.7625736531141015E-2</v>
      </c>
      <c r="CJ64" s="45">
        <v>0</v>
      </c>
      <c r="CK64" s="45">
        <v>2.7625736531141015E-2</v>
      </c>
      <c r="CL64" s="45"/>
      <c r="CM64" s="45">
        <v>0</v>
      </c>
      <c r="CN64" s="45"/>
      <c r="CO64" s="45">
        <v>0</v>
      </c>
      <c r="CP64" s="45">
        <v>0</v>
      </c>
      <c r="CQ64" s="45">
        <v>0</v>
      </c>
      <c r="CR64" s="45">
        <v>0</v>
      </c>
      <c r="CS64" s="45">
        <v>0</v>
      </c>
      <c r="CT64" s="45">
        <v>0</v>
      </c>
      <c r="CU64" s="45">
        <v>5.5146754987223439</v>
      </c>
      <c r="CV64" s="45">
        <v>9999</v>
      </c>
      <c r="CW64" s="200">
        <v>0</v>
      </c>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row>
    <row r="65" spans="1:131">
      <c r="A65" s="24" t="s">
        <v>434</v>
      </c>
      <c r="B65" s="24" t="s">
        <v>614</v>
      </c>
      <c r="C65" s="45">
        <v>16.279069767441861</v>
      </c>
      <c r="D65" s="45">
        <v>6.2518603404583653</v>
      </c>
      <c r="E65" s="45">
        <v>0</v>
      </c>
      <c r="F65" s="45">
        <v>1.947148610061336</v>
      </c>
      <c r="G65" s="45">
        <v>0</v>
      </c>
      <c r="H65" s="45">
        <v>-0.16539163790882275</v>
      </c>
      <c r="I65" s="45" t="s">
        <v>369</v>
      </c>
      <c r="J65" s="45"/>
      <c r="K65" s="45"/>
      <c r="L65" s="45">
        <v>7.0735978583603307</v>
      </c>
      <c r="M65" s="45">
        <v>1.6534036611436324E-3</v>
      </c>
      <c r="N65" s="45">
        <v>1.5686941756580951E-3</v>
      </c>
      <c r="O65" s="45">
        <v>0</v>
      </c>
      <c r="P65" s="45">
        <v>0</v>
      </c>
      <c r="Q65" s="45">
        <v>0</v>
      </c>
      <c r="R65" s="45">
        <v>0.38828744383516756</v>
      </c>
      <c r="S65" s="45">
        <v>9.6136416912455058E-2</v>
      </c>
      <c r="T65" s="45">
        <v>0.80204194515420524</v>
      </c>
      <c r="U65" s="45">
        <v>1.1426786009614753</v>
      </c>
      <c r="V65" s="45" t="s">
        <v>609</v>
      </c>
      <c r="W65" s="45" t="s">
        <v>609</v>
      </c>
      <c r="X65" s="45" t="s">
        <v>609</v>
      </c>
      <c r="Y65" s="45" t="s">
        <v>609</v>
      </c>
      <c r="Z65" s="45">
        <v>0</v>
      </c>
      <c r="AA65" s="45">
        <v>0</v>
      </c>
      <c r="AB65" s="45">
        <v>0</v>
      </c>
      <c r="AC65" s="45">
        <v>0</v>
      </c>
      <c r="AD65" s="45">
        <v>0</v>
      </c>
      <c r="AE65" s="45">
        <v>0</v>
      </c>
      <c r="AF65" s="45">
        <v>0</v>
      </c>
      <c r="AG65" s="45">
        <v>-0.16539163790882275</v>
      </c>
      <c r="AH65" s="45">
        <v>0.38828744383516756</v>
      </c>
      <c r="AI65" s="45">
        <v>9.6136416912455058E-2</v>
      </c>
      <c r="AJ65" s="45">
        <v>0.80204194515420524</v>
      </c>
      <c r="AK65" s="45">
        <v>0.97728696305265261</v>
      </c>
      <c r="AL65" s="45">
        <v>2.2637527689544803</v>
      </c>
      <c r="AM65" s="45">
        <v>3.39265488190884</v>
      </c>
      <c r="AN65" s="45">
        <v>0.58422767870756454</v>
      </c>
      <c r="AO65" s="45">
        <v>0.39768825606164049</v>
      </c>
      <c r="AP65" s="45">
        <v>0</v>
      </c>
      <c r="AQ65" s="45">
        <v>4.3745708166780455</v>
      </c>
      <c r="AR65" s="45">
        <v>0.38828744383516756</v>
      </c>
      <c r="AS65" s="199">
        <v>11.266320572897795</v>
      </c>
      <c r="AT65" s="45">
        <v>3.39265488190884</v>
      </c>
      <c r="AU65" s="45">
        <v>0.66089103926195092</v>
      </c>
      <c r="AV65" s="45">
        <v>0.40535459211707914</v>
      </c>
      <c r="AW65" s="45">
        <v>0</v>
      </c>
      <c r="AX65" s="45">
        <v>4.4589005132878698</v>
      </c>
      <c r="AY65" s="45">
        <v>9.6136416912455058E-2</v>
      </c>
      <c r="AZ65" s="199">
        <v>46.380972543924635</v>
      </c>
      <c r="BA65" s="45">
        <v>3.39265488190884</v>
      </c>
      <c r="BB65" s="45">
        <v>1.2451187179695156</v>
      </c>
      <c r="BC65" s="45">
        <v>0.46377735998783559</v>
      </c>
      <c r="BD65" s="45">
        <v>0</v>
      </c>
      <c r="BE65" s="45">
        <v>5.1015509598661906</v>
      </c>
      <c r="BF65" s="45">
        <v>0.48442386074762261</v>
      </c>
      <c r="BG65" s="45">
        <v>-12.737338307206763</v>
      </c>
      <c r="BH65" s="199">
        <v>10.531171920377432</v>
      </c>
      <c r="BI65" s="45">
        <v>4.0390859531621102</v>
      </c>
      <c r="BJ65" s="45">
        <v>1.0000407103127256</v>
      </c>
      <c r="BK65" s="45">
        <v>8.3430881063833144</v>
      </c>
      <c r="BL65" s="45">
        <v>10.166040924954865</v>
      </c>
      <c r="BM65" s="45">
        <v>23.548255694813015</v>
      </c>
      <c r="BN65" s="45">
        <v>3.39265488190884</v>
      </c>
      <c r="BO65" s="45">
        <v>0</v>
      </c>
      <c r="BP65" s="45">
        <v>1.2451187179695156</v>
      </c>
      <c r="BQ65" s="45">
        <v>0</v>
      </c>
      <c r="BR65" s="45">
        <v>0</v>
      </c>
      <c r="BS65" s="45">
        <v>0</v>
      </c>
      <c r="BT65" s="45">
        <v>0</v>
      </c>
      <c r="BU65" s="45">
        <v>0</v>
      </c>
      <c r="BV65" s="45">
        <v>0</v>
      </c>
      <c r="BW65" s="45">
        <v>0.46377735998783559</v>
      </c>
      <c r="BX65" s="45">
        <v>2.429144406863303</v>
      </c>
      <c r="BY65" s="45"/>
      <c r="BZ65" s="45">
        <v>0</v>
      </c>
      <c r="CA65" s="45">
        <v>-0.16539163790882275</v>
      </c>
      <c r="CB65" s="45">
        <v>5.1015509598661914</v>
      </c>
      <c r="CC65" s="45">
        <v>2.2637527689544803</v>
      </c>
      <c r="CD65" s="199">
        <v>2.1682295144305943</v>
      </c>
      <c r="CE65" s="45">
        <v>5.7717907241314013</v>
      </c>
      <c r="CF65" s="45">
        <v>6.7199490672632839E-2</v>
      </c>
      <c r="CG65" s="45">
        <v>0</v>
      </c>
      <c r="CH65" s="45">
        <v>6.7199490672632839E-2</v>
      </c>
      <c r="CI65" s="45">
        <v>3.3599589827211559E-3</v>
      </c>
      <c r="CJ65" s="45">
        <v>0</v>
      </c>
      <c r="CK65" s="45">
        <v>3.3599589827211559E-3</v>
      </c>
      <c r="CL65" s="45"/>
      <c r="CM65" s="45">
        <v>0</v>
      </c>
      <c r="CN65" s="45"/>
      <c r="CO65" s="45">
        <v>0</v>
      </c>
      <c r="CP65" s="45">
        <v>0</v>
      </c>
      <c r="CQ65" s="45">
        <v>0</v>
      </c>
      <c r="CR65" s="45">
        <v>0</v>
      </c>
      <c r="CS65" s="45">
        <v>0</v>
      </c>
      <c r="CT65" s="45">
        <v>0</v>
      </c>
      <c r="CU65" s="45">
        <v>0.80204194515420524</v>
      </c>
      <c r="CV65" s="45">
        <v>9999</v>
      </c>
      <c r="CW65" s="200">
        <v>0</v>
      </c>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row>
    <row r="66" spans="1:131">
      <c r="A66" s="24" t="s">
        <v>432</v>
      </c>
      <c r="B66" s="24" t="s">
        <v>615</v>
      </c>
      <c r="C66" s="45">
        <v>16.279069767441861</v>
      </c>
      <c r="D66" s="45">
        <v>130.19651169604927</v>
      </c>
      <c r="E66" s="45">
        <v>0</v>
      </c>
      <c r="F66" s="45">
        <v>35.88243373990732</v>
      </c>
      <c r="G66" s="45">
        <v>0</v>
      </c>
      <c r="H66" s="45">
        <v>-6.2631594097944996</v>
      </c>
      <c r="I66" s="45" t="s">
        <v>369</v>
      </c>
      <c r="J66" s="45"/>
      <c r="K66" s="45"/>
      <c r="L66" s="45">
        <v>147.30939530738755</v>
      </c>
      <c r="M66" s="45">
        <v>3.4432533259467366E-2</v>
      </c>
      <c r="N66" s="45">
        <v>3.2668437627578137E-2</v>
      </c>
      <c r="O66" s="45">
        <v>0</v>
      </c>
      <c r="P66" s="45">
        <v>0</v>
      </c>
      <c r="Q66" s="45">
        <v>0</v>
      </c>
      <c r="R66" s="45">
        <v>7.1554366233065796</v>
      </c>
      <c r="S66" s="45">
        <v>1.7716206107887216</v>
      </c>
      <c r="T66" s="45">
        <v>14.780185140935695</v>
      </c>
      <c r="U66" s="45">
        <v>21.057503763782343</v>
      </c>
      <c r="V66" s="45" t="s">
        <v>609</v>
      </c>
      <c r="W66" s="45" t="s">
        <v>609</v>
      </c>
      <c r="X66" s="45" t="s">
        <v>609</v>
      </c>
      <c r="Y66" s="45" t="s">
        <v>609</v>
      </c>
      <c r="Z66" s="45">
        <v>0</v>
      </c>
      <c r="AA66" s="45">
        <v>0</v>
      </c>
      <c r="AB66" s="45">
        <v>0</v>
      </c>
      <c r="AC66" s="45">
        <v>0</v>
      </c>
      <c r="AD66" s="45">
        <v>0</v>
      </c>
      <c r="AE66" s="45">
        <v>0</v>
      </c>
      <c r="AF66" s="45">
        <v>0</v>
      </c>
      <c r="AG66" s="45">
        <v>-6.2631594097944996</v>
      </c>
      <c r="AH66" s="45">
        <v>7.1554366233065796</v>
      </c>
      <c r="AI66" s="45">
        <v>1.7716206107887216</v>
      </c>
      <c r="AJ66" s="45">
        <v>14.780185140935695</v>
      </c>
      <c r="AK66" s="45">
        <v>14.794344353987842</v>
      </c>
      <c r="AL66" s="45">
        <v>38.50158672901884</v>
      </c>
      <c r="AM66" s="45">
        <v>70.652862821423369</v>
      </c>
      <c r="AN66" s="45">
        <v>12.166683460882998</v>
      </c>
      <c r="AO66" s="45">
        <v>8.281954628230638</v>
      </c>
      <c r="AP66" s="45">
        <v>0</v>
      </c>
      <c r="AQ66" s="45">
        <v>91.101500910536998</v>
      </c>
      <c r="AR66" s="45">
        <v>7.1554366233065796</v>
      </c>
      <c r="AS66" s="199">
        <v>12.73178782882411</v>
      </c>
      <c r="AT66" s="45">
        <v>70.652862821423369</v>
      </c>
      <c r="AU66" s="45">
        <v>13.763216584709271</v>
      </c>
      <c r="AV66" s="45">
        <v>8.4416079406132649</v>
      </c>
      <c r="AW66" s="45">
        <v>0</v>
      </c>
      <c r="AX66" s="45">
        <v>92.857687346745905</v>
      </c>
      <c r="AY66" s="45">
        <v>1.7716206107887216</v>
      </c>
      <c r="AZ66" s="199">
        <v>52.413980048135627</v>
      </c>
      <c r="BA66" s="45">
        <v>70.652862821423369</v>
      </c>
      <c r="BB66" s="45">
        <v>25.929900045592269</v>
      </c>
      <c r="BC66" s="45">
        <v>9.6582762867015646</v>
      </c>
      <c r="BD66" s="45">
        <v>0</v>
      </c>
      <c r="BE66" s="45">
        <v>106.2410391537172</v>
      </c>
      <c r="BF66" s="45">
        <v>8.9270572340953009</v>
      </c>
      <c r="BG66" s="45">
        <v>-13.317357014954087</v>
      </c>
      <c r="BH66" s="199">
        <v>11.901014675692737</v>
      </c>
      <c r="BI66" s="45">
        <v>3.574174953402089</v>
      </c>
      <c r="BJ66" s="45">
        <v>0.88493300232542027</v>
      </c>
      <c r="BK66" s="45">
        <v>7.3827734516312935</v>
      </c>
      <c r="BL66" s="45">
        <v>7.3898460465426972</v>
      </c>
      <c r="BM66" s="45">
        <v>19.231727453901502</v>
      </c>
      <c r="BN66" s="45">
        <v>70.652862821423369</v>
      </c>
      <c r="BO66" s="45">
        <v>0</v>
      </c>
      <c r="BP66" s="45">
        <v>25.929900045592269</v>
      </c>
      <c r="BQ66" s="45">
        <v>0</v>
      </c>
      <c r="BR66" s="45">
        <v>0</v>
      </c>
      <c r="BS66" s="45">
        <v>0</v>
      </c>
      <c r="BT66" s="45">
        <v>0</v>
      </c>
      <c r="BU66" s="45">
        <v>0</v>
      </c>
      <c r="BV66" s="45">
        <v>0</v>
      </c>
      <c r="BW66" s="45">
        <v>9.6582762867015646</v>
      </c>
      <c r="BX66" s="45">
        <v>44.764746138813337</v>
      </c>
      <c r="BY66" s="45"/>
      <c r="BZ66" s="45">
        <v>0</v>
      </c>
      <c r="CA66" s="45">
        <v>-6.2631594097944996</v>
      </c>
      <c r="CB66" s="45">
        <v>106.2410391537172</v>
      </c>
      <c r="CC66" s="45">
        <v>38.50158672901884</v>
      </c>
      <c r="CD66" s="199">
        <v>2.5132321361689747</v>
      </c>
      <c r="CE66" s="45">
        <v>1.4552624832199048</v>
      </c>
      <c r="CF66" s="45">
        <v>1.3994457324500227</v>
      </c>
      <c r="CG66" s="45">
        <v>0</v>
      </c>
      <c r="CH66" s="45">
        <v>1.3994457324500227</v>
      </c>
      <c r="CI66" s="45">
        <v>6.9971962771009089E-2</v>
      </c>
      <c r="CJ66" s="45">
        <v>0</v>
      </c>
      <c r="CK66" s="45">
        <v>6.9971962771009089E-2</v>
      </c>
      <c r="CL66" s="45"/>
      <c r="CM66" s="45">
        <v>0</v>
      </c>
      <c r="CN66" s="45"/>
      <c r="CO66" s="45">
        <v>0</v>
      </c>
      <c r="CP66" s="45">
        <v>0</v>
      </c>
      <c r="CQ66" s="45">
        <v>0</v>
      </c>
      <c r="CR66" s="45">
        <v>0</v>
      </c>
      <c r="CS66" s="45">
        <v>0</v>
      </c>
      <c r="CT66" s="45">
        <v>0</v>
      </c>
      <c r="CU66" s="45">
        <v>14.780185140935695</v>
      </c>
      <c r="CV66" s="45">
        <v>9999</v>
      </c>
      <c r="CW66" s="200">
        <v>0</v>
      </c>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row>
    <row r="67" spans="1:131">
      <c r="A67" s="24" t="s">
        <v>433</v>
      </c>
      <c r="B67" s="24" t="s">
        <v>616</v>
      </c>
      <c r="C67" s="45">
        <v>16.279069767441861</v>
      </c>
      <c r="D67" s="45">
        <v>51.403081848075573</v>
      </c>
      <c r="E67" s="45">
        <v>0</v>
      </c>
      <c r="F67" s="45">
        <v>14.529979530207335</v>
      </c>
      <c r="G67" s="45">
        <v>0</v>
      </c>
      <c r="H67" s="45">
        <v>-3.0955219219923067</v>
      </c>
      <c r="I67" s="45" t="s">
        <v>369</v>
      </c>
      <c r="J67" s="45"/>
      <c r="K67" s="45"/>
      <c r="L67" s="45">
        <v>58.159445328717929</v>
      </c>
      <c r="M67" s="45">
        <v>1.3594360573231034E-2</v>
      </c>
      <c r="N67" s="45">
        <v>1.2897875306670808E-2</v>
      </c>
      <c r="O67" s="45">
        <v>0</v>
      </c>
      <c r="P67" s="45">
        <v>0</v>
      </c>
      <c r="Q67" s="45">
        <v>0</v>
      </c>
      <c r="R67" s="45">
        <v>2.8974720170864594</v>
      </c>
      <c r="S67" s="45">
        <v>0.71738754948008243</v>
      </c>
      <c r="T67" s="45">
        <v>5.9849838811692866</v>
      </c>
      <c r="U67" s="45">
        <v>8.5268769911985256</v>
      </c>
      <c r="V67" s="45" t="s">
        <v>609</v>
      </c>
      <c r="W67" s="45" t="s">
        <v>609</v>
      </c>
      <c r="X67" s="45" t="s">
        <v>609</v>
      </c>
      <c r="Y67" s="45" t="s">
        <v>609</v>
      </c>
      <c r="Z67" s="45">
        <v>0</v>
      </c>
      <c r="AA67" s="45">
        <v>0</v>
      </c>
      <c r="AB67" s="45">
        <v>0</v>
      </c>
      <c r="AC67" s="45">
        <v>0</v>
      </c>
      <c r="AD67" s="45">
        <v>0</v>
      </c>
      <c r="AE67" s="45">
        <v>0</v>
      </c>
      <c r="AF67" s="45">
        <v>0</v>
      </c>
      <c r="AG67" s="45">
        <v>-3.0955219219923067</v>
      </c>
      <c r="AH67" s="45">
        <v>2.8974720170864594</v>
      </c>
      <c r="AI67" s="45">
        <v>0.71738754948008243</v>
      </c>
      <c r="AJ67" s="45">
        <v>5.9849838811692866</v>
      </c>
      <c r="AK67" s="45">
        <v>5.4313550692062194</v>
      </c>
      <c r="AL67" s="45">
        <v>15.031198516942048</v>
      </c>
      <c r="AM67" s="45">
        <v>27.89456371065501</v>
      </c>
      <c r="AN67" s="45">
        <v>4.8035467126756632</v>
      </c>
      <c r="AO67" s="45">
        <v>3.2698110423330675</v>
      </c>
      <c r="AP67" s="45">
        <v>0</v>
      </c>
      <c r="AQ67" s="45">
        <v>35.967921465663743</v>
      </c>
      <c r="AR67" s="45">
        <v>2.8974720170864594</v>
      </c>
      <c r="AS67" s="199">
        <v>12.413552660236261</v>
      </c>
      <c r="AT67" s="45">
        <v>27.89456371065501</v>
      </c>
      <c r="AU67" s="45">
        <v>5.4338763718050505</v>
      </c>
      <c r="AV67" s="45">
        <v>3.3328440082460062</v>
      </c>
      <c r="AW67" s="45">
        <v>0</v>
      </c>
      <c r="AX67" s="45">
        <v>36.661284090706069</v>
      </c>
      <c r="AY67" s="45">
        <v>0.71738754948008243</v>
      </c>
      <c r="AZ67" s="199">
        <v>51.103875607091133</v>
      </c>
      <c r="BA67" s="45">
        <v>27.89456371065501</v>
      </c>
      <c r="BB67" s="45">
        <v>10.237423084480714</v>
      </c>
      <c r="BC67" s="45">
        <v>3.8131986795135724</v>
      </c>
      <c r="BD67" s="45">
        <v>0</v>
      </c>
      <c r="BE67" s="45">
        <v>41.945185474649293</v>
      </c>
      <c r="BF67" s="45">
        <v>3.6148595665665417</v>
      </c>
      <c r="BG67" s="45">
        <v>-13.203042844717553</v>
      </c>
      <c r="BH67" s="199">
        <v>11.603544951675559</v>
      </c>
      <c r="BI67" s="45">
        <v>3.6658028861937955</v>
      </c>
      <c r="BJ67" s="45">
        <v>0.90761923977024839</v>
      </c>
      <c r="BK67" s="45">
        <v>7.5720390243751714</v>
      </c>
      <c r="BL67" s="45">
        <v>6.8716028908055353</v>
      </c>
      <c r="BM67" s="45">
        <v>19.017064041144753</v>
      </c>
      <c r="BN67" s="45">
        <v>27.89456371065501</v>
      </c>
      <c r="BO67" s="45">
        <v>0</v>
      </c>
      <c r="BP67" s="45">
        <v>10.237423084480714</v>
      </c>
      <c r="BQ67" s="45">
        <v>0</v>
      </c>
      <c r="BR67" s="45">
        <v>0</v>
      </c>
      <c r="BS67" s="45">
        <v>0</v>
      </c>
      <c r="BT67" s="45">
        <v>0</v>
      </c>
      <c r="BU67" s="45">
        <v>0</v>
      </c>
      <c r="BV67" s="45">
        <v>0</v>
      </c>
      <c r="BW67" s="45">
        <v>3.8131986795135724</v>
      </c>
      <c r="BX67" s="45">
        <v>18.126720438934356</v>
      </c>
      <c r="BY67" s="45"/>
      <c r="BZ67" s="45">
        <v>0</v>
      </c>
      <c r="CA67" s="45">
        <v>-3.0955219219923067</v>
      </c>
      <c r="CB67" s="45">
        <v>41.9451854746493</v>
      </c>
      <c r="CC67" s="45">
        <v>15.03119851694205</v>
      </c>
      <c r="CD67" s="199">
        <v>2.4847686898672929</v>
      </c>
      <c r="CE67" s="45">
        <v>1.2405990704631444</v>
      </c>
      <c r="CF67" s="45">
        <v>0.55251728782877529</v>
      </c>
      <c r="CG67" s="45">
        <v>0</v>
      </c>
      <c r="CH67" s="45">
        <v>0.55251728782877529</v>
      </c>
      <c r="CI67" s="45">
        <v>2.7625736531141015E-2</v>
      </c>
      <c r="CJ67" s="45">
        <v>0</v>
      </c>
      <c r="CK67" s="45">
        <v>2.7625736531141015E-2</v>
      </c>
      <c r="CL67" s="45"/>
      <c r="CM67" s="45">
        <v>0</v>
      </c>
      <c r="CN67" s="45"/>
      <c r="CO67" s="45">
        <v>0</v>
      </c>
      <c r="CP67" s="45">
        <v>0</v>
      </c>
      <c r="CQ67" s="45">
        <v>0</v>
      </c>
      <c r="CR67" s="45">
        <v>0</v>
      </c>
      <c r="CS67" s="45">
        <v>0</v>
      </c>
      <c r="CT67" s="45">
        <v>0</v>
      </c>
      <c r="CU67" s="45">
        <v>5.9849838811692866</v>
      </c>
      <c r="CV67" s="45">
        <v>9999</v>
      </c>
      <c r="CW67" s="200">
        <v>0</v>
      </c>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row>
    <row r="68" spans="1:131">
      <c r="A68" s="24" t="s">
        <v>435</v>
      </c>
      <c r="B68" s="24" t="s">
        <v>617</v>
      </c>
      <c r="C68" s="45">
        <v>16.279069767441861</v>
      </c>
      <c r="D68" s="45">
        <v>6.2518603404583653</v>
      </c>
      <c r="E68" s="45">
        <v>0</v>
      </c>
      <c r="F68" s="45">
        <v>2.008153465301179</v>
      </c>
      <c r="G68" s="45">
        <v>0</v>
      </c>
      <c r="H68" s="45">
        <v>-0.16539163790882275</v>
      </c>
      <c r="I68" s="45" t="s">
        <v>369</v>
      </c>
      <c r="J68" s="45"/>
      <c r="K68" s="45"/>
      <c r="L68" s="45">
        <v>7.0735978583603307</v>
      </c>
      <c r="M68" s="45">
        <v>1.6534036611436324E-3</v>
      </c>
      <c r="N68" s="45">
        <v>1.5686941756580951E-3</v>
      </c>
      <c r="O68" s="45">
        <v>0</v>
      </c>
      <c r="P68" s="45">
        <v>0</v>
      </c>
      <c r="Q68" s="45">
        <v>0</v>
      </c>
      <c r="R68" s="45">
        <v>0.40045262690348349</v>
      </c>
      <c r="S68" s="45">
        <v>9.9148404886417033E-2</v>
      </c>
      <c r="T68" s="45">
        <v>0.82717020321709289</v>
      </c>
      <c r="U68" s="45">
        <v>1.1784791260354839</v>
      </c>
      <c r="V68" s="45" t="s">
        <v>609</v>
      </c>
      <c r="W68" s="45" t="s">
        <v>609</v>
      </c>
      <c r="X68" s="45" t="s">
        <v>609</v>
      </c>
      <c r="Y68" s="45" t="s">
        <v>609</v>
      </c>
      <c r="Z68" s="45">
        <v>0</v>
      </c>
      <c r="AA68" s="45">
        <v>0</v>
      </c>
      <c r="AB68" s="45">
        <v>0</v>
      </c>
      <c r="AC68" s="45">
        <v>0</v>
      </c>
      <c r="AD68" s="45">
        <v>0</v>
      </c>
      <c r="AE68" s="45">
        <v>0</v>
      </c>
      <c r="AF68" s="45">
        <v>0</v>
      </c>
      <c r="AG68" s="45">
        <v>-0.16539163790882275</v>
      </c>
      <c r="AH68" s="45">
        <v>0.40045262690348349</v>
      </c>
      <c r="AI68" s="45">
        <v>9.9148404886417033E-2</v>
      </c>
      <c r="AJ68" s="45">
        <v>0.82717020321709289</v>
      </c>
      <c r="AK68" s="45">
        <v>1.0130874881266612</v>
      </c>
      <c r="AL68" s="45">
        <v>2.3398587231336543</v>
      </c>
      <c r="AM68" s="45">
        <v>3.39265488190884</v>
      </c>
      <c r="AN68" s="45">
        <v>0.58422767870756454</v>
      </c>
      <c r="AO68" s="45">
        <v>0.39768825606164049</v>
      </c>
      <c r="AP68" s="45">
        <v>0</v>
      </c>
      <c r="AQ68" s="45">
        <v>4.3745708166780455</v>
      </c>
      <c r="AR68" s="45">
        <v>0.40045262690348349</v>
      </c>
      <c r="AS68" s="199">
        <v>10.924065726586926</v>
      </c>
      <c r="AT68" s="45">
        <v>3.39265488190884</v>
      </c>
      <c r="AU68" s="45">
        <v>0.66089103926195092</v>
      </c>
      <c r="AV68" s="45">
        <v>0.40535459211707914</v>
      </c>
      <c r="AW68" s="45">
        <v>0</v>
      </c>
      <c r="AX68" s="45">
        <v>4.4589005132878698</v>
      </c>
      <c r="AY68" s="45">
        <v>9.9148404886417033E-2</v>
      </c>
      <c r="AZ68" s="199">
        <v>44.971984354119677</v>
      </c>
      <c r="BA68" s="45">
        <v>3.39265488190884</v>
      </c>
      <c r="BB68" s="45">
        <v>1.2451187179695156</v>
      </c>
      <c r="BC68" s="45">
        <v>0.46377735998783559</v>
      </c>
      <c r="BD68" s="45">
        <v>0</v>
      </c>
      <c r="BE68" s="45">
        <v>5.1015509598661906</v>
      </c>
      <c r="BF68" s="45">
        <v>0.49960103178990051</v>
      </c>
      <c r="BG68" s="45">
        <v>-12.579460684999578</v>
      </c>
      <c r="BH68" s="199">
        <v>10.211249847881758</v>
      </c>
      <c r="BI68" s="45">
        <v>4.1656319459028364</v>
      </c>
      <c r="BJ68" s="45">
        <v>1.0313723397791872</v>
      </c>
      <c r="BK68" s="45">
        <v>8.604480010192411</v>
      </c>
      <c r="BL68" s="45">
        <v>10.538449047437551</v>
      </c>
      <c r="BM68" s="45">
        <v>24.33993334331198</v>
      </c>
      <c r="BN68" s="45">
        <v>3.39265488190884</v>
      </c>
      <c r="BO68" s="45">
        <v>0</v>
      </c>
      <c r="BP68" s="45">
        <v>1.2451187179695156</v>
      </c>
      <c r="BQ68" s="45">
        <v>0</v>
      </c>
      <c r="BR68" s="45">
        <v>0</v>
      </c>
      <c r="BS68" s="45">
        <v>0</v>
      </c>
      <c r="BT68" s="45">
        <v>0</v>
      </c>
      <c r="BU68" s="45">
        <v>0</v>
      </c>
      <c r="BV68" s="45">
        <v>0</v>
      </c>
      <c r="BW68" s="45">
        <v>0.46377735998783559</v>
      </c>
      <c r="BX68" s="45">
        <v>2.505250361042477</v>
      </c>
      <c r="BY68" s="45"/>
      <c r="BZ68" s="45">
        <v>0</v>
      </c>
      <c r="CA68" s="45">
        <v>-0.16539163790882275</v>
      </c>
      <c r="CB68" s="45">
        <v>5.1015509598661914</v>
      </c>
      <c r="CC68" s="45">
        <v>2.3398587231336543</v>
      </c>
      <c r="CD68" s="199">
        <v>2.1023617757641397</v>
      </c>
      <c r="CE68" s="45">
        <v>6.5634683726303704</v>
      </c>
      <c r="CF68" s="45">
        <v>6.7199490672632839E-2</v>
      </c>
      <c r="CG68" s="45">
        <v>0</v>
      </c>
      <c r="CH68" s="45">
        <v>6.7199490672632839E-2</v>
      </c>
      <c r="CI68" s="45">
        <v>3.3599589827211559E-3</v>
      </c>
      <c r="CJ68" s="45">
        <v>0</v>
      </c>
      <c r="CK68" s="45">
        <v>3.3599589827211559E-3</v>
      </c>
      <c r="CL68" s="45"/>
      <c r="CM68" s="45">
        <v>0</v>
      </c>
      <c r="CN68" s="45"/>
      <c r="CO68" s="45">
        <v>0</v>
      </c>
      <c r="CP68" s="45">
        <v>0</v>
      </c>
      <c r="CQ68" s="45">
        <v>0</v>
      </c>
      <c r="CR68" s="45">
        <v>0</v>
      </c>
      <c r="CS68" s="45">
        <v>0</v>
      </c>
      <c r="CT68" s="45">
        <v>0</v>
      </c>
      <c r="CU68" s="45">
        <v>0.82717020321709289</v>
      </c>
      <c r="CV68" s="45">
        <v>9999</v>
      </c>
      <c r="CW68" s="200">
        <v>0</v>
      </c>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row>
    <row r="69" spans="1:131">
      <c r="A69" s="24" t="s">
        <v>416</v>
      </c>
      <c r="B69" s="24" t="s">
        <v>618</v>
      </c>
      <c r="C69" s="45">
        <v>16.744186046511629</v>
      </c>
      <c r="D69" s="45">
        <v>66.935750455655011</v>
      </c>
      <c r="E69" s="45">
        <v>0</v>
      </c>
      <c r="F69" s="45">
        <v>0.75267609869364605</v>
      </c>
      <c r="G69" s="45">
        <v>0</v>
      </c>
      <c r="H69" s="45">
        <v>-5.9700810224120291</v>
      </c>
      <c r="I69" s="45" t="s">
        <v>369</v>
      </c>
      <c r="J69" s="45"/>
      <c r="K69" s="45"/>
      <c r="L69" s="45">
        <v>75.7337104936271</v>
      </c>
      <c r="M69" s="45">
        <v>1.770222123302621E-2</v>
      </c>
      <c r="N69" s="45">
        <v>1.679527631216908E-2</v>
      </c>
      <c r="O69" s="45">
        <v>0</v>
      </c>
      <c r="P69" s="45">
        <v>0</v>
      </c>
      <c r="Q69" s="45">
        <v>0</v>
      </c>
      <c r="R69" s="45">
        <v>0.15009366870481242</v>
      </c>
      <c r="S69" s="45">
        <v>3.7161818492001578E-2</v>
      </c>
      <c r="T69" s="45">
        <v>0.31003170438455352</v>
      </c>
      <c r="U69" s="45">
        <v>0.42160627071111745</v>
      </c>
      <c r="V69" s="45" t="s">
        <v>609</v>
      </c>
      <c r="W69" s="45" t="s">
        <v>609</v>
      </c>
      <c r="X69" s="45" t="s">
        <v>609</v>
      </c>
      <c r="Y69" s="45" t="s">
        <v>609</v>
      </c>
      <c r="Z69" s="45">
        <v>0</v>
      </c>
      <c r="AA69" s="45">
        <v>0</v>
      </c>
      <c r="AB69" s="45">
        <v>0</v>
      </c>
      <c r="AC69" s="45">
        <v>0</v>
      </c>
      <c r="AD69" s="45">
        <v>0</v>
      </c>
      <c r="AE69" s="45">
        <v>0</v>
      </c>
      <c r="AF69" s="45">
        <v>0</v>
      </c>
      <c r="AG69" s="45">
        <v>-5.9700810224120291</v>
      </c>
      <c r="AH69" s="45">
        <v>0.15009366870481242</v>
      </c>
      <c r="AI69" s="45">
        <v>3.7161818492001578E-2</v>
      </c>
      <c r="AJ69" s="45">
        <v>0.31003170438455352</v>
      </c>
      <c r="AK69" s="45">
        <v>-5.5484747517009119</v>
      </c>
      <c r="AL69" s="45">
        <v>-5.0511875601195442</v>
      </c>
      <c r="AM69" s="45">
        <v>36.323572215459947</v>
      </c>
      <c r="AN69" s="45">
        <v>6.2550530532787034</v>
      </c>
      <c r="AO69" s="45">
        <v>4.2578625268738657</v>
      </c>
      <c r="AP69" s="45">
        <v>0</v>
      </c>
      <c r="AQ69" s="45">
        <v>46.836487795612513</v>
      </c>
      <c r="AR69" s="45">
        <v>0.15009366870481242</v>
      </c>
      <c r="AS69" s="199">
        <v>312.04839084668737</v>
      </c>
      <c r="AT69" s="45">
        <v>36.323572215459947</v>
      </c>
      <c r="AU69" s="45">
        <v>7.0758518702247777</v>
      </c>
      <c r="AV69" s="45">
        <v>4.339942408568473</v>
      </c>
      <c r="AW69" s="45">
        <v>0</v>
      </c>
      <c r="AX69" s="45">
        <v>47.739366494253204</v>
      </c>
      <c r="AY69" s="45">
        <v>3.7161818492001578E-2</v>
      </c>
      <c r="AZ69" s="199">
        <v>1284.6348330485564</v>
      </c>
      <c r="BA69" s="45">
        <v>36.323572215459947</v>
      </c>
      <c r="BB69" s="45">
        <v>13.330904923503482</v>
      </c>
      <c r="BC69" s="45">
        <v>4.9654477138963431</v>
      </c>
      <c r="BD69" s="45">
        <v>0</v>
      </c>
      <c r="BE69" s="45">
        <v>54.619924852859775</v>
      </c>
      <c r="BF69" s="45">
        <v>0.18725548719681401</v>
      </c>
      <c r="BG69" s="45">
        <v>-17.594530315469623</v>
      </c>
      <c r="BH69" s="199">
        <v>291.68664518467091</v>
      </c>
      <c r="BI69" s="45">
        <v>0.14582878330614463</v>
      </c>
      <c r="BJ69" s="45">
        <v>3.6105871905832233E-2</v>
      </c>
      <c r="BK69" s="45">
        <v>0.30122220761787627</v>
      </c>
      <c r="BL69" s="45">
        <v>-5.3908158100706354</v>
      </c>
      <c r="BM69" s="45">
        <v>-4.9076589472407823</v>
      </c>
      <c r="BN69" s="45">
        <v>36.323572215459947</v>
      </c>
      <c r="BO69" s="45">
        <v>0</v>
      </c>
      <c r="BP69" s="45">
        <v>13.330904923503482</v>
      </c>
      <c r="BQ69" s="45">
        <v>0</v>
      </c>
      <c r="BR69" s="45">
        <v>0</v>
      </c>
      <c r="BS69" s="45">
        <v>0</v>
      </c>
      <c r="BT69" s="45">
        <v>0</v>
      </c>
      <c r="BU69" s="45">
        <v>0</v>
      </c>
      <c r="BV69" s="45">
        <v>0</v>
      </c>
      <c r="BW69" s="45">
        <v>4.9654477138963431</v>
      </c>
      <c r="BX69" s="45">
        <v>0.91889346229248492</v>
      </c>
      <c r="BY69" s="45"/>
      <c r="BZ69" s="45">
        <v>0</v>
      </c>
      <c r="CA69" s="45">
        <v>-5.9700810224120291</v>
      </c>
      <c r="CB69" s="45">
        <v>54.619924852859768</v>
      </c>
      <c r="CC69" s="45">
        <v>-5.0511875601195442</v>
      </c>
      <c r="CD69" s="199">
        <v>65.938009531714272</v>
      </c>
      <c r="CE69" s="45">
        <v>-22.684123917922378</v>
      </c>
      <c r="CF69" s="45">
        <v>0.71947357961625447</v>
      </c>
      <c r="CG69" s="45">
        <v>0</v>
      </c>
      <c r="CH69" s="45">
        <v>0.71947357961625447</v>
      </c>
      <c r="CI69" s="45">
        <v>3.5973512484472864E-2</v>
      </c>
      <c r="CJ69" s="45">
        <v>0</v>
      </c>
      <c r="CK69" s="45">
        <v>3.5973512484472864E-2</v>
      </c>
      <c r="CL69" s="45"/>
      <c r="CM69" s="45">
        <v>0</v>
      </c>
      <c r="CN69" s="45"/>
      <c r="CO69" s="45">
        <v>0</v>
      </c>
      <c r="CP69" s="45">
        <v>0</v>
      </c>
      <c r="CQ69" s="45">
        <v>0</v>
      </c>
      <c r="CR69" s="45">
        <v>0</v>
      </c>
      <c r="CS69" s="45">
        <v>0</v>
      </c>
      <c r="CT69" s="45">
        <v>0</v>
      </c>
      <c r="CU69" s="45">
        <v>0.31003170438455352</v>
      </c>
      <c r="CV69" s="45">
        <v>9999</v>
      </c>
      <c r="CW69" s="200">
        <v>0</v>
      </c>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row>
    <row r="70" spans="1:131">
      <c r="A70" s="24" t="s">
        <v>419</v>
      </c>
      <c r="B70" s="24" t="s">
        <v>619</v>
      </c>
      <c r="C70" s="45">
        <v>16.744186046511629</v>
      </c>
      <c r="D70" s="45">
        <v>28.880984703126135</v>
      </c>
      <c r="E70" s="45">
        <v>0</v>
      </c>
      <c r="F70" s="45">
        <v>0.93212841418794667</v>
      </c>
      <c r="G70" s="45">
        <v>0</v>
      </c>
      <c r="H70" s="45">
        <v>-1.9132235365066426</v>
      </c>
      <c r="I70" s="45" t="s">
        <v>369</v>
      </c>
      <c r="J70" s="45"/>
      <c r="K70" s="45"/>
      <c r="L70" s="45">
        <v>32.677068971184418</v>
      </c>
      <c r="M70" s="45">
        <v>7.6380346401149751E-3</v>
      </c>
      <c r="N70" s="45">
        <v>7.2467121822722717E-3</v>
      </c>
      <c r="O70" s="45">
        <v>0</v>
      </c>
      <c r="P70" s="45">
        <v>0</v>
      </c>
      <c r="Q70" s="45">
        <v>0</v>
      </c>
      <c r="R70" s="45">
        <v>0.1858788576285223</v>
      </c>
      <c r="S70" s="45">
        <v>4.6021903710521221E-2</v>
      </c>
      <c r="T70" s="45">
        <v>0.38394916678971691</v>
      </c>
      <c r="U70" s="45">
        <v>0.52212523449559312</v>
      </c>
      <c r="V70" s="45" t="s">
        <v>609</v>
      </c>
      <c r="W70" s="45" t="s">
        <v>609</v>
      </c>
      <c r="X70" s="45" t="s">
        <v>609</v>
      </c>
      <c r="Y70" s="45" t="s">
        <v>609</v>
      </c>
      <c r="Z70" s="45">
        <v>0</v>
      </c>
      <c r="AA70" s="45">
        <v>0</v>
      </c>
      <c r="AB70" s="45">
        <v>0</v>
      </c>
      <c r="AC70" s="45">
        <v>0</v>
      </c>
      <c r="AD70" s="45">
        <v>0</v>
      </c>
      <c r="AE70" s="45">
        <v>0</v>
      </c>
      <c r="AF70" s="45">
        <v>0</v>
      </c>
      <c r="AG70" s="45">
        <v>-1.9132235365066426</v>
      </c>
      <c r="AH70" s="45">
        <v>0.1858788576285223</v>
      </c>
      <c r="AI70" s="45">
        <v>4.6021903710521221E-2</v>
      </c>
      <c r="AJ70" s="45">
        <v>0.38394916678971691</v>
      </c>
      <c r="AK70" s="45">
        <v>-1.3910983020110494</v>
      </c>
      <c r="AL70" s="45">
        <v>-0.77524837388228907</v>
      </c>
      <c r="AM70" s="45">
        <v>15.672649165450091</v>
      </c>
      <c r="AN70" s="45">
        <v>2.6988879682265878</v>
      </c>
      <c r="AO70" s="45">
        <v>1.8371537133676679</v>
      </c>
      <c r="AP70" s="45">
        <v>0</v>
      </c>
      <c r="AQ70" s="45">
        <v>20.208690847044345</v>
      </c>
      <c r="AR70" s="45">
        <v>0.1858788576285223</v>
      </c>
      <c r="AS70" s="199">
        <v>108.71968498661253</v>
      </c>
      <c r="AT70" s="45">
        <v>15.672649165450091</v>
      </c>
      <c r="AU70" s="45">
        <v>3.0530406880391272</v>
      </c>
      <c r="AV70" s="45">
        <v>1.8725689853489218</v>
      </c>
      <c r="AW70" s="45">
        <v>0</v>
      </c>
      <c r="AX70" s="45">
        <v>20.598258838838142</v>
      </c>
      <c r="AY70" s="45">
        <v>4.6021903710521221E-2</v>
      </c>
      <c r="AZ70" s="199">
        <v>447.57511484969501</v>
      </c>
      <c r="BA70" s="45">
        <v>15.672649165450091</v>
      </c>
      <c r="BB70" s="45">
        <v>5.751928656265715</v>
      </c>
      <c r="BC70" s="45">
        <v>2.1424577821715807</v>
      </c>
      <c r="BD70" s="45">
        <v>0</v>
      </c>
      <c r="BE70" s="45">
        <v>23.567035603887387</v>
      </c>
      <c r="BF70" s="45">
        <v>0.23190076133904353</v>
      </c>
      <c r="BG70" s="45">
        <v>-17.254274197178763</v>
      </c>
      <c r="BH70" s="199">
        <v>101.62552062272842</v>
      </c>
      <c r="BI70" s="45">
        <v>0.41855931771156418</v>
      </c>
      <c r="BJ70" s="45">
        <v>0.10363145579127586</v>
      </c>
      <c r="BK70" s="45">
        <v>0.86457116929670608</v>
      </c>
      <c r="BL70" s="45">
        <v>-3.1324549956246104</v>
      </c>
      <c r="BM70" s="45">
        <v>-1.7456930528250643</v>
      </c>
      <c r="BN70" s="45">
        <v>15.672649165450091</v>
      </c>
      <c r="BO70" s="45">
        <v>0</v>
      </c>
      <c r="BP70" s="45">
        <v>5.751928656265715</v>
      </c>
      <c r="BQ70" s="45">
        <v>0</v>
      </c>
      <c r="BR70" s="45">
        <v>0</v>
      </c>
      <c r="BS70" s="45">
        <v>0</v>
      </c>
      <c r="BT70" s="45">
        <v>0</v>
      </c>
      <c r="BU70" s="45">
        <v>0</v>
      </c>
      <c r="BV70" s="45">
        <v>0</v>
      </c>
      <c r="BW70" s="45">
        <v>2.1424577821715807</v>
      </c>
      <c r="BX70" s="45">
        <v>1.1379751626243535</v>
      </c>
      <c r="BY70" s="45"/>
      <c r="BZ70" s="45">
        <v>0</v>
      </c>
      <c r="CA70" s="45">
        <v>-1.9132235365066426</v>
      </c>
      <c r="CB70" s="45">
        <v>23.567035603887383</v>
      </c>
      <c r="CC70" s="45">
        <v>-0.77524837388228907</v>
      </c>
      <c r="CD70" s="199">
        <v>22.390874579048337</v>
      </c>
      <c r="CE70" s="45">
        <v>-19.522158023506659</v>
      </c>
      <c r="CF70" s="45">
        <v>0.310433592000535</v>
      </c>
      <c r="CG70" s="45">
        <v>0</v>
      </c>
      <c r="CH70" s="45">
        <v>0.310433592000535</v>
      </c>
      <c r="CI70" s="45">
        <v>1.5521607761312598E-2</v>
      </c>
      <c r="CJ70" s="45">
        <v>0</v>
      </c>
      <c r="CK70" s="45">
        <v>1.5521607761312598E-2</v>
      </c>
      <c r="CL70" s="45"/>
      <c r="CM70" s="45">
        <v>0</v>
      </c>
      <c r="CN70" s="45"/>
      <c r="CO70" s="45">
        <v>0</v>
      </c>
      <c r="CP70" s="45">
        <v>0</v>
      </c>
      <c r="CQ70" s="45">
        <v>0</v>
      </c>
      <c r="CR70" s="45">
        <v>0</v>
      </c>
      <c r="CS70" s="45">
        <v>0</v>
      </c>
      <c r="CT70" s="45">
        <v>0</v>
      </c>
      <c r="CU70" s="45">
        <v>0.38394916678971691</v>
      </c>
      <c r="CV70" s="45">
        <v>9999</v>
      </c>
      <c r="CW70" s="200">
        <v>0</v>
      </c>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row>
    <row r="71" spans="1:131">
      <c r="A71" s="24" t="s">
        <v>431</v>
      </c>
      <c r="B71" s="24" t="s">
        <v>620</v>
      </c>
      <c r="C71" s="45">
        <v>16.744186046511629</v>
      </c>
      <c r="D71" s="45">
        <v>66.935750455655011</v>
      </c>
      <c r="E71" s="45">
        <v>0</v>
      </c>
      <c r="F71" s="45">
        <v>19.271398161973615</v>
      </c>
      <c r="G71" s="45">
        <v>0</v>
      </c>
      <c r="H71" s="45">
        <v>-5.9700810224120291</v>
      </c>
      <c r="I71" s="45" t="s">
        <v>369</v>
      </c>
      <c r="J71" s="45"/>
      <c r="K71" s="45"/>
      <c r="L71" s="45">
        <v>75.7337104936271</v>
      </c>
      <c r="M71" s="45">
        <v>1.770222123302621E-2</v>
      </c>
      <c r="N71" s="45">
        <v>1.679527631216908E-2</v>
      </c>
      <c r="O71" s="45">
        <v>0</v>
      </c>
      <c r="P71" s="45">
        <v>0</v>
      </c>
      <c r="Q71" s="45">
        <v>0</v>
      </c>
      <c r="R71" s="45">
        <v>3.8429742305117474</v>
      </c>
      <c r="S71" s="45">
        <v>0.95148524288911629</v>
      </c>
      <c r="T71" s="45">
        <v>7.9380020548013572</v>
      </c>
      <c r="U71" s="45">
        <v>10.794739363400179</v>
      </c>
      <c r="V71" s="45" t="s">
        <v>609</v>
      </c>
      <c r="W71" s="45" t="s">
        <v>609</v>
      </c>
      <c r="X71" s="45" t="s">
        <v>609</v>
      </c>
      <c r="Y71" s="45" t="s">
        <v>609</v>
      </c>
      <c r="Z71" s="45">
        <v>0</v>
      </c>
      <c r="AA71" s="45">
        <v>0</v>
      </c>
      <c r="AB71" s="45">
        <v>0</v>
      </c>
      <c r="AC71" s="45">
        <v>0</v>
      </c>
      <c r="AD71" s="45">
        <v>0</v>
      </c>
      <c r="AE71" s="45">
        <v>0</v>
      </c>
      <c r="AF71" s="45">
        <v>0</v>
      </c>
      <c r="AG71" s="45">
        <v>-5.9700810224120291</v>
      </c>
      <c r="AH71" s="45">
        <v>3.8429742305117474</v>
      </c>
      <c r="AI71" s="45">
        <v>0.95148524288911629</v>
      </c>
      <c r="AJ71" s="45">
        <v>7.9380020548013572</v>
      </c>
      <c r="AK71" s="45">
        <v>4.8246583409881501</v>
      </c>
      <c r="AL71" s="45">
        <v>17.55711986919037</v>
      </c>
      <c r="AM71" s="45">
        <v>36.323572215459947</v>
      </c>
      <c r="AN71" s="45">
        <v>6.2550530532787034</v>
      </c>
      <c r="AO71" s="45">
        <v>4.2578625268738657</v>
      </c>
      <c r="AP71" s="45">
        <v>0</v>
      </c>
      <c r="AQ71" s="45">
        <v>46.836487795612513</v>
      </c>
      <c r="AR71" s="45">
        <v>3.8429742305117474</v>
      </c>
      <c r="AS71" s="199">
        <v>12.187562285416512</v>
      </c>
      <c r="AT71" s="45">
        <v>36.323572215459947</v>
      </c>
      <c r="AU71" s="45">
        <v>7.0758518702247777</v>
      </c>
      <c r="AV71" s="45">
        <v>4.339942408568473</v>
      </c>
      <c r="AW71" s="45">
        <v>0</v>
      </c>
      <c r="AX71" s="45">
        <v>47.739366494253204</v>
      </c>
      <c r="AY71" s="45">
        <v>0.95148524288911629</v>
      </c>
      <c r="AZ71" s="199">
        <v>50.173522764573903</v>
      </c>
      <c r="BA71" s="45">
        <v>36.323572215459947</v>
      </c>
      <c r="BB71" s="45">
        <v>13.330904923503482</v>
      </c>
      <c r="BC71" s="45">
        <v>4.9654477138963431</v>
      </c>
      <c r="BD71" s="45">
        <v>0</v>
      </c>
      <c r="BE71" s="45">
        <v>54.619924852859775</v>
      </c>
      <c r="BF71" s="45">
        <v>4.7944594734008632</v>
      </c>
      <c r="BG71" s="45">
        <v>-13.118239226385104</v>
      </c>
      <c r="BH71" s="199">
        <v>11.39230087476704</v>
      </c>
      <c r="BI71" s="45">
        <v>3.7337767885103808</v>
      </c>
      <c r="BJ71" s="45">
        <v>0.92444895578611774</v>
      </c>
      <c r="BK71" s="45">
        <v>7.7124451119252475</v>
      </c>
      <c r="BL71" s="45">
        <v>4.6875665163322493</v>
      </c>
      <c r="BM71" s="45">
        <v>17.058237372553993</v>
      </c>
      <c r="BN71" s="45">
        <v>36.323572215459947</v>
      </c>
      <c r="BO71" s="45">
        <v>0</v>
      </c>
      <c r="BP71" s="45">
        <v>13.330904923503482</v>
      </c>
      <c r="BQ71" s="45">
        <v>0</v>
      </c>
      <c r="BR71" s="45">
        <v>0</v>
      </c>
      <c r="BS71" s="45">
        <v>0</v>
      </c>
      <c r="BT71" s="45">
        <v>0</v>
      </c>
      <c r="BU71" s="45">
        <v>0</v>
      </c>
      <c r="BV71" s="45">
        <v>0</v>
      </c>
      <c r="BW71" s="45">
        <v>4.9654477138963431</v>
      </c>
      <c r="BX71" s="45">
        <v>23.527200891602398</v>
      </c>
      <c r="BY71" s="45"/>
      <c r="BZ71" s="45">
        <v>0</v>
      </c>
      <c r="CA71" s="45">
        <v>-5.9700810224120291</v>
      </c>
      <c r="CB71" s="45">
        <v>54.619924852859768</v>
      </c>
      <c r="CC71" s="45">
        <v>17.55711986919037</v>
      </c>
      <c r="CD71" s="199">
        <v>2.5753172319320949</v>
      </c>
      <c r="CE71" s="45">
        <v>-0.71822759812759884</v>
      </c>
      <c r="CF71" s="45">
        <v>0.71947357961625447</v>
      </c>
      <c r="CG71" s="45">
        <v>0</v>
      </c>
      <c r="CH71" s="45">
        <v>0.71947357961625447</v>
      </c>
      <c r="CI71" s="45">
        <v>3.5973512484472864E-2</v>
      </c>
      <c r="CJ71" s="45">
        <v>0</v>
      </c>
      <c r="CK71" s="45">
        <v>3.5973512484472864E-2</v>
      </c>
      <c r="CL71" s="45"/>
      <c r="CM71" s="45">
        <v>0</v>
      </c>
      <c r="CN71" s="45"/>
      <c r="CO71" s="45">
        <v>0</v>
      </c>
      <c r="CP71" s="45">
        <v>0</v>
      </c>
      <c r="CQ71" s="45">
        <v>0</v>
      </c>
      <c r="CR71" s="45">
        <v>0</v>
      </c>
      <c r="CS71" s="45">
        <v>0</v>
      </c>
      <c r="CT71" s="45">
        <v>0</v>
      </c>
      <c r="CU71" s="45">
        <v>7.9380020548013572</v>
      </c>
      <c r="CV71" s="45">
        <v>9999</v>
      </c>
      <c r="CW71" s="200">
        <v>0</v>
      </c>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row>
    <row r="72" spans="1:131">
      <c r="A72" s="24" t="s">
        <v>426</v>
      </c>
      <c r="B72" s="24" t="s">
        <v>621</v>
      </c>
      <c r="C72" s="45">
        <v>16.744186046511629</v>
      </c>
      <c r="D72" s="45">
        <v>28.880984703126135</v>
      </c>
      <c r="E72" s="45">
        <v>0</v>
      </c>
      <c r="F72" s="45">
        <v>5.9720678877064044</v>
      </c>
      <c r="G72" s="45">
        <v>0</v>
      </c>
      <c r="H72" s="45">
        <v>-1.9132235365066426</v>
      </c>
      <c r="I72" s="45" t="s">
        <v>369</v>
      </c>
      <c r="J72" s="45"/>
      <c r="K72" s="45"/>
      <c r="L72" s="45">
        <v>32.677068971184418</v>
      </c>
      <c r="M72" s="45">
        <v>7.6380346401149751E-3</v>
      </c>
      <c r="N72" s="45">
        <v>7.2467121822722717E-3</v>
      </c>
      <c r="O72" s="45">
        <v>0</v>
      </c>
      <c r="P72" s="45">
        <v>0</v>
      </c>
      <c r="Q72" s="45">
        <v>0</v>
      </c>
      <c r="R72" s="45">
        <v>1.1909101146905077</v>
      </c>
      <c r="S72" s="45">
        <v>0.29485844342612472</v>
      </c>
      <c r="T72" s="45">
        <v>2.4599298279026209</v>
      </c>
      <c r="U72" s="45">
        <v>3.3452122034159837</v>
      </c>
      <c r="V72" s="45" t="s">
        <v>609</v>
      </c>
      <c r="W72" s="45" t="s">
        <v>609</v>
      </c>
      <c r="X72" s="45" t="s">
        <v>609</v>
      </c>
      <c r="Y72" s="45" t="s">
        <v>609</v>
      </c>
      <c r="Z72" s="45">
        <v>0</v>
      </c>
      <c r="AA72" s="45">
        <v>0</v>
      </c>
      <c r="AB72" s="45">
        <v>0</v>
      </c>
      <c r="AC72" s="45">
        <v>0</v>
      </c>
      <c r="AD72" s="45">
        <v>0</v>
      </c>
      <c r="AE72" s="45">
        <v>0</v>
      </c>
      <c r="AF72" s="45">
        <v>0</v>
      </c>
      <c r="AG72" s="45">
        <v>-1.9132235365066426</v>
      </c>
      <c r="AH72" s="45">
        <v>1.1909101146905077</v>
      </c>
      <c r="AI72" s="45">
        <v>0.29485844342612472</v>
      </c>
      <c r="AJ72" s="45">
        <v>2.4599298279026209</v>
      </c>
      <c r="AK72" s="45">
        <v>1.4319886669093411</v>
      </c>
      <c r="AL72" s="45">
        <v>5.3776870529285947</v>
      </c>
      <c r="AM72" s="45">
        <v>15.672649165450091</v>
      </c>
      <c r="AN72" s="45">
        <v>2.6988879682265878</v>
      </c>
      <c r="AO72" s="45">
        <v>1.8371537133676679</v>
      </c>
      <c r="AP72" s="45">
        <v>0</v>
      </c>
      <c r="AQ72" s="45">
        <v>20.208690847044345</v>
      </c>
      <c r="AR72" s="45">
        <v>1.1909101146905077</v>
      </c>
      <c r="AS72" s="199">
        <v>16.969115131158453</v>
      </c>
      <c r="AT72" s="45">
        <v>15.672649165450091</v>
      </c>
      <c r="AU72" s="45">
        <v>3.0530406880391272</v>
      </c>
      <c r="AV72" s="45">
        <v>1.8725689853489218</v>
      </c>
      <c r="AW72" s="45">
        <v>0</v>
      </c>
      <c r="AX72" s="45">
        <v>20.598258838838142</v>
      </c>
      <c r="AY72" s="45">
        <v>0.29485844342612472</v>
      </c>
      <c r="AZ72" s="199">
        <v>69.858127851098587</v>
      </c>
      <c r="BA72" s="45">
        <v>15.672649165450091</v>
      </c>
      <c r="BB72" s="45">
        <v>5.751928656265715</v>
      </c>
      <c r="BC72" s="45">
        <v>2.1424577821715807</v>
      </c>
      <c r="BD72" s="45">
        <v>0</v>
      </c>
      <c r="BE72" s="45">
        <v>23.567035603887387</v>
      </c>
      <c r="BF72" s="45">
        <v>1.4857685581166324</v>
      </c>
      <c r="BG72" s="45">
        <v>-14.430832864391068</v>
      </c>
      <c r="BH72" s="199">
        <v>15.861848384893188</v>
      </c>
      <c r="BI72" s="45">
        <v>2.6816741366941352</v>
      </c>
      <c r="BJ72" s="45">
        <v>0.66395796959640341</v>
      </c>
      <c r="BK72" s="45">
        <v>5.5392343353161158</v>
      </c>
      <c r="BL72" s="45">
        <v>3.2245313266886311</v>
      </c>
      <c r="BM72" s="45">
        <v>12.109397768295285</v>
      </c>
      <c r="BN72" s="45">
        <v>15.672649165450091</v>
      </c>
      <c r="BO72" s="45">
        <v>0</v>
      </c>
      <c r="BP72" s="45">
        <v>5.751928656265715</v>
      </c>
      <c r="BQ72" s="45">
        <v>0</v>
      </c>
      <c r="BR72" s="45">
        <v>0</v>
      </c>
      <c r="BS72" s="45">
        <v>0</v>
      </c>
      <c r="BT72" s="45">
        <v>0</v>
      </c>
      <c r="BU72" s="45">
        <v>0</v>
      </c>
      <c r="BV72" s="45">
        <v>0</v>
      </c>
      <c r="BW72" s="45">
        <v>2.1424577821715807</v>
      </c>
      <c r="BX72" s="45">
        <v>7.2909105894352368</v>
      </c>
      <c r="BY72" s="45"/>
      <c r="BZ72" s="45">
        <v>0</v>
      </c>
      <c r="CA72" s="45">
        <v>-1.9132235365066426</v>
      </c>
      <c r="CB72" s="45">
        <v>23.567035603887383</v>
      </c>
      <c r="CC72" s="45">
        <v>5.3776870529285947</v>
      </c>
      <c r="CD72" s="199">
        <v>3.4947979169180519</v>
      </c>
      <c r="CE72" s="45">
        <v>-5.667067202386316</v>
      </c>
      <c r="CF72" s="45">
        <v>0.310433592000535</v>
      </c>
      <c r="CG72" s="45">
        <v>0</v>
      </c>
      <c r="CH72" s="45">
        <v>0.310433592000535</v>
      </c>
      <c r="CI72" s="45">
        <v>1.5521607761312598E-2</v>
      </c>
      <c r="CJ72" s="45">
        <v>0</v>
      </c>
      <c r="CK72" s="45">
        <v>1.5521607761312598E-2</v>
      </c>
      <c r="CL72" s="45"/>
      <c r="CM72" s="45">
        <v>0</v>
      </c>
      <c r="CN72" s="45"/>
      <c r="CO72" s="45">
        <v>0</v>
      </c>
      <c r="CP72" s="45">
        <v>0</v>
      </c>
      <c r="CQ72" s="45">
        <v>0</v>
      </c>
      <c r="CR72" s="45">
        <v>0</v>
      </c>
      <c r="CS72" s="45">
        <v>0</v>
      </c>
      <c r="CT72" s="45">
        <v>0</v>
      </c>
      <c r="CU72" s="45">
        <v>2.4599298279026209</v>
      </c>
      <c r="CV72" s="45">
        <v>9999</v>
      </c>
      <c r="CW72" s="200">
        <v>0</v>
      </c>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row>
    <row r="73" spans="1:131">
      <c r="A73" s="24" t="s">
        <v>436</v>
      </c>
      <c r="B73" s="24" t="s">
        <v>622</v>
      </c>
      <c r="C73" s="45">
        <v>16.744186046511629</v>
      </c>
      <c r="D73" s="45">
        <v>66.935750455655011</v>
      </c>
      <c r="E73" s="45">
        <v>0</v>
      </c>
      <c r="F73" s="45">
        <v>23.583436394929375</v>
      </c>
      <c r="G73" s="45">
        <v>0</v>
      </c>
      <c r="H73" s="45">
        <v>-5.9700810224120291</v>
      </c>
      <c r="I73" s="45" t="s">
        <v>369</v>
      </c>
      <c r="J73" s="45"/>
      <c r="K73" s="45"/>
      <c r="L73" s="45">
        <v>75.7337104936271</v>
      </c>
      <c r="M73" s="45">
        <v>1.770222123302621E-2</v>
      </c>
      <c r="N73" s="45">
        <v>1.679527631216908E-2</v>
      </c>
      <c r="O73" s="45">
        <v>0</v>
      </c>
      <c r="P73" s="45">
        <v>0</v>
      </c>
      <c r="Q73" s="45">
        <v>0</v>
      </c>
      <c r="R73" s="45">
        <v>4.7028522565352278</v>
      </c>
      <c r="S73" s="45">
        <v>1.1643831712567014</v>
      </c>
      <c r="T73" s="45">
        <v>9.714155921059259</v>
      </c>
      <c r="U73" s="45">
        <v>13.210097525716677</v>
      </c>
      <c r="V73" s="45" t="s">
        <v>609</v>
      </c>
      <c r="W73" s="45" t="s">
        <v>609</v>
      </c>
      <c r="X73" s="45" t="s">
        <v>609</v>
      </c>
      <c r="Y73" s="45" t="s">
        <v>609</v>
      </c>
      <c r="Z73" s="45">
        <v>0</v>
      </c>
      <c r="AA73" s="45">
        <v>0</v>
      </c>
      <c r="AB73" s="45">
        <v>0</v>
      </c>
      <c r="AC73" s="45">
        <v>0</v>
      </c>
      <c r="AD73" s="45">
        <v>0</v>
      </c>
      <c r="AE73" s="45">
        <v>0</v>
      </c>
      <c r="AF73" s="45">
        <v>0</v>
      </c>
      <c r="AG73" s="45">
        <v>-5.9700810224120291</v>
      </c>
      <c r="AH73" s="45">
        <v>4.7028522565352278</v>
      </c>
      <c r="AI73" s="45">
        <v>1.1643831712567014</v>
      </c>
      <c r="AJ73" s="45">
        <v>9.714155921059259</v>
      </c>
      <c r="AK73" s="45">
        <v>7.2400165033046475</v>
      </c>
      <c r="AL73" s="45">
        <v>22.821407852155836</v>
      </c>
      <c r="AM73" s="45">
        <v>36.323572215459947</v>
      </c>
      <c r="AN73" s="45">
        <v>6.2550530532787034</v>
      </c>
      <c r="AO73" s="45">
        <v>4.2578625268738657</v>
      </c>
      <c r="AP73" s="45">
        <v>0</v>
      </c>
      <c r="AQ73" s="45">
        <v>46.836487795612513</v>
      </c>
      <c r="AR73" s="45">
        <v>4.7028522565352278</v>
      </c>
      <c r="AS73" s="199">
        <v>9.9591663188072932</v>
      </c>
      <c r="AT73" s="45">
        <v>36.323572215459947</v>
      </c>
      <c r="AU73" s="45">
        <v>7.0758518702247777</v>
      </c>
      <c r="AV73" s="45">
        <v>4.339942408568473</v>
      </c>
      <c r="AW73" s="45">
        <v>0</v>
      </c>
      <c r="AX73" s="45">
        <v>47.739366494253204</v>
      </c>
      <c r="AY73" s="45">
        <v>1.1643831712567014</v>
      </c>
      <c r="AZ73" s="199">
        <v>40.999704970597278</v>
      </c>
      <c r="BA73" s="45">
        <v>36.323572215459947</v>
      </c>
      <c r="BB73" s="45">
        <v>13.330904923503482</v>
      </c>
      <c r="BC73" s="45">
        <v>4.9654477138963431</v>
      </c>
      <c r="BD73" s="45">
        <v>0</v>
      </c>
      <c r="BE73" s="45">
        <v>54.619924852859775</v>
      </c>
      <c r="BF73" s="45">
        <v>5.867235427791929</v>
      </c>
      <c r="BG73" s="45">
        <v>-12.075946013494095</v>
      </c>
      <c r="BH73" s="199">
        <v>9.3093119451345068</v>
      </c>
      <c r="BI73" s="45">
        <v>4.5692215305088348</v>
      </c>
      <c r="BJ73" s="45">
        <v>1.1312974266786693</v>
      </c>
      <c r="BK73" s="45">
        <v>9.4381298760860535</v>
      </c>
      <c r="BL73" s="45">
        <v>7.0342926980468468</v>
      </c>
      <c r="BM73" s="45">
        <v>22.172941531320408</v>
      </c>
      <c r="BN73" s="45">
        <v>36.323572215459947</v>
      </c>
      <c r="BO73" s="45">
        <v>0</v>
      </c>
      <c r="BP73" s="45">
        <v>13.330904923503482</v>
      </c>
      <c r="BQ73" s="45">
        <v>0</v>
      </c>
      <c r="BR73" s="45">
        <v>0</v>
      </c>
      <c r="BS73" s="45">
        <v>0</v>
      </c>
      <c r="BT73" s="45">
        <v>0</v>
      </c>
      <c r="BU73" s="45">
        <v>0</v>
      </c>
      <c r="BV73" s="45">
        <v>0</v>
      </c>
      <c r="BW73" s="45">
        <v>4.9654477138963431</v>
      </c>
      <c r="BX73" s="45">
        <v>28.791488874567865</v>
      </c>
      <c r="BY73" s="45"/>
      <c r="BZ73" s="45">
        <v>0</v>
      </c>
      <c r="CA73" s="45">
        <v>-5.9700810224120291</v>
      </c>
      <c r="CB73" s="45">
        <v>54.619924852859768</v>
      </c>
      <c r="CC73" s="45">
        <v>22.821407852155836</v>
      </c>
      <c r="CD73" s="199">
        <v>2.1044415639370508</v>
      </c>
      <c r="CE73" s="45">
        <v>4.3964765606388108</v>
      </c>
      <c r="CF73" s="45">
        <v>0.71947357961625447</v>
      </c>
      <c r="CG73" s="45">
        <v>0</v>
      </c>
      <c r="CH73" s="45">
        <v>0.71947357961625447</v>
      </c>
      <c r="CI73" s="45">
        <v>3.5973512484472864E-2</v>
      </c>
      <c r="CJ73" s="45">
        <v>0</v>
      </c>
      <c r="CK73" s="45">
        <v>3.5973512484472864E-2</v>
      </c>
      <c r="CL73" s="45"/>
      <c r="CM73" s="45">
        <v>0</v>
      </c>
      <c r="CN73" s="45"/>
      <c r="CO73" s="45">
        <v>0</v>
      </c>
      <c r="CP73" s="45">
        <v>0</v>
      </c>
      <c r="CQ73" s="45">
        <v>0</v>
      </c>
      <c r="CR73" s="45">
        <v>0</v>
      </c>
      <c r="CS73" s="45">
        <v>0</v>
      </c>
      <c r="CT73" s="45">
        <v>0</v>
      </c>
      <c r="CU73" s="45">
        <v>9.714155921059259</v>
      </c>
      <c r="CV73" s="45">
        <v>9999</v>
      </c>
      <c r="CW73" s="200">
        <v>0</v>
      </c>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row>
    <row r="74" spans="1:131">
      <c r="A74" s="24" t="s">
        <v>427</v>
      </c>
      <c r="B74" s="24" t="s">
        <v>623</v>
      </c>
      <c r="C74" s="45">
        <v>16.744186046511629</v>
      </c>
      <c r="D74" s="45">
        <v>28.880984703126135</v>
      </c>
      <c r="E74" s="45">
        <v>0</v>
      </c>
      <c r="F74" s="45">
        <v>6.677762119662626</v>
      </c>
      <c r="G74" s="45">
        <v>0</v>
      </c>
      <c r="H74" s="45">
        <v>-1.9132235365066426</v>
      </c>
      <c r="I74" s="45" t="s">
        <v>369</v>
      </c>
      <c r="J74" s="45"/>
      <c r="K74" s="45"/>
      <c r="L74" s="45">
        <v>32.677068971184418</v>
      </c>
      <c r="M74" s="45">
        <v>7.6380346401149751E-3</v>
      </c>
      <c r="N74" s="45">
        <v>7.2467121822722717E-3</v>
      </c>
      <c r="O74" s="45">
        <v>0</v>
      </c>
      <c r="P74" s="45">
        <v>0</v>
      </c>
      <c r="Q74" s="45">
        <v>0</v>
      </c>
      <c r="R74" s="45">
        <v>1.3316349715605087</v>
      </c>
      <c r="S74" s="45">
        <v>0.3297006298650535</v>
      </c>
      <c r="T74" s="45">
        <v>2.7506094255243152</v>
      </c>
      <c r="U74" s="45">
        <v>3.7405019089264906</v>
      </c>
      <c r="V74" s="45" t="s">
        <v>609</v>
      </c>
      <c r="W74" s="45" t="s">
        <v>609</v>
      </c>
      <c r="X74" s="45" t="s">
        <v>609</v>
      </c>
      <c r="Y74" s="45" t="s">
        <v>609</v>
      </c>
      <c r="Z74" s="45">
        <v>0</v>
      </c>
      <c r="AA74" s="45">
        <v>0</v>
      </c>
      <c r="AB74" s="45">
        <v>0</v>
      </c>
      <c r="AC74" s="45">
        <v>0</v>
      </c>
      <c r="AD74" s="45">
        <v>0</v>
      </c>
      <c r="AE74" s="45">
        <v>0</v>
      </c>
      <c r="AF74" s="45">
        <v>0</v>
      </c>
      <c r="AG74" s="45">
        <v>-1.9132235365066426</v>
      </c>
      <c r="AH74" s="45">
        <v>1.3316349715605087</v>
      </c>
      <c r="AI74" s="45">
        <v>0.3297006298650535</v>
      </c>
      <c r="AJ74" s="45">
        <v>2.7506094255243152</v>
      </c>
      <c r="AK74" s="45">
        <v>1.827278372419848</v>
      </c>
      <c r="AL74" s="45">
        <v>6.2392233993697257</v>
      </c>
      <c r="AM74" s="45">
        <v>15.672649165450091</v>
      </c>
      <c r="AN74" s="45">
        <v>2.6988879682265878</v>
      </c>
      <c r="AO74" s="45">
        <v>1.8371537133676679</v>
      </c>
      <c r="AP74" s="45">
        <v>0</v>
      </c>
      <c r="AQ74" s="45">
        <v>20.208690847044345</v>
      </c>
      <c r="AR74" s="45">
        <v>1.3316349715605087</v>
      </c>
      <c r="AS74" s="199">
        <v>15.175848696255176</v>
      </c>
      <c r="AT74" s="45">
        <v>15.672649165450091</v>
      </c>
      <c r="AU74" s="45">
        <v>3.0530406880391272</v>
      </c>
      <c r="AV74" s="45">
        <v>1.8725689853489218</v>
      </c>
      <c r="AW74" s="45">
        <v>0</v>
      </c>
      <c r="AX74" s="45">
        <v>20.598258838838142</v>
      </c>
      <c r="AY74" s="45">
        <v>0.3297006298650535</v>
      </c>
      <c r="AZ74" s="199">
        <v>62.475642971228204</v>
      </c>
      <c r="BA74" s="45">
        <v>15.672649165450091</v>
      </c>
      <c r="BB74" s="45">
        <v>5.751928656265715</v>
      </c>
      <c r="BC74" s="45">
        <v>2.1424577821715807</v>
      </c>
      <c r="BD74" s="45">
        <v>0</v>
      </c>
      <c r="BE74" s="45">
        <v>23.567035603887387</v>
      </c>
      <c r="BF74" s="45">
        <v>1.6613356014255622</v>
      </c>
      <c r="BG74" s="45">
        <v>-14.035493540717782</v>
      </c>
      <c r="BH74" s="199">
        <v>14.185595964876054</v>
      </c>
      <c r="BI74" s="45">
        <v>2.9985563299034341</v>
      </c>
      <c r="BJ74" s="45">
        <v>0.74241510006038669</v>
      </c>
      <c r="BK74" s="45">
        <v>6.1937824404930817</v>
      </c>
      <c r="BL74" s="45">
        <v>4.114638956721187</v>
      </c>
      <c r="BM74" s="45">
        <v>14.049392827178089</v>
      </c>
      <c r="BN74" s="45">
        <v>15.672649165450091</v>
      </c>
      <c r="BO74" s="45">
        <v>0</v>
      </c>
      <c r="BP74" s="45">
        <v>5.751928656265715</v>
      </c>
      <c r="BQ74" s="45">
        <v>0</v>
      </c>
      <c r="BR74" s="45">
        <v>0</v>
      </c>
      <c r="BS74" s="45">
        <v>0</v>
      </c>
      <c r="BT74" s="45">
        <v>0</v>
      </c>
      <c r="BU74" s="45">
        <v>0</v>
      </c>
      <c r="BV74" s="45">
        <v>0</v>
      </c>
      <c r="BW74" s="45">
        <v>2.1424577821715807</v>
      </c>
      <c r="BX74" s="45">
        <v>8.1524469358763678</v>
      </c>
      <c r="BY74" s="45"/>
      <c r="BZ74" s="45">
        <v>0</v>
      </c>
      <c r="CA74" s="45">
        <v>-1.9132235365066426</v>
      </c>
      <c r="CB74" s="45">
        <v>23.567035603887383</v>
      </c>
      <c r="CC74" s="45">
        <v>6.2392233993697257</v>
      </c>
      <c r="CD74" s="199">
        <v>3.1254737799351244</v>
      </c>
      <c r="CE74" s="45">
        <v>-3.727072143503503</v>
      </c>
      <c r="CF74" s="45">
        <v>0.310433592000535</v>
      </c>
      <c r="CG74" s="45">
        <v>0</v>
      </c>
      <c r="CH74" s="45">
        <v>0.310433592000535</v>
      </c>
      <c r="CI74" s="45">
        <v>1.5521607761312598E-2</v>
      </c>
      <c r="CJ74" s="45">
        <v>0</v>
      </c>
      <c r="CK74" s="45">
        <v>1.5521607761312598E-2</v>
      </c>
      <c r="CL74" s="45"/>
      <c r="CM74" s="45">
        <v>0</v>
      </c>
      <c r="CN74" s="45"/>
      <c r="CO74" s="45">
        <v>0</v>
      </c>
      <c r="CP74" s="45">
        <v>0</v>
      </c>
      <c r="CQ74" s="45">
        <v>0</v>
      </c>
      <c r="CR74" s="45">
        <v>0</v>
      </c>
      <c r="CS74" s="45">
        <v>0</v>
      </c>
      <c r="CT74" s="45">
        <v>0</v>
      </c>
      <c r="CU74" s="45">
        <v>2.7506094255243152</v>
      </c>
      <c r="CV74" s="45">
        <v>9999</v>
      </c>
      <c r="CW74" s="200">
        <v>0</v>
      </c>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row>
    <row r="75" spans="1:131">
      <c r="A75" s="24" t="s">
        <v>415</v>
      </c>
      <c r="B75" s="24" t="s">
        <v>624</v>
      </c>
      <c r="C75" s="45">
        <v>16.744186046511629</v>
      </c>
      <c r="D75" s="45">
        <v>66.781973941888168</v>
      </c>
      <c r="E75" s="45">
        <v>0</v>
      </c>
      <c r="F75" s="45">
        <v>0.68761315445724391</v>
      </c>
      <c r="G75" s="45">
        <v>0</v>
      </c>
      <c r="H75" s="45">
        <v>-5.6132962216598692</v>
      </c>
      <c r="I75" s="45" t="s">
        <v>369</v>
      </c>
      <c r="J75" s="45"/>
      <c r="K75" s="45"/>
      <c r="L75" s="45">
        <v>75.559721767198283</v>
      </c>
      <c r="M75" s="45">
        <v>1.7661552594090916E-2</v>
      </c>
      <c r="N75" s="45">
        <v>1.6756691265740906E-2</v>
      </c>
      <c r="O75" s="45">
        <v>0</v>
      </c>
      <c r="P75" s="45">
        <v>0</v>
      </c>
      <c r="Q75" s="45">
        <v>0</v>
      </c>
      <c r="R75" s="45">
        <v>0.1371192484805919</v>
      </c>
      <c r="S75" s="45">
        <v>3.3949470805573305E-2</v>
      </c>
      <c r="T75" s="45">
        <v>0.2832318956369409</v>
      </c>
      <c r="U75" s="45">
        <v>0.38516171597023441</v>
      </c>
      <c r="V75" s="45" t="s">
        <v>609</v>
      </c>
      <c r="W75" s="45" t="s">
        <v>609</v>
      </c>
      <c r="X75" s="45" t="s">
        <v>609</v>
      </c>
      <c r="Y75" s="45" t="s">
        <v>609</v>
      </c>
      <c r="Z75" s="45">
        <v>0</v>
      </c>
      <c r="AA75" s="45">
        <v>0</v>
      </c>
      <c r="AB75" s="45">
        <v>0</v>
      </c>
      <c r="AC75" s="45">
        <v>0</v>
      </c>
      <c r="AD75" s="45">
        <v>0</v>
      </c>
      <c r="AE75" s="45">
        <v>0</v>
      </c>
      <c r="AF75" s="45">
        <v>0</v>
      </c>
      <c r="AG75" s="45">
        <v>-5.6132962216598692</v>
      </c>
      <c r="AH75" s="45">
        <v>0.1371192484805919</v>
      </c>
      <c r="AI75" s="45">
        <v>3.3949470805573305E-2</v>
      </c>
      <c r="AJ75" s="45">
        <v>0.2832318956369409</v>
      </c>
      <c r="AK75" s="45">
        <v>-5.2281345056896349</v>
      </c>
      <c r="AL75" s="45">
        <v>-4.7738338907665288</v>
      </c>
      <c r="AM75" s="45">
        <v>36.240123351962843</v>
      </c>
      <c r="AN75" s="45">
        <v>6.2406828513251593</v>
      </c>
      <c r="AO75" s="45">
        <v>4.2480806203288006</v>
      </c>
      <c r="AP75" s="45">
        <v>0</v>
      </c>
      <c r="AQ75" s="45">
        <v>46.728886823616804</v>
      </c>
      <c r="AR75" s="45">
        <v>0.1371192484805919</v>
      </c>
      <c r="AS75" s="199">
        <v>340.79013224923631</v>
      </c>
      <c r="AT75" s="45">
        <v>36.240123351962843</v>
      </c>
      <c r="AU75" s="45">
        <v>7.0595959856619439</v>
      </c>
      <c r="AV75" s="45">
        <v>4.3299719337624794</v>
      </c>
      <c r="AW75" s="45">
        <v>0</v>
      </c>
      <c r="AX75" s="45">
        <v>47.629691271387266</v>
      </c>
      <c r="AY75" s="45">
        <v>3.3949470805573305E-2</v>
      </c>
      <c r="AZ75" s="199">
        <v>1402.9582830365696</v>
      </c>
      <c r="BA75" s="45">
        <v>36.240123351962843</v>
      </c>
      <c r="BB75" s="45">
        <v>13.300278836987104</v>
      </c>
      <c r="BC75" s="45">
        <v>4.9540402188949946</v>
      </c>
      <c r="BD75" s="45">
        <v>0</v>
      </c>
      <c r="BE75" s="45">
        <v>54.494442407844943</v>
      </c>
      <c r="BF75" s="45">
        <v>0.17106871928616521</v>
      </c>
      <c r="BG75" s="45">
        <v>-17.609874418239713</v>
      </c>
      <c r="BH75" s="199">
        <v>318.55293378730551</v>
      </c>
      <c r="BI75" s="45">
        <v>0.13352979697349998</v>
      </c>
      <c r="BJ75" s="45">
        <v>3.3060755468387902E-2</v>
      </c>
      <c r="BK75" s="45">
        <v>0.27581756711694166</v>
      </c>
      <c r="BL75" s="45">
        <v>-5.0912745426379624</v>
      </c>
      <c r="BM75" s="45">
        <v>-4.6488664230791326</v>
      </c>
      <c r="BN75" s="45">
        <v>36.240123351962843</v>
      </c>
      <c r="BO75" s="45">
        <v>0</v>
      </c>
      <c r="BP75" s="45">
        <v>13.300278836987104</v>
      </c>
      <c r="BQ75" s="45">
        <v>0</v>
      </c>
      <c r="BR75" s="45">
        <v>0</v>
      </c>
      <c r="BS75" s="45">
        <v>0</v>
      </c>
      <c r="BT75" s="45">
        <v>0</v>
      </c>
      <c r="BU75" s="45">
        <v>0</v>
      </c>
      <c r="BV75" s="45">
        <v>0</v>
      </c>
      <c r="BW75" s="45">
        <v>4.9540402188949946</v>
      </c>
      <c r="BX75" s="45">
        <v>0.83946233089334055</v>
      </c>
      <c r="BY75" s="45"/>
      <c r="BZ75" s="45">
        <v>0</v>
      </c>
      <c r="CA75" s="45">
        <v>-5.6132962216598692</v>
      </c>
      <c r="CB75" s="45">
        <v>54.494442407844943</v>
      </c>
      <c r="CC75" s="45">
        <v>-4.7738338907665288</v>
      </c>
      <c r="CD75" s="199">
        <v>71.602663297040678</v>
      </c>
      <c r="CE75" s="45">
        <v>-22.425331393760732</v>
      </c>
      <c r="CF75" s="45">
        <v>0.71782067906508984</v>
      </c>
      <c r="CG75" s="45">
        <v>0</v>
      </c>
      <c r="CH75" s="45">
        <v>0.71782067906508984</v>
      </c>
      <c r="CI75" s="45">
        <v>3.5890867839419166E-2</v>
      </c>
      <c r="CJ75" s="45">
        <v>0</v>
      </c>
      <c r="CK75" s="45">
        <v>3.5890867839419166E-2</v>
      </c>
      <c r="CL75" s="45"/>
      <c r="CM75" s="45">
        <v>0</v>
      </c>
      <c r="CN75" s="45"/>
      <c r="CO75" s="45">
        <v>0</v>
      </c>
      <c r="CP75" s="45">
        <v>0</v>
      </c>
      <c r="CQ75" s="45">
        <v>0</v>
      </c>
      <c r="CR75" s="45">
        <v>0</v>
      </c>
      <c r="CS75" s="45">
        <v>0</v>
      </c>
      <c r="CT75" s="45">
        <v>0</v>
      </c>
      <c r="CU75" s="45">
        <v>0.2832318956369409</v>
      </c>
      <c r="CV75" s="45">
        <v>9999</v>
      </c>
      <c r="CW75" s="200">
        <v>0</v>
      </c>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row>
    <row r="76" spans="1:131">
      <c r="A76" s="24" t="s">
        <v>421</v>
      </c>
      <c r="B76" s="24" t="s">
        <v>625</v>
      </c>
      <c r="C76" s="45">
        <v>6.6762790697674417</v>
      </c>
      <c r="D76" s="45">
        <v>2.3112289292682102</v>
      </c>
      <c r="E76" s="45">
        <v>0</v>
      </c>
      <c r="F76" s="45">
        <v>0.13553311531055059</v>
      </c>
      <c r="G76" s="45">
        <v>0</v>
      </c>
      <c r="H76" s="45">
        <v>-1.3137623929241096</v>
      </c>
      <c r="I76" s="45" t="s">
        <v>369</v>
      </c>
      <c r="J76" s="45"/>
      <c r="K76" s="45"/>
      <c r="L76" s="45">
        <v>2.6150142699850236</v>
      </c>
      <c r="M76" s="45">
        <v>6.1124116107701858E-4</v>
      </c>
      <c r="N76" s="45">
        <v>5.7992520026282598E-4</v>
      </c>
      <c r="O76" s="45">
        <v>0</v>
      </c>
      <c r="P76" s="45">
        <v>0</v>
      </c>
      <c r="Q76" s="45">
        <v>0</v>
      </c>
      <c r="R76" s="45">
        <v>2.7027113712339075E-2</v>
      </c>
      <c r="S76" s="45">
        <v>6.6916659630455733E-3</v>
      </c>
      <c r="T76" s="45">
        <v>5.5826885978188891E-2</v>
      </c>
      <c r="U76" s="45">
        <v>0.27091136744156291</v>
      </c>
      <c r="V76" s="45" t="s">
        <v>609</v>
      </c>
      <c r="W76" s="45" t="s">
        <v>609</v>
      </c>
      <c r="X76" s="45" t="s">
        <v>609</v>
      </c>
      <c r="Y76" s="45" t="s">
        <v>609</v>
      </c>
      <c r="Z76" s="45">
        <v>0</v>
      </c>
      <c r="AA76" s="45">
        <v>0</v>
      </c>
      <c r="AB76" s="45">
        <v>0</v>
      </c>
      <c r="AC76" s="45">
        <v>0</v>
      </c>
      <c r="AD76" s="45">
        <v>0</v>
      </c>
      <c r="AE76" s="45">
        <v>0</v>
      </c>
      <c r="AF76" s="45">
        <v>0</v>
      </c>
      <c r="AG76" s="45">
        <v>-1.3137623929241096</v>
      </c>
      <c r="AH76" s="45">
        <v>2.7027113712339075E-2</v>
      </c>
      <c r="AI76" s="45">
        <v>6.6916659630455733E-3</v>
      </c>
      <c r="AJ76" s="45">
        <v>5.5826885978188891E-2</v>
      </c>
      <c r="AK76" s="45">
        <v>-1.0428510254825467</v>
      </c>
      <c r="AL76" s="45">
        <v>-0.95330535982897313</v>
      </c>
      <c r="AM76" s="45">
        <v>1.2542190137145386</v>
      </c>
      <c r="AN76" s="45">
        <v>0.21598113821735468</v>
      </c>
      <c r="AO76" s="45">
        <v>0.14702001519318933</v>
      </c>
      <c r="AP76" s="45">
        <v>0</v>
      </c>
      <c r="AQ76" s="45">
        <v>1.6172201671250825</v>
      </c>
      <c r="AR76" s="45">
        <v>2.7027113712339075E-2</v>
      </c>
      <c r="AS76" s="199">
        <v>59.836954265181113</v>
      </c>
      <c r="AT76" s="45">
        <v>1.2542190137145386</v>
      </c>
      <c r="AU76" s="45">
        <v>0.2443225545445189</v>
      </c>
      <c r="AV76" s="45">
        <v>0.14985415682590575</v>
      </c>
      <c r="AW76" s="45">
        <v>0</v>
      </c>
      <c r="AX76" s="45">
        <v>1.6483957250849632</v>
      </c>
      <c r="AY76" s="45">
        <v>6.6916659630455733E-3</v>
      </c>
      <c r="AZ76" s="199">
        <v>246.33562616367212</v>
      </c>
      <c r="BA76" s="45">
        <v>1.2542190137145386</v>
      </c>
      <c r="BB76" s="45">
        <v>0.46030369276187355</v>
      </c>
      <c r="BC76" s="45">
        <v>0.17145227064764124</v>
      </c>
      <c r="BD76" s="45">
        <v>0</v>
      </c>
      <c r="BE76" s="45">
        <v>1.8859749771240533</v>
      </c>
      <c r="BF76" s="45">
        <v>3.3718779675384648E-2</v>
      </c>
      <c r="BG76" s="45">
        <v>-16.827679774387278</v>
      </c>
      <c r="BH76" s="199">
        <v>55.93248021668029</v>
      </c>
      <c r="BI76" s="45">
        <v>0.76049387420596537</v>
      </c>
      <c r="BJ76" s="45">
        <v>0.18829132208835825</v>
      </c>
      <c r="BK76" s="45">
        <v>1.5708671393580775</v>
      </c>
      <c r="BL76" s="45">
        <v>-29.343933097332876</v>
      </c>
      <c r="BM76" s="45">
        <v>-26.824280761680477</v>
      </c>
      <c r="BN76" s="45">
        <v>1.2542190137145386</v>
      </c>
      <c r="BO76" s="45">
        <v>0</v>
      </c>
      <c r="BP76" s="45">
        <v>0.46030369276187355</v>
      </c>
      <c r="BQ76" s="45">
        <v>0</v>
      </c>
      <c r="BR76" s="45">
        <v>0</v>
      </c>
      <c r="BS76" s="45">
        <v>0</v>
      </c>
      <c r="BT76" s="45">
        <v>0</v>
      </c>
      <c r="BU76" s="45">
        <v>0</v>
      </c>
      <c r="BV76" s="45">
        <v>0</v>
      </c>
      <c r="BW76" s="45">
        <v>0.17145227064764124</v>
      </c>
      <c r="BX76" s="45">
        <v>0.36045703309513644</v>
      </c>
      <c r="BY76" s="45"/>
      <c r="BZ76" s="45">
        <v>0</v>
      </c>
      <c r="CA76" s="45">
        <v>-1.3137623929241096</v>
      </c>
      <c r="CB76" s="45">
        <v>1.8859749771240535</v>
      </c>
      <c r="CC76" s="45">
        <v>-0.95330535982897313</v>
      </c>
      <c r="CD76" s="199">
        <v>8.8768898267096557</v>
      </c>
      <c r="CE76" s="45">
        <v>-44.600745732362093</v>
      </c>
      <c r="CF76" s="45">
        <v>2.4842750544119063E-2</v>
      </c>
      <c r="CG76" s="45">
        <v>0</v>
      </c>
      <c r="CH76" s="45">
        <v>2.4842750544119063E-2</v>
      </c>
      <c r="CI76" s="45">
        <v>1.242131778242886E-3</v>
      </c>
      <c r="CJ76" s="45">
        <v>0</v>
      </c>
      <c r="CK76" s="45">
        <v>1.242131778242886E-3</v>
      </c>
      <c r="CL76" s="45"/>
      <c r="CM76" s="45">
        <v>0</v>
      </c>
      <c r="CN76" s="45"/>
      <c r="CO76" s="45">
        <v>0</v>
      </c>
      <c r="CP76" s="45">
        <v>0</v>
      </c>
      <c r="CQ76" s="45">
        <v>0</v>
      </c>
      <c r="CR76" s="45">
        <v>0</v>
      </c>
      <c r="CS76" s="45">
        <v>0</v>
      </c>
      <c r="CT76" s="45">
        <v>0</v>
      </c>
      <c r="CU76" s="45">
        <v>5.5826885978188891E-2</v>
      </c>
      <c r="CV76" s="45">
        <v>9999</v>
      </c>
      <c r="CW76" s="200">
        <v>0</v>
      </c>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row>
    <row r="77" spans="1:131">
      <c r="A77" s="24" t="s">
        <v>417</v>
      </c>
      <c r="B77" s="24" t="s">
        <v>626</v>
      </c>
      <c r="C77" s="45">
        <v>6.6762790697674417</v>
      </c>
      <c r="D77" s="45">
        <v>1.7156302515732005</v>
      </c>
      <c r="E77" s="45">
        <v>0</v>
      </c>
      <c r="F77" s="45">
        <v>2.9394812076628273E-2</v>
      </c>
      <c r="G77" s="45">
        <v>0</v>
      </c>
      <c r="H77" s="45">
        <v>-2.9488192070380408</v>
      </c>
      <c r="I77" s="45" t="s">
        <v>369</v>
      </c>
      <c r="J77" s="45"/>
      <c r="K77" s="45"/>
      <c r="L77" s="45">
        <v>1.9411307694657556</v>
      </c>
      <c r="M77" s="45">
        <v>4.5372564079253387E-4</v>
      </c>
      <c r="N77" s="45">
        <v>4.3047973509728068E-4</v>
      </c>
      <c r="O77" s="45">
        <v>0</v>
      </c>
      <c r="P77" s="45">
        <v>0</v>
      </c>
      <c r="Q77" s="45">
        <v>0</v>
      </c>
      <c r="R77" s="45">
        <v>5.8617181987406551E-3</v>
      </c>
      <c r="S77" s="45">
        <v>1.4513077708911942E-3</v>
      </c>
      <c r="T77" s="45">
        <v>1.2107895685804183E-2</v>
      </c>
      <c r="U77" s="45">
        <v>5.8756036981223461E-2</v>
      </c>
      <c r="V77" s="45" t="s">
        <v>609</v>
      </c>
      <c r="W77" s="45" t="s">
        <v>609</v>
      </c>
      <c r="X77" s="45" t="s">
        <v>609</v>
      </c>
      <c r="Y77" s="45" t="s">
        <v>609</v>
      </c>
      <c r="Z77" s="45">
        <v>0</v>
      </c>
      <c r="AA77" s="45">
        <v>0</v>
      </c>
      <c r="AB77" s="45">
        <v>0</v>
      </c>
      <c r="AC77" s="45">
        <v>0</v>
      </c>
      <c r="AD77" s="45">
        <v>0</v>
      </c>
      <c r="AE77" s="45">
        <v>0</v>
      </c>
      <c r="AF77" s="45">
        <v>0</v>
      </c>
      <c r="AG77" s="45">
        <v>-2.9488192070380408</v>
      </c>
      <c r="AH77" s="45">
        <v>5.8617181987406551E-3</v>
      </c>
      <c r="AI77" s="45">
        <v>1.4513077708911942E-3</v>
      </c>
      <c r="AJ77" s="45">
        <v>1.2107895685804183E-2</v>
      </c>
      <c r="AK77" s="45">
        <v>-2.8900631700568171</v>
      </c>
      <c r="AL77" s="45">
        <v>-2.8706422484013814</v>
      </c>
      <c r="AM77" s="45">
        <v>0.93100949662665811</v>
      </c>
      <c r="AN77" s="45">
        <v>0.16032326776570299</v>
      </c>
      <c r="AO77" s="45">
        <v>0.10913327643923612</v>
      </c>
      <c r="AP77" s="45">
        <v>0</v>
      </c>
      <c r="AQ77" s="45">
        <v>1.2004660408315972</v>
      </c>
      <c r="AR77" s="45">
        <v>5.8617181987406551E-3</v>
      </c>
      <c r="AS77" s="199">
        <v>204.79763784780855</v>
      </c>
      <c r="AT77" s="45">
        <v>0.93100949662665811</v>
      </c>
      <c r="AU77" s="45">
        <v>0.18136116263088578</v>
      </c>
      <c r="AV77" s="45">
        <v>0.1112370659257544</v>
      </c>
      <c r="AW77" s="45">
        <v>0</v>
      </c>
      <c r="AX77" s="45">
        <v>1.2236077251832984</v>
      </c>
      <c r="AY77" s="45">
        <v>1.4513077708911942E-3</v>
      </c>
      <c r="AZ77" s="199">
        <v>843.10698924455312</v>
      </c>
      <c r="BA77" s="45">
        <v>0.93100949662665811</v>
      </c>
      <c r="BB77" s="45">
        <v>0.3416844303965888</v>
      </c>
      <c r="BC77" s="45">
        <v>0.12726939270232471</v>
      </c>
      <c r="BD77" s="45">
        <v>0</v>
      </c>
      <c r="BE77" s="45">
        <v>1.3999633197255716</v>
      </c>
      <c r="BF77" s="45">
        <v>7.3130259696318495E-3</v>
      </c>
      <c r="BG77" s="45">
        <v>-17.49925270888621</v>
      </c>
      <c r="BH77" s="199">
        <v>191.43420596878425</v>
      </c>
      <c r="BI77" s="45">
        <v>0.22219805681366997</v>
      </c>
      <c r="BJ77" s="45">
        <v>5.501420498172091E-2</v>
      </c>
      <c r="BK77" s="45">
        <v>0.45896967446615028</v>
      </c>
      <c r="BL77" s="45">
        <v>-109.55259169458952</v>
      </c>
      <c r="BM77" s="45">
        <v>-108.81640975832801</v>
      </c>
      <c r="BN77" s="45">
        <v>0.93100949662665811</v>
      </c>
      <c r="BO77" s="45">
        <v>0</v>
      </c>
      <c r="BP77" s="45">
        <v>0.3416844303965888</v>
      </c>
      <c r="BQ77" s="45">
        <v>0</v>
      </c>
      <c r="BR77" s="45">
        <v>0</v>
      </c>
      <c r="BS77" s="45">
        <v>0</v>
      </c>
      <c r="BT77" s="45">
        <v>0</v>
      </c>
      <c r="BU77" s="45">
        <v>0</v>
      </c>
      <c r="BV77" s="45">
        <v>0</v>
      </c>
      <c r="BW77" s="45">
        <v>0.12726939270232471</v>
      </c>
      <c r="BX77" s="45">
        <v>7.8176958636659494E-2</v>
      </c>
      <c r="BY77" s="45"/>
      <c r="BZ77" s="45">
        <v>0</v>
      </c>
      <c r="CA77" s="45">
        <v>-2.9488192070380408</v>
      </c>
      <c r="CB77" s="45">
        <v>1.3999633197255716</v>
      </c>
      <c r="CC77" s="45">
        <v>-2.8706422484013814</v>
      </c>
      <c r="CD77" s="199">
        <v>55.627420183679789</v>
      </c>
      <c r="CE77" s="45">
        <v>-126.59287472900961</v>
      </c>
      <c r="CF77" s="45">
        <v>1.844082765927995E-2</v>
      </c>
      <c r="CG77" s="45">
        <v>0</v>
      </c>
      <c r="CH77" s="45">
        <v>1.844082765927995E-2</v>
      </c>
      <c r="CI77" s="45">
        <v>9.2203711549623379E-4</v>
      </c>
      <c r="CJ77" s="45">
        <v>0</v>
      </c>
      <c r="CK77" s="45">
        <v>9.2203711549623379E-4</v>
      </c>
      <c r="CL77" s="45"/>
      <c r="CM77" s="45">
        <v>0</v>
      </c>
      <c r="CN77" s="45"/>
      <c r="CO77" s="45">
        <v>0</v>
      </c>
      <c r="CP77" s="45">
        <v>0</v>
      </c>
      <c r="CQ77" s="45">
        <v>0</v>
      </c>
      <c r="CR77" s="45">
        <v>0</v>
      </c>
      <c r="CS77" s="45">
        <v>0</v>
      </c>
      <c r="CT77" s="45">
        <v>0</v>
      </c>
      <c r="CU77" s="45">
        <v>1.2107895685804183E-2</v>
      </c>
      <c r="CV77" s="45">
        <v>9999</v>
      </c>
      <c r="CW77" s="200">
        <v>0</v>
      </c>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row>
    <row r="78" spans="1:131">
      <c r="A78" s="24" t="s">
        <v>429</v>
      </c>
      <c r="B78" s="24" t="s">
        <v>627</v>
      </c>
      <c r="C78" s="45">
        <v>14.186046511627907</v>
      </c>
      <c r="D78" s="45">
        <v>65.987461954092865</v>
      </c>
      <c r="E78" s="45">
        <v>0</v>
      </c>
      <c r="F78" s="45">
        <v>15.900946569337281</v>
      </c>
      <c r="G78" s="45">
        <v>0</v>
      </c>
      <c r="H78" s="45">
        <v>-5.6132962216598692</v>
      </c>
      <c r="I78" s="45" t="s">
        <v>369</v>
      </c>
      <c r="J78" s="45"/>
      <c r="K78" s="45"/>
      <c r="L78" s="45">
        <v>74.660780013982716</v>
      </c>
      <c r="M78" s="45">
        <v>1.7451431292925229E-2</v>
      </c>
      <c r="N78" s="45">
        <v>1.655733519252868E-2</v>
      </c>
      <c r="O78" s="45">
        <v>0</v>
      </c>
      <c r="P78" s="45">
        <v>0</v>
      </c>
      <c r="Q78" s="45">
        <v>0</v>
      </c>
      <c r="R78" s="45">
        <v>3.170861158755141</v>
      </c>
      <c r="S78" s="45">
        <v>0.78507619849536159</v>
      </c>
      <c r="T78" s="45">
        <v>6.5496932542106405</v>
      </c>
      <c r="U78" s="45">
        <v>11.59878903347202</v>
      </c>
      <c r="V78" s="45" t="s">
        <v>609</v>
      </c>
      <c r="W78" s="45" t="s">
        <v>609</v>
      </c>
      <c r="X78" s="45" t="s">
        <v>609</v>
      </c>
      <c r="Y78" s="45" t="s">
        <v>609</v>
      </c>
      <c r="Z78" s="45">
        <v>0</v>
      </c>
      <c r="AA78" s="45">
        <v>0</v>
      </c>
      <c r="AB78" s="45">
        <v>0</v>
      </c>
      <c r="AC78" s="45">
        <v>0</v>
      </c>
      <c r="AD78" s="45">
        <v>0</v>
      </c>
      <c r="AE78" s="45">
        <v>0</v>
      </c>
      <c r="AF78" s="45">
        <v>0</v>
      </c>
      <c r="AG78" s="45">
        <v>-5.6132962216598692</v>
      </c>
      <c r="AH78" s="45">
        <v>3.170861158755141</v>
      </c>
      <c r="AI78" s="45">
        <v>0.78507619849536159</v>
      </c>
      <c r="AJ78" s="45">
        <v>6.5496932542106405</v>
      </c>
      <c r="AK78" s="45">
        <v>5.9854928118121506</v>
      </c>
      <c r="AL78" s="45">
        <v>16.491123423273294</v>
      </c>
      <c r="AM78" s="45">
        <v>35.808970890561092</v>
      </c>
      <c r="AN78" s="45">
        <v>6.1664368078985143</v>
      </c>
      <c r="AO78" s="45">
        <v>4.1975407698459613</v>
      </c>
      <c r="AP78" s="45">
        <v>0</v>
      </c>
      <c r="AQ78" s="45">
        <v>46.172948468305563</v>
      </c>
      <c r="AR78" s="45">
        <v>3.170861158755141</v>
      </c>
      <c r="AS78" s="199">
        <v>14.561643085764359</v>
      </c>
      <c r="AT78" s="45">
        <v>35.808970890561092</v>
      </c>
      <c r="AU78" s="45">
        <v>6.9756072487539766</v>
      </c>
      <c r="AV78" s="45">
        <v>4.2784578139315075</v>
      </c>
      <c r="AW78" s="45">
        <v>0</v>
      </c>
      <c r="AX78" s="45">
        <v>47.063035953246576</v>
      </c>
      <c r="AY78" s="45">
        <v>0.78507619849536159</v>
      </c>
      <c r="AZ78" s="199">
        <v>59.94709308911068</v>
      </c>
      <c r="BA78" s="45">
        <v>35.808970890561092</v>
      </c>
      <c r="BB78" s="45">
        <v>13.142044056652491</v>
      </c>
      <c r="BC78" s="45">
        <v>4.8951014947213585</v>
      </c>
      <c r="BD78" s="45">
        <v>0</v>
      </c>
      <c r="BE78" s="45">
        <v>53.846116441934939</v>
      </c>
      <c r="BF78" s="45">
        <v>3.9559373572505026</v>
      </c>
      <c r="BG78" s="45">
        <v>-13.8777005205595</v>
      </c>
      <c r="BH78" s="199">
        <v>13.61146842814509</v>
      </c>
      <c r="BI78" s="45">
        <v>3.1250345103087733</v>
      </c>
      <c r="BJ78" s="45">
        <v>0.77372993981332516</v>
      </c>
      <c r="BK78" s="45">
        <v>6.4550342719453644</v>
      </c>
      <c r="BL78" s="45">
        <v>5.8989878968593743</v>
      </c>
      <c r="BM78" s="45">
        <v>16.252786618926837</v>
      </c>
      <c r="BN78" s="45">
        <v>35.808970890561092</v>
      </c>
      <c r="BO78" s="45">
        <v>0</v>
      </c>
      <c r="BP78" s="45">
        <v>13.142044056652491</v>
      </c>
      <c r="BQ78" s="45">
        <v>0</v>
      </c>
      <c r="BR78" s="45">
        <v>0</v>
      </c>
      <c r="BS78" s="45">
        <v>0</v>
      </c>
      <c r="BT78" s="45">
        <v>0</v>
      </c>
      <c r="BU78" s="45">
        <v>0</v>
      </c>
      <c r="BV78" s="45">
        <v>0</v>
      </c>
      <c r="BW78" s="45">
        <v>4.8951014947213585</v>
      </c>
      <c r="BX78" s="45">
        <v>22.104419644933163</v>
      </c>
      <c r="BY78" s="45"/>
      <c r="BZ78" s="45">
        <v>0</v>
      </c>
      <c r="CA78" s="45">
        <v>-5.6132962216598692</v>
      </c>
      <c r="CB78" s="45">
        <v>53.846116441934939</v>
      </c>
      <c r="CC78" s="45">
        <v>16.491123423273294</v>
      </c>
      <c r="CD78" s="199">
        <v>2.689933217822539</v>
      </c>
      <c r="CE78" s="45">
        <v>-1.5236783517547656</v>
      </c>
      <c r="CF78" s="45">
        <v>0.70928069288407625</v>
      </c>
      <c r="CG78" s="45">
        <v>0</v>
      </c>
      <c r="CH78" s="45">
        <v>0.70928069288407625</v>
      </c>
      <c r="CI78" s="45">
        <v>3.5463870506641786E-2</v>
      </c>
      <c r="CJ78" s="45">
        <v>0</v>
      </c>
      <c r="CK78" s="45">
        <v>3.5463870506641786E-2</v>
      </c>
      <c r="CL78" s="45"/>
      <c r="CM78" s="45">
        <v>0</v>
      </c>
      <c r="CN78" s="45"/>
      <c r="CO78" s="45">
        <v>0</v>
      </c>
      <c r="CP78" s="45">
        <v>0</v>
      </c>
      <c r="CQ78" s="45">
        <v>0</v>
      </c>
      <c r="CR78" s="45">
        <v>0</v>
      </c>
      <c r="CS78" s="45">
        <v>0</v>
      </c>
      <c r="CT78" s="45">
        <v>0</v>
      </c>
      <c r="CU78" s="45">
        <v>6.5496932542106405</v>
      </c>
      <c r="CV78" s="45">
        <v>9999</v>
      </c>
      <c r="CW78" s="200">
        <v>0</v>
      </c>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row>
    <row r="79" spans="1:131">
      <c r="A79" s="24" t="s">
        <v>422</v>
      </c>
      <c r="B79" s="24" t="s">
        <v>628</v>
      </c>
      <c r="C79" s="45">
        <v>6.6762790697674417</v>
      </c>
      <c r="D79" s="45">
        <v>2.3112289292682102</v>
      </c>
      <c r="E79" s="45">
        <v>0</v>
      </c>
      <c r="F79" s="45">
        <v>0.13553311531055059</v>
      </c>
      <c r="G79" s="45">
        <v>0</v>
      </c>
      <c r="H79" s="45">
        <v>-1.3137623929241096</v>
      </c>
      <c r="I79" s="45" t="s">
        <v>369</v>
      </c>
      <c r="J79" s="45"/>
      <c r="K79" s="45"/>
      <c r="L79" s="45">
        <v>2.6150142699850236</v>
      </c>
      <c r="M79" s="45">
        <v>6.1124116107701858E-4</v>
      </c>
      <c r="N79" s="45">
        <v>5.7992520026282598E-4</v>
      </c>
      <c r="O79" s="45">
        <v>0</v>
      </c>
      <c r="P79" s="45">
        <v>0</v>
      </c>
      <c r="Q79" s="45">
        <v>0</v>
      </c>
      <c r="R79" s="45">
        <v>2.7027113712339075E-2</v>
      </c>
      <c r="S79" s="45">
        <v>6.6916659630455733E-3</v>
      </c>
      <c r="T79" s="45">
        <v>5.5826885978188891E-2</v>
      </c>
      <c r="U79" s="45">
        <v>0.27091136744156291</v>
      </c>
      <c r="V79" s="45" t="s">
        <v>609</v>
      </c>
      <c r="W79" s="45" t="s">
        <v>609</v>
      </c>
      <c r="X79" s="45" t="s">
        <v>609</v>
      </c>
      <c r="Y79" s="45" t="s">
        <v>609</v>
      </c>
      <c r="Z79" s="45">
        <v>0</v>
      </c>
      <c r="AA79" s="45">
        <v>0</v>
      </c>
      <c r="AB79" s="45">
        <v>0</v>
      </c>
      <c r="AC79" s="45">
        <v>0</v>
      </c>
      <c r="AD79" s="45">
        <v>0</v>
      </c>
      <c r="AE79" s="45">
        <v>0</v>
      </c>
      <c r="AF79" s="45">
        <v>0</v>
      </c>
      <c r="AG79" s="45">
        <v>-1.3137623929241096</v>
      </c>
      <c r="AH79" s="45">
        <v>2.7027113712339075E-2</v>
      </c>
      <c r="AI79" s="45">
        <v>6.6916659630455733E-3</v>
      </c>
      <c r="AJ79" s="45">
        <v>5.5826885978188891E-2</v>
      </c>
      <c r="AK79" s="45">
        <v>-1.0428510254825467</v>
      </c>
      <c r="AL79" s="45">
        <v>-0.95330535982897313</v>
      </c>
      <c r="AM79" s="45">
        <v>1.2542190137145386</v>
      </c>
      <c r="AN79" s="45">
        <v>0.21598113821735468</v>
      </c>
      <c r="AO79" s="45">
        <v>0.14702001519318933</v>
      </c>
      <c r="AP79" s="45">
        <v>0</v>
      </c>
      <c r="AQ79" s="45">
        <v>1.6172201671250825</v>
      </c>
      <c r="AR79" s="45">
        <v>2.7027113712339075E-2</v>
      </c>
      <c r="AS79" s="199">
        <v>59.836954265181113</v>
      </c>
      <c r="AT79" s="45">
        <v>1.2542190137145386</v>
      </c>
      <c r="AU79" s="45">
        <v>0.2443225545445189</v>
      </c>
      <c r="AV79" s="45">
        <v>0.14985415682590575</v>
      </c>
      <c r="AW79" s="45">
        <v>0</v>
      </c>
      <c r="AX79" s="45">
        <v>1.6483957250849632</v>
      </c>
      <c r="AY79" s="45">
        <v>6.6916659630455733E-3</v>
      </c>
      <c r="AZ79" s="199">
        <v>246.33562616367212</v>
      </c>
      <c r="BA79" s="45">
        <v>1.2542190137145386</v>
      </c>
      <c r="BB79" s="45">
        <v>0.46030369276187355</v>
      </c>
      <c r="BC79" s="45">
        <v>0.17145227064764124</v>
      </c>
      <c r="BD79" s="45">
        <v>0</v>
      </c>
      <c r="BE79" s="45">
        <v>1.8859749771240533</v>
      </c>
      <c r="BF79" s="45">
        <v>3.3718779675384648E-2</v>
      </c>
      <c r="BG79" s="45">
        <v>-16.827679774387278</v>
      </c>
      <c r="BH79" s="199">
        <v>55.93248021668029</v>
      </c>
      <c r="BI79" s="45">
        <v>0.76049387420596537</v>
      </c>
      <c r="BJ79" s="45">
        <v>0.18829132208835825</v>
      </c>
      <c r="BK79" s="45">
        <v>1.5708671393580775</v>
      </c>
      <c r="BL79" s="45">
        <v>-29.343933097332876</v>
      </c>
      <c r="BM79" s="45">
        <v>-26.824280761680477</v>
      </c>
      <c r="BN79" s="45">
        <v>1.2542190137145386</v>
      </c>
      <c r="BO79" s="45">
        <v>0</v>
      </c>
      <c r="BP79" s="45">
        <v>0.46030369276187355</v>
      </c>
      <c r="BQ79" s="45">
        <v>0</v>
      </c>
      <c r="BR79" s="45">
        <v>0</v>
      </c>
      <c r="BS79" s="45">
        <v>0</v>
      </c>
      <c r="BT79" s="45">
        <v>0</v>
      </c>
      <c r="BU79" s="45">
        <v>0</v>
      </c>
      <c r="BV79" s="45">
        <v>0</v>
      </c>
      <c r="BW79" s="45">
        <v>0.17145227064764124</v>
      </c>
      <c r="BX79" s="45">
        <v>0.36045703309513644</v>
      </c>
      <c r="BY79" s="45"/>
      <c r="BZ79" s="45">
        <v>0</v>
      </c>
      <c r="CA79" s="45">
        <v>-1.3137623929241096</v>
      </c>
      <c r="CB79" s="45">
        <v>1.8859749771240535</v>
      </c>
      <c r="CC79" s="45">
        <v>-0.95330535982897313</v>
      </c>
      <c r="CD79" s="199">
        <v>8.8768898267096557</v>
      </c>
      <c r="CE79" s="45">
        <v>-44.600745732362093</v>
      </c>
      <c r="CF79" s="45">
        <v>2.4842750544119063E-2</v>
      </c>
      <c r="CG79" s="45">
        <v>0</v>
      </c>
      <c r="CH79" s="45">
        <v>2.4842750544119063E-2</v>
      </c>
      <c r="CI79" s="45">
        <v>1.242131778242886E-3</v>
      </c>
      <c r="CJ79" s="45">
        <v>0</v>
      </c>
      <c r="CK79" s="45">
        <v>1.242131778242886E-3</v>
      </c>
      <c r="CL79" s="45"/>
      <c r="CM79" s="45">
        <v>0</v>
      </c>
      <c r="CN79" s="45"/>
      <c r="CO79" s="45">
        <v>0</v>
      </c>
      <c r="CP79" s="45">
        <v>0</v>
      </c>
      <c r="CQ79" s="45">
        <v>0</v>
      </c>
      <c r="CR79" s="45">
        <v>0</v>
      </c>
      <c r="CS79" s="45">
        <v>0</v>
      </c>
      <c r="CT79" s="45">
        <v>0</v>
      </c>
      <c r="CU79" s="45">
        <v>5.5826885978188891E-2</v>
      </c>
      <c r="CV79" s="45">
        <v>9999</v>
      </c>
      <c r="CW79" s="200">
        <v>0</v>
      </c>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row>
    <row r="80" spans="1:131">
      <c r="A80" s="24" t="s">
        <v>418</v>
      </c>
      <c r="B80" s="24" t="s">
        <v>629</v>
      </c>
      <c r="C80" s="45">
        <v>6.6762790697674417</v>
      </c>
      <c r="D80" s="45">
        <v>1.7156302515732005</v>
      </c>
      <c r="E80" s="45">
        <v>0</v>
      </c>
      <c r="F80" s="45">
        <v>2.9394812076628273E-2</v>
      </c>
      <c r="G80" s="45">
        <v>0</v>
      </c>
      <c r="H80" s="45">
        <v>-2.9488192070380408</v>
      </c>
      <c r="I80" s="45" t="s">
        <v>369</v>
      </c>
      <c r="J80" s="45"/>
      <c r="K80" s="45"/>
      <c r="L80" s="45">
        <v>1.9411307694657556</v>
      </c>
      <c r="M80" s="45">
        <v>4.5372564079253387E-4</v>
      </c>
      <c r="N80" s="45">
        <v>4.3047973509728068E-4</v>
      </c>
      <c r="O80" s="45">
        <v>0</v>
      </c>
      <c r="P80" s="45">
        <v>0</v>
      </c>
      <c r="Q80" s="45">
        <v>0</v>
      </c>
      <c r="R80" s="45">
        <v>5.8617181987406551E-3</v>
      </c>
      <c r="S80" s="45">
        <v>1.4513077708911942E-3</v>
      </c>
      <c r="T80" s="45">
        <v>1.2107895685804183E-2</v>
      </c>
      <c r="U80" s="45">
        <v>5.8756036981223461E-2</v>
      </c>
      <c r="V80" s="45" t="s">
        <v>609</v>
      </c>
      <c r="W80" s="45" t="s">
        <v>609</v>
      </c>
      <c r="X80" s="45" t="s">
        <v>609</v>
      </c>
      <c r="Y80" s="45" t="s">
        <v>609</v>
      </c>
      <c r="Z80" s="45">
        <v>0</v>
      </c>
      <c r="AA80" s="45">
        <v>0</v>
      </c>
      <c r="AB80" s="45">
        <v>0</v>
      </c>
      <c r="AC80" s="45">
        <v>0</v>
      </c>
      <c r="AD80" s="45">
        <v>0</v>
      </c>
      <c r="AE80" s="45">
        <v>0</v>
      </c>
      <c r="AF80" s="45">
        <v>0</v>
      </c>
      <c r="AG80" s="45">
        <v>-2.9488192070380408</v>
      </c>
      <c r="AH80" s="45">
        <v>5.8617181987406551E-3</v>
      </c>
      <c r="AI80" s="45">
        <v>1.4513077708911942E-3</v>
      </c>
      <c r="AJ80" s="45">
        <v>1.2107895685804183E-2</v>
      </c>
      <c r="AK80" s="45">
        <v>-2.8900631700568171</v>
      </c>
      <c r="AL80" s="45">
        <v>-2.8706422484013814</v>
      </c>
      <c r="AM80" s="45">
        <v>0.93100949662665811</v>
      </c>
      <c r="AN80" s="45">
        <v>0.16032326776570299</v>
      </c>
      <c r="AO80" s="45">
        <v>0.10913327643923612</v>
      </c>
      <c r="AP80" s="45">
        <v>0</v>
      </c>
      <c r="AQ80" s="45">
        <v>1.2004660408315972</v>
      </c>
      <c r="AR80" s="45">
        <v>5.8617181987406551E-3</v>
      </c>
      <c r="AS80" s="199">
        <v>204.79763784780855</v>
      </c>
      <c r="AT80" s="45">
        <v>0.93100949662665811</v>
      </c>
      <c r="AU80" s="45">
        <v>0.18136116263088578</v>
      </c>
      <c r="AV80" s="45">
        <v>0.1112370659257544</v>
      </c>
      <c r="AW80" s="45">
        <v>0</v>
      </c>
      <c r="AX80" s="45">
        <v>1.2236077251832984</v>
      </c>
      <c r="AY80" s="45">
        <v>1.4513077708911942E-3</v>
      </c>
      <c r="AZ80" s="199">
        <v>843.10698924455312</v>
      </c>
      <c r="BA80" s="45">
        <v>0.93100949662665811</v>
      </c>
      <c r="BB80" s="45">
        <v>0.3416844303965888</v>
      </c>
      <c r="BC80" s="45">
        <v>0.12726939270232471</v>
      </c>
      <c r="BD80" s="45">
        <v>0</v>
      </c>
      <c r="BE80" s="45">
        <v>1.3999633197255716</v>
      </c>
      <c r="BF80" s="45">
        <v>7.3130259696318495E-3</v>
      </c>
      <c r="BG80" s="45">
        <v>-17.49925270888621</v>
      </c>
      <c r="BH80" s="199">
        <v>191.43420596878425</v>
      </c>
      <c r="BI80" s="45">
        <v>0.22219805681366997</v>
      </c>
      <c r="BJ80" s="45">
        <v>5.501420498172091E-2</v>
      </c>
      <c r="BK80" s="45">
        <v>0.45896967446615028</v>
      </c>
      <c r="BL80" s="45">
        <v>-109.55259169458952</v>
      </c>
      <c r="BM80" s="45">
        <v>-108.81640975832801</v>
      </c>
      <c r="BN80" s="45">
        <v>0.93100949662665811</v>
      </c>
      <c r="BO80" s="45">
        <v>0</v>
      </c>
      <c r="BP80" s="45">
        <v>0.3416844303965888</v>
      </c>
      <c r="BQ80" s="45">
        <v>0</v>
      </c>
      <c r="BR80" s="45">
        <v>0</v>
      </c>
      <c r="BS80" s="45">
        <v>0</v>
      </c>
      <c r="BT80" s="45">
        <v>0</v>
      </c>
      <c r="BU80" s="45">
        <v>0</v>
      </c>
      <c r="BV80" s="45">
        <v>0</v>
      </c>
      <c r="BW80" s="45">
        <v>0.12726939270232471</v>
      </c>
      <c r="BX80" s="45">
        <v>7.8176958636659494E-2</v>
      </c>
      <c r="BY80" s="45"/>
      <c r="BZ80" s="45">
        <v>0</v>
      </c>
      <c r="CA80" s="45">
        <v>-2.9488192070380408</v>
      </c>
      <c r="CB80" s="45">
        <v>1.3999633197255716</v>
      </c>
      <c r="CC80" s="45">
        <v>-2.8706422484013814</v>
      </c>
      <c r="CD80" s="199">
        <v>55.627420183679789</v>
      </c>
      <c r="CE80" s="45">
        <v>-126.59287472900961</v>
      </c>
      <c r="CF80" s="45">
        <v>1.844082765927995E-2</v>
      </c>
      <c r="CG80" s="45">
        <v>0</v>
      </c>
      <c r="CH80" s="45">
        <v>1.844082765927995E-2</v>
      </c>
      <c r="CI80" s="45">
        <v>9.2203711549623379E-4</v>
      </c>
      <c r="CJ80" s="45">
        <v>0</v>
      </c>
      <c r="CK80" s="45">
        <v>9.2203711549623379E-4</v>
      </c>
      <c r="CL80" s="45"/>
      <c r="CM80" s="45">
        <v>0</v>
      </c>
      <c r="CN80" s="45"/>
      <c r="CO80" s="45">
        <v>0</v>
      </c>
      <c r="CP80" s="45">
        <v>0</v>
      </c>
      <c r="CQ80" s="45">
        <v>0</v>
      </c>
      <c r="CR80" s="45">
        <v>0</v>
      </c>
      <c r="CS80" s="45">
        <v>0</v>
      </c>
      <c r="CT80" s="45">
        <v>0</v>
      </c>
      <c r="CU80" s="45">
        <v>1.2107895685804183E-2</v>
      </c>
      <c r="CV80" s="45">
        <v>9999</v>
      </c>
      <c r="CW80" s="200">
        <v>0</v>
      </c>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row>
    <row r="81" spans="1:131">
      <c r="A81" s="24" t="s">
        <v>420</v>
      </c>
      <c r="B81" s="24" t="s">
        <v>630</v>
      </c>
      <c r="C81" s="45">
        <v>14.186046511627907</v>
      </c>
      <c r="D81" s="45">
        <v>65.987461954092865</v>
      </c>
      <c r="E81" s="45">
        <v>0</v>
      </c>
      <c r="F81" s="45">
        <v>21.673265650078871</v>
      </c>
      <c r="G81" s="45">
        <v>0</v>
      </c>
      <c r="H81" s="45">
        <v>-5.6132962216598692</v>
      </c>
      <c r="I81" s="45" t="s">
        <v>369</v>
      </c>
      <c r="J81" s="45"/>
      <c r="K81" s="45"/>
      <c r="L81" s="45">
        <v>74.660780013982716</v>
      </c>
      <c r="M81" s="45">
        <v>1.7451431292925229E-2</v>
      </c>
      <c r="N81" s="45">
        <v>1.655733519252868E-2</v>
      </c>
      <c r="O81" s="45">
        <v>0</v>
      </c>
      <c r="P81" s="45">
        <v>0</v>
      </c>
      <c r="Q81" s="45">
        <v>0</v>
      </c>
      <c r="R81" s="45">
        <v>4.321938692991993</v>
      </c>
      <c r="S81" s="45">
        <v>1.0700724596078672</v>
      </c>
      <c r="T81" s="45">
        <v>8.927345375700682</v>
      </c>
      <c r="U81" s="45">
        <v>15.809350395932928</v>
      </c>
      <c r="V81" s="45" t="s">
        <v>609</v>
      </c>
      <c r="W81" s="45" t="s">
        <v>609</v>
      </c>
      <c r="X81" s="45" t="s">
        <v>609</v>
      </c>
      <c r="Y81" s="45" t="s">
        <v>609</v>
      </c>
      <c r="Z81" s="45">
        <v>0</v>
      </c>
      <c r="AA81" s="45">
        <v>0</v>
      </c>
      <c r="AB81" s="45">
        <v>0</v>
      </c>
      <c r="AC81" s="45">
        <v>0</v>
      </c>
      <c r="AD81" s="45">
        <v>0</v>
      </c>
      <c r="AE81" s="45">
        <v>0</v>
      </c>
      <c r="AF81" s="45">
        <v>0</v>
      </c>
      <c r="AG81" s="45">
        <v>-5.6132962216598692</v>
      </c>
      <c r="AH81" s="45">
        <v>4.321938692991993</v>
      </c>
      <c r="AI81" s="45">
        <v>1.0700724596078672</v>
      </c>
      <c r="AJ81" s="45">
        <v>8.927345375700682</v>
      </c>
      <c r="AK81" s="45">
        <v>10.196054174273058</v>
      </c>
      <c r="AL81" s="45">
        <v>24.5154107025736</v>
      </c>
      <c r="AM81" s="45">
        <v>35.808970890561092</v>
      </c>
      <c r="AN81" s="45">
        <v>6.1664368078985143</v>
      </c>
      <c r="AO81" s="45">
        <v>4.1975407698459613</v>
      </c>
      <c r="AP81" s="45">
        <v>0</v>
      </c>
      <c r="AQ81" s="45">
        <v>46.172948468305563</v>
      </c>
      <c r="AR81" s="45">
        <v>4.321938692991993</v>
      </c>
      <c r="AS81" s="199">
        <v>10.683388115424872</v>
      </c>
      <c r="AT81" s="45">
        <v>35.808970890561092</v>
      </c>
      <c r="AU81" s="45">
        <v>6.9756072487539766</v>
      </c>
      <c r="AV81" s="45">
        <v>4.2784578139315075</v>
      </c>
      <c r="AW81" s="45">
        <v>0</v>
      </c>
      <c r="AX81" s="45">
        <v>47.063035953246576</v>
      </c>
      <c r="AY81" s="45">
        <v>1.0700724596078672</v>
      </c>
      <c r="AZ81" s="199">
        <v>43.981167378602599</v>
      </c>
      <c r="BA81" s="45">
        <v>35.808970890561092</v>
      </c>
      <c r="BB81" s="45">
        <v>13.142044056652491</v>
      </c>
      <c r="BC81" s="45">
        <v>4.8951014947213585</v>
      </c>
      <c r="BD81" s="45">
        <v>0</v>
      </c>
      <c r="BE81" s="45">
        <v>53.846116441934939</v>
      </c>
      <c r="BF81" s="45">
        <v>5.39201115259986</v>
      </c>
      <c r="BG81" s="45">
        <v>-12.462381480990228</v>
      </c>
      <c r="BH81" s="199">
        <v>9.986276904485262</v>
      </c>
      <c r="BI81" s="45">
        <v>4.2594761772354675</v>
      </c>
      <c r="BJ81" s="45">
        <v>1.054607312455905</v>
      </c>
      <c r="BK81" s="45">
        <v>8.7983235429528381</v>
      </c>
      <c r="BL81" s="45">
        <v>10.048696416619624</v>
      </c>
      <c r="BM81" s="45">
        <v>24.161103449263834</v>
      </c>
      <c r="BN81" s="45">
        <v>35.808970890561092</v>
      </c>
      <c r="BO81" s="45">
        <v>0</v>
      </c>
      <c r="BP81" s="45">
        <v>13.142044056652491</v>
      </c>
      <c r="BQ81" s="45">
        <v>0</v>
      </c>
      <c r="BR81" s="45">
        <v>0</v>
      </c>
      <c r="BS81" s="45">
        <v>0</v>
      </c>
      <c r="BT81" s="45">
        <v>0</v>
      </c>
      <c r="BU81" s="45">
        <v>0</v>
      </c>
      <c r="BV81" s="45">
        <v>0</v>
      </c>
      <c r="BW81" s="45">
        <v>4.8951014947213585</v>
      </c>
      <c r="BX81" s="45">
        <v>30.12870692423347</v>
      </c>
      <c r="BY81" s="45"/>
      <c r="BZ81" s="45">
        <v>0</v>
      </c>
      <c r="CA81" s="45">
        <v>-5.6132962216598692</v>
      </c>
      <c r="CB81" s="45">
        <v>53.846116441934939</v>
      </c>
      <c r="CC81" s="45">
        <v>24.5154107025736</v>
      </c>
      <c r="CD81" s="199">
        <v>1.9735135933022645</v>
      </c>
      <c r="CE81" s="45">
        <v>6.3846384785822314</v>
      </c>
      <c r="CF81" s="45">
        <v>0.70928069288407625</v>
      </c>
      <c r="CG81" s="45">
        <v>0</v>
      </c>
      <c r="CH81" s="45">
        <v>0.70928069288407625</v>
      </c>
      <c r="CI81" s="45">
        <v>3.5463870506641786E-2</v>
      </c>
      <c r="CJ81" s="45">
        <v>0</v>
      </c>
      <c r="CK81" s="45">
        <v>3.5463870506641786E-2</v>
      </c>
      <c r="CL81" s="45"/>
      <c r="CM81" s="45">
        <v>0</v>
      </c>
      <c r="CN81" s="45"/>
      <c r="CO81" s="45">
        <v>0</v>
      </c>
      <c r="CP81" s="45">
        <v>0</v>
      </c>
      <c r="CQ81" s="45">
        <v>0</v>
      </c>
      <c r="CR81" s="45">
        <v>0</v>
      </c>
      <c r="CS81" s="45">
        <v>0</v>
      </c>
      <c r="CT81" s="45">
        <v>0</v>
      </c>
      <c r="CU81" s="45">
        <v>8.927345375700682</v>
      </c>
      <c r="CV81" s="45">
        <v>9999</v>
      </c>
      <c r="CW81" s="200">
        <v>0</v>
      </c>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row>
    <row r="82" spans="1:131">
      <c r="A82" s="24" t="s">
        <v>437</v>
      </c>
      <c r="B82" s="24" t="s">
        <v>631</v>
      </c>
      <c r="C82" s="45">
        <v>6.6762790697674417</v>
      </c>
      <c r="D82" s="45">
        <v>2.3112289292682102</v>
      </c>
      <c r="E82" s="45">
        <v>0</v>
      </c>
      <c r="F82" s="45">
        <v>1.0315522391340137</v>
      </c>
      <c r="G82" s="45">
        <v>0</v>
      </c>
      <c r="H82" s="45">
        <v>-1.3137623929241096</v>
      </c>
      <c r="I82" s="45" t="s">
        <v>369</v>
      </c>
      <c r="J82" s="45"/>
      <c r="K82" s="45"/>
      <c r="L82" s="45">
        <v>2.6150142699850236</v>
      </c>
      <c r="M82" s="45">
        <v>6.1124116107701858E-4</v>
      </c>
      <c r="N82" s="45">
        <v>5.7992520026282598E-4</v>
      </c>
      <c r="O82" s="45">
        <v>0</v>
      </c>
      <c r="P82" s="45">
        <v>0</v>
      </c>
      <c r="Q82" s="45">
        <v>0</v>
      </c>
      <c r="R82" s="45">
        <v>0.20570529647614957</v>
      </c>
      <c r="S82" s="45">
        <v>5.0930748488293445E-2</v>
      </c>
      <c r="T82" s="45">
        <v>0.42490242405132006</v>
      </c>
      <c r="U82" s="45">
        <v>2.0619258035268317</v>
      </c>
      <c r="V82" s="45" t="s">
        <v>609</v>
      </c>
      <c r="W82" s="45" t="s">
        <v>609</v>
      </c>
      <c r="X82" s="45" t="s">
        <v>609</v>
      </c>
      <c r="Y82" s="45" t="s">
        <v>609</v>
      </c>
      <c r="Z82" s="45">
        <v>0</v>
      </c>
      <c r="AA82" s="45">
        <v>0</v>
      </c>
      <c r="AB82" s="45">
        <v>0</v>
      </c>
      <c r="AC82" s="45">
        <v>0</v>
      </c>
      <c r="AD82" s="45">
        <v>0</v>
      </c>
      <c r="AE82" s="45">
        <v>0</v>
      </c>
      <c r="AF82" s="45">
        <v>0</v>
      </c>
      <c r="AG82" s="45">
        <v>-1.3137623929241096</v>
      </c>
      <c r="AH82" s="45">
        <v>0.20570529647614957</v>
      </c>
      <c r="AI82" s="45">
        <v>5.0930748488293445E-2</v>
      </c>
      <c r="AJ82" s="45">
        <v>0.42490242405132006</v>
      </c>
      <c r="AK82" s="45">
        <v>0.74816341060272218</v>
      </c>
      <c r="AL82" s="45">
        <v>1.4297018796184853</v>
      </c>
      <c r="AM82" s="45">
        <v>1.2542190137145386</v>
      </c>
      <c r="AN82" s="45">
        <v>0.21598113821735468</v>
      </c>
      <c r="AO82" s="45">
        <v>0.14702001519318933</v>
      </c>
      <c r="AP82" s="45">
        <v>0</v>
      </c>
      <c r="AQ82" s="45">
        <v>1.6172201671250825</v>
      </c>
      <c r="AR82" s="45">
        <v>0.20570529647614957</v>
      </c>
      <c r="AS82" s="199">
        <v>7.8618304673190105</v>
      </c>
      <c r="AT82" s="45">
        <v>1.2542190137145386</v>
      </c>
      <c r="AU82" s="45">
        <v>0.2443225545445189</v>
      </c>
      <c r="AV82" s="45">
        <v>0.14985415682590575</v>
      </c>
      <c r="AW82" s="45">
        <v>0</v>
      </c>
      <c r="AX82" s="45">
        <v>1.6483957250849632</v>
      </c>
      <c r="AY82" s="45">
        <v>5.0930748488293445E-2</v>
      </c>
      <c r="AZ82" s="199">
        <v>32.365432945951127</v>
      </c>
      <c r="BA82" s="45">
        <v>1.2542190137145386</v>
      </c>
      <c r="BB82" s="45">
        <v>0.46030369276187355</v>
      </c>
      <c r="BC82" s="45">
        <v>0.17145227064764124</v>
      </c>
      <c r="BD82" s="45">
        <v>0</v>
      </c>
      <c r="BE82" s="45">
        <v>1.8859749771240533</v>
      </c>
      <c r="BF82" s="45">
        <v>0.25663604496444303</v>
      </c>
      <c r="BG82" s="45">
        <v>-10.555192948327178</v>
      </c>
      <c r="BH82" s="199">
        <v>7.3488312110847698</v>
      </c>
      <c r="BI82" s="45">
        <v>5.7881732961523378</v>
      </c>
      <c r="BJ82" s="45">
        <v>1.43309872620208</v>
      </c>
      <c r="BK82" s="45">
        <v>11.955982206075101</v>
      </c>
      <c r="BL82" s="45">
        <v>21.051959033592656</v>
      </c>
      <c r="BM82" s="45">
        <v>40.229213262022178</v>
      </c>
      <c r="BN82" s="45">
        <v>1.2542190137145386</v>
      </c>
      <c r="BO82" s="45">
        <v>0</v>
      </c>
      <c r="BP82" s="45">
        <v>0.46030369276187355</v>
      </c>
      <c r="BQ82" s="45">
        <v>0</v>
      </c>
      <c r="BR82" s="45">
        <v>0</v>
      </c>
      <c r="BS82" s="45">
        <v>0</v>
      </c>
      <c r="BT82" s="45">
        <v>0</v>
      </c>
      <c r="BU82" s="45">
        <v>0</v>
      </c>
      <c r="BV82" s="45">
        <v>0</v>
      </c>
      <c r="BW82" s="45">
        <v>0.17145227064764124</v>
      </c>
      <c r="BX82" s="45">
        <v>2.7434642725425951</v>
      </c>
      <c r="BY82" s="45"/>
      <c r="BZ82" s="45">
        <v>0</v>
      </c>
      <c r="CA82" s="45">
        <v>-1.3137623929241096</v>
      </c>
      <c r="CB82" s="45">
        <v>1.8859749771240535</v>
      </c>
      <c r="CC82" s="45">
        <v>1.4297018796184855</v>
      </c>
      <c r="CD82" s="199">
        <v>1.1663127535765945</v>
      </c>
      <c r="CE82" s="45">
        <v>22.45274829134058</v>
      </c>
      <c r="CF82" s="45">
        <v>2.4842750544119063E-2</v>
      </c>
      <c r="CG82" s="45">
        <v>0</v>
      </c>
      <c r="CH82" s="45">
        <v>2.4842750544119063E-2</v>
      </c>
      <c r="CI82" s="45">
        <v>1.242131778242886E-3</v>
      </c>
      <c r="CJ82" s="45">
        <v>0</v>
      </c>
      <c r="CK82" s="45">
        <v>1.242131778242886E-3</v>
      </c>
      <c r="CL82" s="45"/>
      <c r="CM82" s="45">
        <v>0</v>
      </c>
      <c r="CN82" s="45"/>
      <c r="CO82" s="45">
        <v>0</v>
      </c>
      <c r="CP82" s="45">
        <v>0</v>
      </c>
      <c r="CQ82" s="45">
        <v>0</v>
      </c>
      <c r="CR82" s="45">
        <v>0</v>
      </c>
      <c r="CS82" s="45">
        <v>0</v>
      </c>
      <c r="CT82" s="45">
        <v>0</v>
      </c>
      <c r="CU82" s="45">
        <v>0.42490242405132006</v>
      </c>
      <c r="CV82" s="45">
        <v>9999</v>
      </c>
      <c r="CW82" s="200">
        <v>0</v>
      </c>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row>
    <row r="83" spans="1:131">
      <c r="A83" s="24" t="s">
        <v>423</v>
      </c>
      <c r="B83" s="24" t="s">
        <v>632</v>
      </c>
      <c r="C83" s="45">
        <v>6.6762790697674417</v>
      </c>
      <c r="D83" s="45">
        <v>1.7156302515732005</v>
      </c>
      <c r="E83" s="45">
        <v>0</v>
      </c>
      <c r="F83" s="45">
        <v>0.18729926518091722</v>
      </c>
      <c r="G83" s="45">
        <v>0</v>
      </c>
      <c r="H83" s="45">
        <v>-2.9488192070380408</v>
      </c>
      <c r="I83" s="45" t="s">
        <v>369</v>
      </c>
      <c r="J83" s="45"/>
      <c r="K83" s="45"/>
      <c r="L83" s="45">
        <v>1.9411307694657556</v>
      </c>
      <c r="M83" s="45">
        <v>4.5372564079253387E-4</v>
      </c>
      <c r="N83" s="45">
        <v>4.3047973509728068E-4</v>
      </c>
      <c r="O83" s="45">
        <v>0</v>
      </c>
      <c r="P83" s="45">
        <v>0</v>
      </c>
      <c r="Q83" s="45">
        <v>0</v>
      </c>
      <c r="R83" s="45">
        <v>3.7349975514715673E-2</v>
      </c>
      <c r="S83" s="45">
        <v>9.2475120552107885E-3</v>
      </c>
      <c r="T83" s="45">
        <v>7.7149667054392981E-2</v>
      </c>
      <c r="U83" s="45">
        <v>0.37438451801758454</v>
      </c>
      <c r="V83" s="45" t="s">
        <v>609</v>
      </c>
      <c r="W83" s="45" t="s">
        <v>609</v>
      </c>
      <c r="X83" s="45" t="s">
        <v>609</v>
      </c>
      <c r="Y83" s="45" t="s">
        <v>609</v>
      </c>
      <c r="Z83" s="45">
        <v>0</v>
      </c>
      <c r="AA83" s="45">
        <v>0</v>
      </c>
      <c r="AB83" s="45">
        <v>0</v>
      </c>
      <c r="AC83" s="45">
        <v>0</v>
      </c>
      <c r="AD83" s="45">
        <v>0</v>
      </c>
      <c r="AE83" s="45">
        <v>0</v>
      </c>
      <c r="AF83" s="45">
        <v>0</v>
      </c>
      <c r="AG83" s="45">
        <v>-2.9488192070380408</v>
      </c>
      <c r="AH83" s="45">
        <v>3.7349975514715673E-2</v>
      </c>
      <c r="AI83" s="45">
        <v>9.2475120552107885E-3</v>
      </c>
      <c r="AJ83" s="45">
        <v>7.7149667054392981E-2</v>
      </c>
      <c r="AK83" s="45">
        <v>-2.5744346890204564</v>
      </c>
      <c r="AL83" s="45">
        <v>-2.450687534396137</v>
      </c>
      <c r="AM83" s="45">
        <v>0.93100949662665811</v>
      </c>
      <c r="AN83" s="45">
        <v>0.16032326776570299</v>
      </c>
      <c r="AO83" s="45">
        <v>0.10913327643923612</v>
      </c>
      <c r="AP83" s="45">
        <v>0</v>
      </c>
      <c r="AQ83" s="45">
        <v>1.2004660408315972</v>
      </c>
      <c r="AR83" s="45">
        <v>3.7349975514715673E-2</v>
      </c>
      <c r="AS83" s="199">
        <v>32.141012792863023</v>
      </c>
      <c r="AT83" s="45">
        <v>0.93100949662665811</v>
      </c>
      <c r="AU83" s="45">
        <v>0.18136116263088578</v>
      </c>
      <c r="AV83" s="45">
        <v>0.1112370659257544</v>
      </c>
      <c r="AW83" s="45">
        <v>0</v>
      </c>
      <c r="AX83" s="45">
        <v>1.2236077251832984</v>
      </c>
      <c r="AY83" s="45">
        <v>9.2475120552107885E-3</v>
      </c>
      <c r="AZ83" s="199">
        <v>132.31750527903554</v>
      </c>
      <c r="BA83" s="45">
        <v>0.93100949662665811</v>
      </c>
      <c r="BB83" s="45">
        <v>0.3416844303965888</v>
      </c>
      <c r="BC83" s="45">
        <v>0.12726939270232471</v>
      </c>
      <c r="BD83" s="45">
        <v>0</v>
      </c>
      <c r="BE83" s="45">
        <v>1.3999633197255716</v>
      </c>
      <c r="BF83" s="45">
        <v>4.659748756992646E-2</v>
      </c>
      <c r="BG83" s="45">
        <v>-16.010110663055347</v>
      </c>
      <c r="BH83" s="199">
        <v>30.043751127670102</v>
      </c>
      <c r="BI83" s="45">
        <v>1.4158121731595645</v>
      </c>
      <c r="BJ83" s="45">
        <v>0.35054213446669585</v>
      </c>
      <c r="BK83" s="45">
        <v>2.9244848561622545</v>
      </c>
      <c r="BL83" s="45">
        <v>-97.588175667835301</v>
      </c>
      <c r="BM83" s="45">
        <v>-92.897336504046777</v>
      </c>
      <c r="BN83" s="45">
        <v>0.93100949662665811</v>
      </c>
      <c r="BO83" s="45">
        <v>0</v>
      </c>
      <c r="BP83" s="45">
        <v>0.3416844303965888</v>
      </c>
      <c r="BQ83" s="45">
        <v>0</v>
      </c>
      <c r="BR83" s="45">
        <v>0</v>
      </c>
      <c r="BS83" s="45">
        <v>0</v>
      </c>
      <c r="BT83" s="45">
        <v>0</v>
      </c>
      <c r="BU83" s="45">
        <v>0</v>
      </c>
      <c r="BV83" s="45">
        <v>0</v>
      </c>
      <c r="BW83" s="45">
        <v>0.12726939270232471</v>
      </c>
      <c r="BX83" s="45">
        <v>0.498131672641904</v>
      </c>
      <c r="BY83" s="45"/>
      <c r="BZ83" s="45">
        <v>0</v>
      </c>
      <c r="CA83" s="45">
        <v>-2.9488192070380408</v>
      </c>
      <c r="CB83" s="45">
        <v>1.3999633197255716</v>
      </c>
      <c r="CC83" s="45">
        <v>-2.450687534396137</v>
      </c>
      <c r="CD83" s="199">
        <v>8.7301867470086716</v>
      </c>
      <c r="CE83" s="45">
        <v>-110.67380147472838</v>
      </c>
      <c r="CF83" s="45">
        <v>1.844082765927995E-2</v>
      </c>
      <c r="CG83" s="45">
        <v>0</v>
      </c>
      <c r="CH83" s="45">
        <v>1.844082765927995E-2</v>
      </c>
      <c r="CI83" s="45">
        <v>9.2203711549623379E-4</v>
      </c>
      <c r="CJ83" s="45">
        <v>0</v>
      </c>
      <c r="CK83" s="45">
        <v>9.2203711549623379E-4</v>
      </c>
      <c r="CL83" s="45"/>
      <c r="CM83" s="45">
        <v>0</v>
      </c>
      <c r="CN83" s="45"/>
      <c r="CO83" s="45">
        <v>0</v>
      </c>
      <c r="CP83" s="45">
        <v>0</v>
      </c>
      <c r="CQ83" s="45">
        <v>0</v>
      </c>
      <c r="CR83" s="45">
        <v>0</v>
      </c>
      <c r="CS83" s="45">
        <v>0</v>
      </c>
      <c r="CT83" s="45">
        <v>0</v>
      </c>
      <c r="CU83" s="45">
        <v>7.7149667054392981E-2</v>
      </c>
      <c r="CV83" s="45">
        <v>9999</v>
      </c>
      <c r="CW83" s="200">
        <v>0</v>
      </c>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row>
    <row r="84" spans="1:131">
      <c r="A84" s="24"/>
      <c r="B84" s="24"/>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row>
    <row r="85" spans="1:131">
      <c r="A85" s="24"/>
      <c r="B85" s="24"/>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row>
    <row r="86" spans="1:131" ht="13.5" thickBot="1">
      <c r="A86" s="187" t="s">
        <v>633</v>
      </c>
      <c r="B86" s="188"/>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row>
    <row r="87" spans="1:131" ht="26.25" thickBot="1">
      <c r="A87" s="213" t="s">
        <v>512</v>
      </c>
      <c r="B87" s="214"/>
      <c r="C87" s="215" t="s">
        <v>513</v>
      </c>
      <c r="D87" s="216"/>
      <c r="E87" s="216"/>
      <c r="F87" s="216"/>
      <c r="G87" s="216"/>
      <c r="H87" s="216"/>
      <c r="I87" s="216"/>
      <c r="J87" s="216"/>
      <c r="K87" s="217"/>
      <c r="L87" s="215" t="s">
        <v>514</v>
      </c>
      <c r="M87" s="216"/>
      <c r="N87" s="216"/>
      <c r="O87" s="216"/>
      <c r="P87" s="216"/>
      <c r="Q87" s="217"/>
      <c r="R87" s="215" t="s">
        <v>515</v>
      </c>
      <c r="S87" s="216"/>
      <c r="T87" s="216"/>
      <c r="U87" s="217"/>
      <c r="V87" s="215" t="s">
        <v>516</v>
      </c>
      <c r="W87" s="216"/>
      <c r="X87" s="216"/>
      <c r="Y87" s="217"/>
      <c r="Z87" s="215" t="s">
        <v>517</v>
      </c>
      <c r="AA87" s="216"/>
      <c r="AB87" s="216"/>
      <c r="AC87" s="217"/>
      <c r="AD87" s="215" t="s">
        <v>518</v>
      </c>
      <c r="AE87" s="216"/>
      <c r="AF87" s="216"/>
      <c r="AG87" s="217"/>
      <c r="AH87" s="215" t="s">
        <v>519</v>
      </c>
      <c r="AI87" s="216"/>
      <c r="AJ87" s="216"/>
      <c r="AK87" s="216"/>
      <c r="AL87" s="217"/>
      <c r="AM87" s="215" t="s">
        <v>520</v>
      </c>
      <c r="AN87" s="216"/>
      <c r="AO87" s="216"/>
      <c r="AP87" s="216"/>
      <c r="AQ87" s="216"/>
      <c r="AR87" s="216"/>
      <c r="AS87" s="217"/>
      <c r="AT87" s="215" t="s">
        <v>521</v>
      </c>
      <c r="AU87" s="216"/>
      <c r="AV87" s="216"/>
      <c r="AW87" s="216"/>
      <c r="AX87" s="216"/>
      <c r="AY87" s="216"/>
      <c r="AZ87" s="217"/>
      <c r="BA87" s="215" t="s">
        <v>522</v>
      </c>
      <c r="BB87" s="216"/>
      <c r="BC87" s="216"/>
      <c r="BD87" s="216"/>
      <c r="BE87" s="216"/>
      <c r="BF87" s="217"/>
      <c r="BG87" s="215" t="s">
        <v>523</v>
      </c>
      <c r="BH87" s="217"/>
      <c r="BI87" s="215" t="s">
        <v>524</v>
      </c>
      <c r="BJ87" s="216"/>
      <c r="BK87" s="216"/>
      <c r="BL87" s="216"/>
      <c r="BM87" s="217"/>
      <c r="BN87" s="215" t="s">
        <v>525</v>
      </c>
      <c r="BO87" s="216"/>
      <c r="BP87" s="216"/>
      <c r="BQ87" s="216"/>
      <c r="BR87" s="216"/>
      <c r="BS87" s="216"/>
      <c r="BT87" s="216"/>
      <c r="BU87" s="216"/>
      <c r="BV87" s="216"/>
      <c r="BW87" s="216"/>
      <c r="BX87" s="216"/>
      <c r="BY87" s="216"/>
      <c r="BZ87" s="216"/>
      <c r="CA87" s="216"/>
      <c r="CB87" s="216"/>
      <c r="CC87" s="217"/>
      <c r="CD87" s="215" t="s">
        <v>526</v>
      </c>
      <c r="CE87" s="217"/>
      <c r="CF87" s="215" t="s">
        <v>527</v>
      </c>
      <c r="CG87" s="216"/>
      <c r="CH87" s="216"/>
      <c r="CI87" s="216"/>
      <c r="CJ87" s="216"/>
      <c r="CK87" s="217"/>
      <c r="CL87" s="218"/>
      <c r="CM87" s="215" t="s">
        <v>19</v>
      </c>
      <c r="CN87" s="216"/>
      <c r="CO87" s="216"/>
      <c r="CP87" s="217"/>
      <c r="CQ87" s="215" t="s">
        <v>528</v>
      </c>
      <c r="CR87" s="216"/>
      <c r="CS87" s="216"/>
      <c r="CT87" s="216"/>
      <c r="CU87" s="217"/>
      <c r="CV87" s="215" t="s">
        <v>529</v>
      </c>
      <c r="CW87" s="217"/>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row>
    <row r="88" spans="1:131" ht="127.5">
      <c r="A88" s="195" t="s">
        <v>388</v>
      </c>
      <c r="B88" s="196" t="s">
        <v>389</v>
      </c>
      <c r="C88" s="197" t="s">
        <v>11</v>
      </c>
      <c r="D88" s="197" t="s">
        <v>530</v>
      </c>
      <c r="E88" s="197" t="s">
        <v>531</v>
      </c>
      <c r="F88" s="197" t="s">
        <v>532</v>
      </c>
      <c r="G88" s="197" t="s">
        <v>533</v>
      </c>
      <c r="H88" s="197" t="s">
        <v>534</v>
      </c>
      <c r="I88" s="197" t="s">
        <v>535</v>
      </c>
      <c r="J88" s="197" t="s">
        <v>536</v>
      </c>
      <c r="K88" s="197" t="s">
        <v>537</v>
      </c>
      <c r="L88" s="197" t="s">
        <v>538</v>
      </c>
      <c r="M88" s="197" t="s">
        <v>539</v>
      </c>
      <c r="N88" s="197" t="s">
        <v>540</v>
      </c>
      <c r="O88" s="197" t="s">
        <v>541</v>
      </c>
      <c r="P88" s="197" t="s">
        <v>542</v>
      </c>
      <c r="Q88" s="197" t="s">
        <v>543</v>
      </c>
      <c r="R88" s="197" t="s">
        <v>544</v>
      </c>
      <c r="S88" s="197" t="s">
        <v>545</v>
      </c>
      <c r="T88" s="197" t="s">
        <v>546</v>
      </c>
      <c r="U88" s="197" t="s">
        <v>453</v>
      </c>
      <c r="V88" s="197" t="s">
        <v>544</v>
      </c>
      <c r="W88" s="197" t="s">
        <v>545</v>
      </c>
      <c r="X88" s="197" t="s">
        <v>546</v>
      </c>
      <c r="Y88" s="197" t="s">
        <v>453</v>
      </c>
      <c r="Z88" s="197" t="s">
        <v>544</v>
      </c>
      <c r="AA88" s="197" t="s">
        <v>545</v>
      </c>
      <c r="AB88" s="197" t="s">
        <v>546</v>
      </c>
      <c r="AC88" s="197" t="s">
        <v>453</v>
      </c>
      <c r="AD88" s="197" t="s">
        <v>544</v>
      </c>
      <c r="AE88" s="197" t="s">
        <v>545</v>
      </c>
      <c r="AF88" s="197" t="s">
        <v>546</v>
      </c>
      <c r="AG88" s="197" t="s">
        <v>453</v>
      </c>
      <c r="AH88" s="197" t="s">
        <v>544</v>
      </c>
      <c r="AI88" s="197" t="s">
        <v>545</v>
      </c>
      <c r="AJ88" s="197" t="s">
        <v>546</v>
      </c>
      <c r="AK88" s="197" t="s">
        <v>453</v>
      </c>
      <c r="AL88" s="197" t="s">
        <v>547</v>
      </c>
      <c r="AM88" s="197" t="s">
        <v>548</v>
      </c>
      <c r="AN88" s="197" t="s">
        <v>549</v>
      </c>
      <c r="AO88" s="197" t="s">
        <v>550</v>
      </c>
      <c r="AP88" s="197" t="s">
        <v>551</v>
      </c>
      <c r="AQ88" s="197" t="s">
        <v>552</v>
      </c>
      <c r="AR88" s="197" t="s">
        <v>553</v>
      </c>
      <c r="AS88" s="197" t="s">
        <v>554</v>
      </c>
      <c r="AT88" s="197" t="s">
        <v>555</v>
      </c>
      <c r="AU88" s="197" t="s">
        <v>556</v>
      </c>
      <c r="AV88" s="197" t="s">
        <v>557</v>
      </c>
      <c r="AW88" s="197" t="s">
        <v>558</v>
      </c>
      <c r="AX88" s="197" t="s">
        <v>559</v>
      </c>
      <c r="AY88" s="197" t="s">
        <v>560</v>
      </c>
      <c r="AZ88" s="197" t="s">
        <v>561</v>
      </c>
      <c r="BA88" s="197" t="s">
        <v>562</v>
      </c>
      <c r="BB88" s="197" t="s">
        <v>563</v>
      </c>
      <c r="BC88" s="197" t="s">
        <v>564</v>
      </c>
      <c r="BD88" s="197" t="s">
        <v>565</v>
      </c>
      <c r="BE88" s="197" t="s">
        <v>566</v>
      </c>
      <c r="BF88" s="197" t="s">
        <v>567</v>
      </c>
      <c r="BG88" s="197" t="s">
        <v>568</v>
      </c>
      <c r="BH88" s="197" t="s">
        <v>569</v>
      </c>
      <c r="BI88" s="197" t="s">
        <v>570</v>
      </c>
      <c r="BJ88" s="197" t="s">
        <v>571</v>
      </c>
      <c r="BK88" s="197" t="s">
        <v>572</v>
      </c>
      <c r="BL88" s="197" t="s">
        <v>573</v>
      </c>
      <c r="BM88" s="197" t="s">
        <v>574</v>
      </c>
      <c r="BN88" s="197" t="s">
        <v>575</v>
      </c>
      <c r="BO88" s="197" t="s">
        <v>576</v>
      </c>
      <c r="BP88" s="197" t="s">
        <v>577</v>
      </c>
      <c r="BQ88" s="197" t="s">
        <v>578</v>
      </c>
      <c r="BR88" s="197" t="s">
        <v>579</v>
      </c>
      <c r="BS88" s="197" t="s">
        <v>580</v>
      </c>
      <c r="BT88" s="197" t="s">
        <v>581</v>
      </c>
      <c r="BU88" s="197" t="s">
        <v>582</v>
      </c>
      <c r="BV88" s="197" t="s">
        <v>583</v>
      </c>
      <c r="BW88" s="197" t="s">
        <v>584</v>
      </c>
      <c r="BX88" s="197" t="s">
        <v>585</v>
      </c>
      <c r="BY88" s="197" t="s">
        <v>586</v>
      </c>
      <c r="BZ88" s="197" t="s">
        <v>587</v>
      </c>
      <c r="CA88" s="197" t="s">
        <v>588</v>
      </c>
      <c r="CB88" s="197" t="s">
        <v>589</v>
      </c>
      <c r="CC88" s="197" t="s">
        <v>590</v>
      </c>
      <c r="CD88" s="197" t="s">
        <v>399</v>
      </c>
      <c r="CE88" s="197" t="s">
        <v>398</v>
      </c>
      <c r="CF88" s="197" t="s">
        <v>591</v>
      </c>
      <c r="CG88" s="197" t="s">
        <v>592</v>
      </c>
      <c r="CH88" s="197" t="s">
        <v>593</v>
      </c>
      <c r="CI88" s="197" t="s">
        <v>594</v>
      </c>
      <c r="CJ88" s="197" t="s">
        <v>595</v>
      </c>
      <c r="CK88" s="197" t="s">
        <v>596</v>
      </c>
      <c r="CL88" s="197"/>
      <c r="CM88" s="197" t="s">
        <v>597</v>
      </c>
      <c r="CN88" s="197" t="s">
        <v>598</v>
      </c>
      <c r="CO88" s="197" t="s">
        <v>599</v>
      </c>
      <c r="CP88" s="197" t="s">
        <v>600</v>
      </c>
      <c r="CQ88" s="197" t="s">
        <v>601</v>
      </c>
      <c r="CR88" s="197" t="s">
        <v>602</v>
      </c>
      <c r="CS88" s="197" t="s">
        <v>603</v>
      </c>
      <c r="CT88" s="197" t="s">
        <v>604</v>
      </c>
      <c r="CU88" s="197" t="s">
        <v>605</v>
      </c>
      <c r="CV88" s="197" t="s">
        <v>606</v>
      </c>
      <c r="CW88" s="197" t="s">
        <v>607</v>
      </c>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row>
    <row r="89" spans="1:131">
      <c r="A89" s="24" t="s">
        <v>414</v>
      </c>
      <c r="B89" s="24"/>
      <c r="C89" s="45">
        <v>16.279069767441861</v>
      </c>
      <c r="D89" s="45">
        <v>130.19651169604927</v>
      </c>
      <c r="E89" s="45">
        <v>0</v>
      </c>
      <c r="F89" s="45">
        <v>0.35225089298694362</v>
      </c>
      <c r="G89" s="45">
        <v>0</v>
      </c>
      <c r="H89" s="45">
        <v>-6.2631594097944996</v>
      </c>
      <c r="I89" s="45"/>
      <c r="J89" s="45"/>
      <c r="K89" s="45"/>
      <c r="L89" s="45">
        <v>147.30939530738755</v>
      </c>
      <c r="M89" s="45">
        <v>3.4432533259467366E-2</v>
      </c>
      <c r="N89" s="45">
        <v>3.2668437627578137E-2</v>
      </c>
      <c r="O89" s="45">
        <v>0</v>
      </c>
      <c r="P89" s="45">
        <v>0</v>
      </c>
      <c r="Q89" s="45">
        <v>0</v>
      </c>
      <c r="R89" s="45">
        <v>7.024353360591569E-2</v>
      </c>
      <c r="S89" s="45">
        <v>1.739165594808435E-2</v>
      </c>
      <c r="T89" s="45">
        <v>0.1450942110600662</v>
      </c>
      <c r="U89" s="45">
        <v>0.20671743055763572</v>
      </c>
      <c r="V89" s="45">
        <v>2.1135053579216617E-2</v>
      </c>
      <c r="W89" s="45">
        <v>5.2837633948041533E-3</v>
      </c>
      <c r="X89" s="45">
        <v>4.4031361623367953E-2</v>
      </c>
      <c r="Y89" s="45">
        <v>0</v>
      </c>
      <c r="Z89" s="45">
        <v>0</v>
      </c>
      <c r="AA89" s="45">
        <v>0</v>
      </c>
      <c r="AB89" s="45">
        <v>0</v>
      </c>
      <c r="AC89" s="45">
        <v>0</v>
      </c>
      <c r="AD89" s="45">
        <v>0</v>
      </c>
      <c r="AE89" s="45">
        <v>0</v>
      </c>
      <c r="AF89" s="45">
        <v>0</v>
      </c>
      <c r="AG89" s="45">
        <v>-6.2631594097944996</v>
      </c>
      <c r="AH89" s="45">
        <v>9.1378587185132309E-2</v>
      </c>
      <c r="AI89" s="45">
        <v>2.2675419342888505E-2</v>
      </c>
      <c r="AJ89" s="45">
        <v>0.18912557268343416</v>
      </c>
      <c r="AK89" s="45">
        <v>-6.0564419792368636</v>
      </c>
      <c r="AL89" s="45">
        <v>-5.7532624000254087</v>
      </c>
      <c r="AM89" s="45">
        <v>70.652862821423369</v>
      </c>
      <c r="AN89" s="45">
        <v>12.166683460882998</v>
      </c>
      <c r="AO89" s="45">
        <v>8.281954628230638</v>
      </c>
      <c r="AP89" s="45">
        <v>0</v>
      </c>
      <c r="AQ89" s="45">
        <v>91.101500910536998</v>
      </c>
      <c r="AR89" s="45">
        <v>9.1378587185132309E-2</v>
      </c>
      <c r="AS89" s="199">
        <v>996.96771111120449</v>
      </c>
      <c r="AT89" s="45">
        <v>70.652862821423369</v>
      </c>
      <c r="AU89" s="45">
        <v>13.763216584709271</v>
      </c>
      <c r="AV89" s="45">
        <v>8.4416079406132649</v>
      </c>
      <c r="AW89" s="45">
        <v>0</v>
      </c>
      <c r="AX89" s="45">
        <v>92.857687346745905</v>
      </c>
      <c r="AY89" s="45">
        <v>2.2675419342888505E-2</v>
      </c>
      <c r="AZ89" s="199">
        <v>4095.0813717087026</v>
      </c>
      <c r="BA89" s="45">
        <v>70.652862821423369</v>
      </c>
      <c r="BB89" s="45">
        <v>25.929900045592269</v>
      </c>
      <c r="BC89" s="45">
        <v>9.6582762867015646</v>
      </c>
      <c r="BD89" s="45">
        <v>0</v>
      </c>
      <c r="BE89" s="45">
        <v>106.2410391537172</v>
      </c>
      <c r="BF89" s="45">
        <v>0.11405400652802081</v>
      </c>
      <c r="BG89" s="45">
        <v>-17.719494446739027</v>
      </c>
      <c r="BH89" s="199">
        <v>931.49765087485878</v>
      </c>
      <c r="BI89" s="45">
        <v>4.5644043094527936E-2</v>
      </c>
      <c r="BJ89" s="45">
        <v>1.1326480848039352E-2</v>
      </c>
      <c r="BK89" s="45">
        <v>9.4469131727224639E-2</v>
      </c>
      <c r="BL89" s="45">
        <v>-3.0252218513701594</v>
      </c>
      <c r="BM89" s="45">
        <v>-2.8737821957003677</v>
      </c>
      <c r="BN89" s="45">
        <v>70.652862821423369</v>
      </c>
      <c r="BO89" s="45">
        <v>0</v>
      </c>
      <c r="BP89" s="45">
        <v>25.929900045592269</v>
      </c>
      <c r="BQ89" s="45">
        <v>0</v>
      </c>
      <c r="BR89" s="45">
        <v>0</v>
      </c>
      <c r="BS89" s="45">
        <v>0</v>
      </c>
      <c r="BT89" s="45">
        <v>0</v>
      </c>
      <c r="BU89" s="45">
        <v>0</v>
      </c>
      <c r="BV89" s="45">
        <v>0</v>
      </c>
      <c r="BW89" s="45">
        <v>9.6582762867015646</v>
      </c>
      <c r="BX89" s="45">
        <v>0.43944683117170197</v>
      </c>
      <c r="BY89" s="45">
        <v>7.0450178597388724E-2</v>
      </c>
      <c r="BZ89" s="45">
        <v>0</v>
      </c>
      <c r="CA89" s="45">
        <v>-6.2631594097944996</v>
      </c>
      <c r="CB89" s="45">
        <v>106.2410391537172</v>
      </c>
      <c r="CC89" s="45">
        <v>-5.7532624000254087</v>
      </c>
      <c r="CD89" s="199">
        <v>220.64102437953059</v>
      </c>
      <c r="CE89" s="45">
        <v>-20.650247166381963</v>
      </c>
      <c r="CF89" s="45">
        <v>1.3994457324500227</v>
      </c>
      <c r="CG89" s="45">
        <v>0</v>
      </c>
      <c r="CH89" s="45">
        <v>1.3994457324500227</v>
      </c>
      <c r="CI89" s="45">
        <v>6.9971962771009089E-2</v>
      </c>
      <c r="CJ89" s="45">
        <v>0</v>
      </c>
      <c r="CK89" s="45">
        <v>6.9971962771009089E-2</v>
      </c>
      <c r="CL89" s="45"/>
      <c r="CM89" s="45">
        <v>0</v>
      </c>
      <c r="CN89" s="45"/>
      <c r="CO89" s="45">
        <v>0</v>
      </c>
      <c r="CP89" s="45">
        <v>0</v>
      </c>
      <c r="CQ89" s="45">
        <v>0</v>
      </c>
      <c r="CR89" s="45">
        <v>0</v>
      </c>
      <c r="CS89" s="45">
        <v>0</v>
      </c>
      <c r="CT89" s="45">
        <v>0</v>
      </c>
      <c r="CU89" s="45">
        <v>0.18912557268343416</v>
      </c>
      <c r="CV89" s="45">
        <v>9999</v>
      </c>
      <c r="CW89" s="200">
        <v>0</v>
      </c>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row>
    <row r="90" spans="1:131">
      <c r="A90" s="24" t="s">
        <v>415</v>
      </c>
      <c r="B90" s="24"/>
      <c r="C90" s="45">
        <v>16.744186046511629</v>
      </c>
      <c r="D90" s="45">
        <v>66.781973941888168</v>
      </c>
      <c r="E90" s="45">
        <v>0</v>
      </c>
      <c r="F90" s="45">
        <v>0.68761315445724391</v>
      </c>
      <c r="G90" s="45">
        <v>0</v>
      </c>
      <c r="H90" s="45">
        <v>-5.6132962216598692</v>
      </c>
      <c r="I90" s="45"/>
      <c r="J90" s="45"/>
      <c r="K90" s="45"/>
      <c r="L90" s="45">
        <v>75.559721767198283</v>
      </c>
      <c r="M90" s="45">
        <v>1.7661552594090916E-2</v>
      </c>
      <c r="N90" s="45">
        <v>1.6756691265740906E-2</v>
      </c>
      <c r="O90" s="45">
        <v>0</v>
      </c>
      <c r="P90" s="45">
        <v>0</v>
      </c>
      <c r="Q90" s="45">
        <v>0</v>
      </c>
      <c r="R90" s="45">
        <v>0.1371192484805919</v>
      </c>
      <c r="S90" s="45">
        <v>3.3949470805573305E-2</v>
      </c>
      <c r="T90" s="45">
        <v>0.2832318956369409</v>
      </c>
      <c r="U90" s="45">
        <v>0.38516171597023441</v>
      </c>
      <c r="V90" s="45">
        <v>4.1256789267434639E-2</v>
      </c>
      <c r="W90" s="45">
        <v>1.0314197316858656E-2</v>
      </c>
      <c r="X90" s="45">
        <v>8.5951644307155489E-2</v>
      </c>
      <c r="Y90" s="45">
        <v>0</v>
      </c>
      <c r="Z90" s="45">
        <v>0</v>
      </c>
      <c r="AA90" s="45">
        <v>0</v>
      </c>
      <c r="AB90" s="45">
        <v>0</v>
      </c>
      <c r="AC90" s="45">
        <v>0</v>
      </c>
      <c r="AD90" s="45">
        <v>0</v>
      </c>
      <c r="AE90" s="45">
        <v>0</v>
      </c>
      <c r="AF90" s="45">
        <v>0</v>
      </c>
      <c r="AG90" s="45">
        <v>-5.6132962216598692</v>
      </c>
      <c r="AH90" s="45">
        <v>0.17837603774802654</v>
      </c>
      <c r="AI90" s="45">
        <v>4.4263668122431959E-2</v>
      </c>
      <c r="AJ90" s="45">
        <v>0.36918353994409636</v>
      </c>
      <c r="AK90" s="45">
        <v>-5.2281345056896349</v>
      </c>
      <c r="AL90" s="45">
        <v>-4.6363112598750797</v>
      </c>
      <c r="AM90" s="45">
        <v>36.240123351962843</v>
      </c>
      <c r="AN90" s="45">
        <v>6.2406828513251593</v>
      </c>
      <c r="AO90" s="45">
        <v>4.2480806203288006</v>
      </c>
      <c r="AP90" s="45">
        <v>0</v>
      </c>
      <c r="AQ90" s="45">
        <v>46.728886823616804</v>
      </c>
      <c r="AR90" s="45">
        <v>0.17837603774802654</v>
      </c>
      <c r="AS90" s="199">
        <v>261.96840906190488</v>
      </c>
      <c r="AT90" s="45">
        <v>36.240123351962843</v>
      </c>
      <c r="AU90" s="45">
        <v>7.0595959856619439</v>
      </c>
      <c r="AV90" s="45">
        <v>4.3299719337624794</v>
      </c>
      <c r="AW90" s="45">
        <v>0</v>
      </c>
      <c r="AX90" s="45">
        <v>47.629691271387266</v>
      </c>
      <c r="AY90" s="45">
        <v>4.4263668122431959E-2</v>
      </c>
      <c r="AZ90" s="199">
        <v>1076.0448307095785</v>
      </c>
      <c r="BA90" s="45">
        <v>36.240123351962843</v>
      </c>
      <c r="BB90" s="45">
        <v>13.300278836987104</v>
      </c>
      <c r="BC90" s="45">
        <v>4.9540402188949946</v>
      </c>
      <c r="BD90" s="45">
        <v>0</v>
      </c>
      <c r="BE90" s="45">
        <v>54.494442407844943</v>
      </c>
      <c r="BF90" s="45">
        <v>0.2226397058704585</v>
      </c>
      <c r="BG90" s="45">
        <v>-17.559653435812891</v>
      </c>
      <c r="BH90" s="199">
        <v>244.76515630842681</v>
      </c>
      <c r="BI90" s="45">
        <v>0.17370658291496299</v>
      </c>
      <c r="BJ90" s="45">
        <v>4.3104951953753655E-2</v>
      </c>
      <c r="BK90" s="45">
        <v>0.35951920449498959</v>
      </c>
      <c r="BL90" s="45">
        <v>-5.0912745426379624</v>
      </c>
      <c r="BM90" s="45">
        <v>-4.5149438032742557</v>
      </c>
      <c r="BN90" s="45">
        <v>36.240123351962843</v>
      </c>
      <c r="BO90" s="45">
        <v>0</v>
      </c>
      <c r="BP90" s="45">
        <v>13.300278836987104</v>
      </c>
      <c r="BQ90" s="45">
        <v>0</v>
      </c>
      <c r="BR90" s="45">
        <v>0</v>
      </c>
      <c r="BS90" s="45">
        <v>0</v>
      </c>
      <c r="BT90" s="45">
        <v>0</v>
      </c>
      <c r="BU90" s="45">
        <v>0</v>
      </c>
      <c r="BV90" s="45">
        <v>0</v>
      </c>
      <c r="BW90" s="45">
        <v>4.9540402188949946</v>
      </c>
      <c r="BX90" s="45">
        <v>0.83946233089334055</v>
      </c>
      <c r="BY90" s="45">
        <v>0.13752263089144878</v>
      </c>
      <c r="BZ90" s="45">
        <v>0</v>
      </c>
      <c r="CA90" s="45">
        <v>-5.6132962216598692</v>
      </c>
      <c r="CB90" s="45">
        <v>54.494442407844943</v>
      </c>
      <c r="CC90" s="45">
        <v>-4.6363112598750797</v>
      </c>
      <c r="CD90" s="199">
        <v>61.523709146656621</v>
      </c>
      <c r="CE90" s="45">
        <v>-22.291408773955858</v>
      </c>
      <c r="CF90" s="45">
        <v>0.71782067906508984</v>
      </c>
      <c r="CG90" s="45">
        <v>0</v>
      </c>
      <c r="CH90" s="45">
        <v>0.71782067906508984</v>
      </c>
      <c r="CI90" s="45">
        <v>3.5890867839419166E-2</v>
      </c>
      <c r="CJ90" s="45">
        <v>0</v>
      </c>
      <c r="CK90" s="45">
        <v>3.5890867839419166E-2</v>
      </c>
      <c r="CL90" s="45"/>
      <c r="CM90" s="45">
        <v>0</v>
      </c>
      <c r="CN90" s="45"/>
      <c r="CO90" s="45">
        <v>0</v>
      </c>
      <c r="CP90" s="45">
        <v>0</v>
      </c>
      <c r="CQ90" s="45">
        <v>0</v>
      </c>
      <c r="CR90" s="45">
        <v>0</v>
      </c>
      <c r="CS90" s="45">
        <v>0</v>
      </c>
      <c r="CT90" s="45">
        <v>0</v>
      </c>
      <c r="CU90" s="45">
        <v>0.36918353994409636</v>
      </c>
      <c r="CV90" s="45">
        <v>9999</v>
      </c>
      <c r="CW90" s="200">
        <v>0</v>
      </c>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row>
    <row r="91" spans="1:131">
      <c r="A91" s="24" t="s">
        <v>416</v>
      </c>
      <c r="B91" s="24"/>
      <c r="C91" s="45">
        <v>16.744186046511629</v>
      </c>
      <c r="D91" s="45">
        <v>66.935750455655011</v>
      </c>
      <c r="E91" s="45">
        <v>0</v>
      </c>
      <c r="F91" s="45">
        <v>0.75267609869364605</v>
      </c>
      <c r="G91" s="45">
        <v>0</v>
      </c>
      <c r="H91" s="45">
        <v>-5.9700810224120291</v>
      </c>
      <c r="I91" s="45"/>
      <c r="J91" s="45"/>
      <c r="K91" s="45"/>
      <c r="L91" s="45">
        <v>75.7337104936271</v>
      </c>
      <c r="M91" s="45">
        <v>1.770222123302621E-2</v>
      </c>
      <c r="N91" s="45">
        <v>1.679527631216908E-2</v>
      </c>
      <c r="O91" s="45">
        <v>0</v>
      </c>
      <c r="P91" s="45">
        <v>0</v>
      </c>
      <c r="Q91" s="45">
        <v>0</v>
      </c>
      <c r="R91" s="45">
        <v>0.15009366870481242</v>
      </c>
      <c r="S91" s="45">
        <v>3.7161818492001578E-2</v>
      </c>
      <c r="T91" s="45">
        <v>0.31003170438455352</v>
      </c>
      <c r="U91" s="45">
        <v>0.42160627071111745</v>
      </c>
      <c r="V91" s="45">
        <v>4.516056592161876E-2</v>
      </c>
      <c r="W91" s="45">
        <v>1.1290141480404688E-2</v>
      </c>
      <c r="X91" s="45">
        <v>9.4084512336705756E-2</v>
      </c>
      <c r="Y91" s="45">
        <v>0</v>
      </c>
      <c r="Z91" s="45">
        <v>0</v>
      </c>
      <c r="AA91" s="45">
        <v>0</v>
      </c>
      <c r="AB91" s="45">
        <v>0</v>
      </c>
      <c r="AC91" s="45">
        <v>0</v>
      </c>
      <c r="AD91" s="45">
        <v>0</v>
      </c>
      <c r="AE91" s="45">
        <v>0</v>
      </c>
      <c r="AF91" s="45">
        <v>0</v>
      </c>
      <c r="AG91" s="45">
        <v>-5.9700810224120291</v>
      </c>
      <c r="AH91" s="45">
        <v>0.19525423462643118</v>
      </c>
      <c r="AI91" s="45">
        <v>4.8451959972406269E-2</v>
      </c>
      <c r="AJ91" s="45">
        <v>0.4041162167212593</v>
      </c>
      <c r="AK91" s="45">
        <v>-5.5484747517009119</v>
      </c>
      <c r="AL91" s="45">
        <v>-4.9006523403808151</v>
      </c>
      <c r="AM91" s="45">
        <v>36.323572215459947</v>
      </c>
      <c r="AN91" s="45">
        <v>6.2550530532787034</v>
      </c>
      <c r="AO91" s="45">
        <v>4.2578625268738657</v>
      </c>
      <c r="AP91" s="45">
        <v>0</v>
      </c>
      <c r="AQ91" s="45">
        <v>46.836487795612513</v>
      </c>
      <c r="AR91" s="45">
        <v>0.19525423462643118</v>
      </c>
      <c r="AS91" s="199">
        <v>239.87437652874519</v>
      </c>
      <c r="AT91" s="45">
        <v>36.323572215459947</v>
      </c>
      <c r="AU91" s="45">
        <v>7.0758518702247777</v>
      </c>
      <c r="AV91" s="45">
        <v>4.339942408568473</v>
      </c>
      <c r="AW91" s="45">
        <v>0</v>
      </c>
      <c r="AX91" s="45">
        <v>47.739366494253204</v>
      </c>
      <c r="AY91" s="45">
        <v>4.8451959972406269E-2</v>
      </c>
      <c r="AZ91" s="199">
        <v>985.29278323190863</v>
      </c>
      <c r="BA91" s="45">
        <v>36.323572215459947</v>
      </c>
      <c r="BB91" s="45">
        <v>13.330904923503482</v>
      </c>
      <c r="BC91" s="45">
        <v>4.9654477138963431</v>
      </c>
      <c r="BD91" s="45">
        <v>0</v>
      </c>
      <c r="BE91" s="45">
        <v>54.619924852859775</v>
      </c>
      <c r="BF91" s="45">
        <v>0.24370619459883747</v>
      </c>
      <c r="BG91" s="45">
        <v>-17.539683645065441</v>
      </c>
      <c r="BH91" s="199">
        <v>224.12202095547522</v>
      </c>
      <c r="BI91" s="45">
        <v>0.18970611962949516</v>
      </c>
      <c r="BJ91" s="45">
        <v>4.7075205986669859E-2</v>
      </c>
      <c r="BK91" s="45">
        <v>0.39263332495818987</v>
      </c>
      <c r="BL91" s="45">
        <v>-5.3908158100706354</v>
      </c>
      <c r="BM91" s="45">
        <v>-4.7614011594962804</v>
      </c>
      <c r="BN91" s="45">
        <v>36.323572215459947</v>
      </c>
      <c r="BO91" s="45">
        <v>0</v>
      </c>
      <c r="BP91" s="45">
        <v>13.330904923503482</v>
      </c>
      <c r="BQ91" s="45">
        <v>0</v>
      </c>
      <c r="BR91" s="45">
        <v>0</v>
      </c>
      <c r="BS91" s="45">
        <v>0</v>
      </c>
      <c r="BT91" s="45">
        <v>0</v>
      </c>
      <c r="BU91" s="45">
        <v>0</v>
      </c>
      <c r="BV91" s="45">
        <v>0</v>
      </c>
      <c r="BW91" s="45">
        <v>4.9654477138963431</v>
      </c>
      <c r="BX91" s="45">
        <v>0.91889346229248492</v>
      </c>
      <c r="BY91" s="45">
        <v>0.15053521973872921</v>
      </c>
      <c r="BZ91" s="45">
        <v>0</v>
      </c>
      <c r="CA91" s="45">
        <v>-5.9700810224120291</v>
      </c>
      <c r="CB91" s="45">
        <v>54.619924852859768</v>
      </c>
      <c r="CC91" s="45">
        <v>-4.9006523403808151</v>
      </c>
      <c r="CD91" s="199">
        <v>56.656424961588336</v>
      </c>
      <c r="CE91" s="45">
        <v>-22.537866130177878</v>
      </c>
      <c r="CF91" s="45">
        <v>0.71947357961625447</v>
      </c>
      <c r="CG91" s="45">
        <v>0</v>
      </c>
      <c r="CH91" s="45">
        <v>0.71947357961625447</v>
      </c>
      <c r="CI91" s="45">
        <v>3.5973512484472864E-2</v>
      </c>
      <c r="CJ91" s="45">
        <v>0</v>
      </c>
      <c r="CK91" s="45">
        <v>3.5973512484472864E-2</v>
      </c>
      <c r="CL91" s="45"/>
      <c r="CM91" s="45">
        <v>0</v>
      </c>
      <c r="CN91" s="45"/>
      <c r="CO91" s="45">
        <v>0</v>
      </c>
      <c r="CP91" s="45">
        <v>0</v>
      </c>
      <c r="CQ91" s="45">
        <v>0</v>
      </c>
      <c r="CR91" s="45">
        <v>0</v>
      </c>
      <c r="CS91" s="45">
        <v>0</v>
      </c>
      <c r="CT91" s="45">
        <v>0</v>
      </c>
      <c r="CU91" s="45">
        <v>0.4041162167212593</v>
      </c>
      <c r="CV91" s="45">
        <v>9999</v>
      </c>
      <c r="CW91" s="200">
        <v>0</v>
      </c>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row>
    <row r="92" spans="1:131">
      <c r="A92" s="24" t="s">
        <v>417</v>
      </c>
      <c r="B92" s="24"/>
      <c r="C92" s="45">
        <v>6.6762790697674417</v>
      </c>
      <c r="D92" s="45">
        <v>1.7156302515732005</v>
      </c>
      <c r="E92" s="45">
        <v>0</v>
      </c>
      <c r="F92" s="45">
        <v>2.9394812076628273E-2</v>
      </c>
      <c r="G92" s="45">
        <v>0</v>
      </c>
      <c r="H92" s="45">
        <v>-2.9488192070380408</v>
      </c>
      <c r="I92" s="45"/>
      <c r="J92" s="45"/>
      <c r="K92" s="45"/>
      <c r="L92" s="45">
        <v>1.9411307694657556</v>
      </c>
      <c r="M92" s="45">
        <v>4.5372564079253387E-4</v>
      </c>
      <c r="N92" s="45">
        <v>4.3047973509728068E-4</v>
      </c>
      <c r="O92" s="45">
        <v>0</v>
      </c>
      <c r="P92" s="45">
        <v>0</v>
      </c>
      <c r="Q92" s="45">
        <v>0</v>
      </c>
      <c r="R92" s="45">
        <v>5.8617181987406551E-3</v>
      </c>
      <c r="S92" s="45">
        <v>1.4513077708911942E-3</v>
      </c>
      <c r="T92" s="45">
        <v>1.2107895685804183E-2</v>
      </c>
      <c r="U92" s="45">
        <v>5.8756036981223461E-2</v>
      </c>
      <c r="V92" s="45">
        <v>1.7636887245976963E-3</v>
      </c>
      <c r="W92" s="45">
        <v>4.4092218114942402E-4</v>
      </c>
      <c r="X92" s="45">
        <v>3.6743515095785341E-3</v>
      </c>
      <c r="Y92" s="45">
        <v>0</v>
      </c>
      <c r="Z92" s="45">
        <v>0</v>
      </c>
      <c r="AA92" s="45">
        <v>0</v>
      </c>
      <c r="AB92" s="45">
        <v>0</v>
      </c>
      <c r="AC92" s="45">
        <v>0</v>
      </c>
      <c r="AD92" s="45">
        <v>0</v>
      </c>
      <c r="AE92" s="45">
        <v>0</v>
      </c>
      <c r="AF92" s="45">
        <v>0</v>
      </c>
      <c r="AG92" s="45">
        <v>-2.9488192070380408</v>
      </c>
      <c r="AH92" s="45">
        <v>7.6254069233383515E-3</v>
      </c>
      <c r="AI92" s="45">
        <v>1.8922299520406183E-3</v>
      </c>
      <c r="AJ92" s="45">
        <v>1.5782247195382716E-2</v>
      </c>
      <c r="AK92" s="45">
        <v>-2.8900631700568171</v>
      </c>
      <c r="AL92" s="45">
        <v>-2.8647632859860557</v>
      </c>
      <c r="AM92" s="45">
        <v>0.93100949662665811</v>
      </c>
      <c r="AN92" s="45">
        <v>0.16032326776570299</v>
      </c>
      <c r="AO92" s="45">
        <v>0.10913327643923612</v>
      </c>
      <c r="AP92" s="45">
        <v>0</v>
      </c>
      <c r="AQ92" s="45">
        <v>1.2004660408315972</v>
      </c>
      <c r="AR92" s="45">
        <v>7.6254069233383515E-3</v>
      </c>
      <c r="AS92" s="199">
        <v>157.4297677357317</v>
      </c>
      <c r="AT92" s="45">
        <v>0.93100949662665811</v>
      </c>
      <c r="AU92" s="45">
        <v>0.18136116263088578</v>
      </c>
      <c r="AV92" s="45">
        <v>0.1112370659257544</v>
      </c>
      <c r="AW92" s="45">
        <v>0</v>
      </c>
      <c r="AX92" s="45">
        <v>1.2236077251832984</v>
      </c>
      <c r="AY92" s="45">
        <v>1.8922299520406183E-3</v>
      </c>
      <c r="AZ92" s="199">
        <v>646.64853437275713</v>
      </c>
      <c r="BA92" s="45">
        <v>0.93100949662665811</v>
      </c>
      <c r="BB92" s="45">
        <v>0.3416844303965888</v>
      </c>
      <c r="BC92" s="45">
        <v>0.12726939270232471</v>
      </c>
      <c r="BD92" s="45">
        <v>0</v>
      </c>
      <c r="BE92" s="45">
        <v>1.3999633197255716</v>
      </c>
      <c r="BF92" s="45">
        <v>9.5176368753789702E-3</v>
      </c>
      <c r="BG92" s="45">
        <v>-17.415683311197927</v>
      </c>
      <c r="BH92" s="199">
        <v>147.09148269221276</v>
      </c>
      <c r="BI92" s="45">
        <v>0.28905357496430067</v>
      </c>
      <c r="BJ92" s="45">
        <v>7.1728084519378579E-2</v>
      </c>
      <c r="BK92" s="45">
        <v>0.59825200394663081</v>
      </c>
      <c r="BL92" s="45">
        <v>-109.55259169458952</v>
      </c>
      <c r="BM92" s="45">
        <v>-108.59355803115922</v>
      </c>
      <c r="BN92" s="45">
        <v>0.93100949662665811</v>
      </c>
      <c r="BO92" s="45">
        <v>0</v>
      </c>
      <c r="BP92" s="45">
        <v>0.3416844303965888</v>
      </c>
      <c r="BQ92" s="45">
        <v>0</v>
      </c>
      <c r="BR92" s="45">
        <v>0</v>
      </c>
      <c r="BS92" s="45">
        <v>0</v>
      </c>
      <c r="BT92" s="45">
        <v>0</v>
      </c>
      <c r="BU92" s="45">
        <v>0</v>
      </c>
      <c r="BV92" s="45">
        <v>0</v>
      </c>
      <c r="BW92" s="45">
        <v>0.12726939270232471</v>
      </c>
      <c r="BX92" s="45">
        <v>7.8176958636659494E-2</v>
      </c>
      <c r="BY92" s="45">
        <v>5.8789624153256547E-3</v>
      </c>
      <c r="BZ92" s="45">
        <v>0</v>
      </c>
      <c r="CA92" s="45">
        <v>-2.9488192070380408</v>
      </c>
      <c r="CB92" s="45">
        <v>1.3999633197255716</v>
      </c>
      <c r="CC92" s="45">
        <v>-2.8647632859860557</v>
      </c>
      <c r="CD92" s="199">
        <v>51.736777996568122</v>
      </c>
      <c r="CE92" s="45">
        <v>-126.37002300184083</v>
      </c>
      <c r="CF92" s="45">
        <v>1.844082765927995E-2</v>
      </c>
      <c r="CG92" s="45">
        <v>0</v>
      </c>
      <c r="CH92" s="45">
        <v>1.844082765927995E-2</v>
      </c>
      <c r="CI92" s="45">
        <v>9.2203711549623379E-4</v>
      </c>
      <c r="CJ92" s="45">
        <v>0</v>
      </c>
      <c r="CK92" s="45">
        <v>9.2203711549623379E-4</v>
      </c>
      <c r="CL92" s="45"/>
      <c r="CM92" s="45">
        <v>0</v>
      </c>
      <c r="CN92" s="45"/>
      <c r="CO92" s="45">
        <v>0</v>
      </c>
      <c r="CP92" s="45">
        <v>0</v>
      </c>
      <c r="CQ92" s="45">
        <v>0</v>
      </c>
      <c r="CR92" s="45">
        <v>0</v>
      </c>
      <c r="CS92" s="45">
        <v>0</v>
      </c>
      <c r="CT92" s="45">
        <v>0</v>
      </c>
      <c r="CU92" s="45">
        <v>1.5782247195382716E-2</v>
      </c>
      <c r="CV92" s="45">
        <v>9999</v>
      </c>
      <c r="CW92" s="200">
        <v>0</v>
      </c>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row>
    <row r="93" spans="1:131">
      <c r="A93" s="24" t="s">
        <v>418</v>
      </c>
      <c r="B93" s="24"/>
      <c r="C93" s="45">
        <v>6.6762790697674417</v>
      </c>
      <c r="D93" s="45">
        <v>1.7156302515732005</v>
      </c>
      <c r="E93" s="45">
        <v>0</v>
      </c>
      <c r="F93" s="45">
        <v>2.9394812076628273E-2</v>
      </c>
      <c r="G93" s="45">
        <v>0</v>
      </c>
      <c r="H93" s="45">
        <v>-2.9488192070380408</v>
      </c>
      <c r="I93" s="45"/>
      <c r="J93" s="45"/>
      <c r="K93" s="45"/>
      <c r="L93" s="45">
        <v>1.9411307694657556</v>
      </c>
      <c r="M93" s="45">
        <v>4.5372564079253387E-4</v>
      </c>
      <c r="N93" s="45">
        <v>4.3047973509728068E-4</v>
      </c>
      <c r="O93" s="45">
        <v>0</v>
      </c>
      <c r="P93" s="45">
        <v>0</v>
      </c>
      <c r="Q93" s="45">
        <v>0</v>
      </c>
      <c r="R93" s="45">
        <v>5.8617181987406551E-3</v>
      </c>
      <c r="S93" s="45">
        <v>1.4513077708911942E-3</v>
      </c>
      <c r="T93" s="45">
        <v>1.2107895685804183E-2</v>
      </c>
      <c r="U93" s="45">
        <v>5.8756036981223461E-2</v>
      </c>
      <c r="V93" s="45">
        <v>1.7636887245976963E-3</v>
      </c>
      <c r="W93" s="45">
        <v>4.4092218114942402E-4</v>
      </c>
      <c r="X93" s="45">
        <v>3.6743515095785341E-3</v>
      </c>
      <c r="Y93" s="45">
        <v>0</v>
      </c>
      <c r="Z93" s="45">
        <v>0</v>
      </c>
      <c r="AA93" s="45">
        <v>0</v>
      </c>
      <c r="AB93" s="45">
        <v>0</v>
      </c>
      <c r="AC93" s="45">
        <v>0</v>
      </c>
      <c r="AD93" s="45">
        <v>0</v>
      </c>
      <c r="AE93" s="45">
        <v>0</v>
      </c>
      <c r="AF93" s="45">
        <v>0</v>
      </c>
      <c r="AG93" s="45">
        <v>-2.9488192070380408</v>
      </c>
      <c r="AH93" s="45">
        <v>7.6254069233383515E-3</v>
      </c>
      <c r="AI93" s="45">
        <v>1.8922299520406183E-3</v>
      </c>
      <c r="AJ93" s="45">
        <v>1.5782247195382716E-2</v>
      </c>
      <c r="AK93" s="45">
        <v>-2.8900631700568171</v>
      </c>
      <c r="AL93" s="45">
        <v>-2.8647632859860557</v>
      </c>
      <c r="AM93" s="45">
        <v>0.93100949662665811</v>
      </c>
      <c r="AN93" s="45">
        <v>0.16032326776570299</v>
      </c>
      <c r="AO93" s="45">
        <v>0.10913327643923612</v>
      </c>
      <c r="AP93" s="45">
        <v>0</v>
      </c>
      <c r="AQ93" s="45">
        <v>1.2004660408315972</v>
      </c>
      <c r="AR93" s="45">
        <v>7.6254069233383515E-3</v>
      </c>
      <c r="AS93" s="199">
        <v>157.4297677357317</v>
      </c>
      <c r="AT93" s="45">
        <v>0.93100949662665811</v>
      </c>
      <c r="AU93" s="45">
        <v>0.18136116263088578</v>
      </c>
      <c r="AV93" s="45">
        <v>0.1112370659257544</v>
      </c>
      <c r="AW93" s="45">
        <v>0</v>
      </c>
      <c r="AX93" s="45">
        <v>1.2236077251832984</v>
      </c>
      <c r="AY93" s="45">
        <v>1.8922299520406183E-3</v>
      </c>
      <c r="AZ93" s="199">
        <v>646.64853437275713</v>
      </c>
      <c r="BA93" s="45">
        <v>0.93100949662665811</v>
      </c>
      <c r="BB93" s="45">
        <v>0.3416844303965888</v>
      </c>
      <c r="BC93" s="45">
        <v>0.12726939270232471</v>
      </c>
      <c r="BD93" s="45">
        <v>0</v>
      </c>
      <c r="BE93" s="45">
        <v>1.3999633197255716</v>
      </c>
      <c r="BF93" s="45">
        <v>9.5176368753789702E-3</v>
      </c>
      <c r="BG93" s="45">
        <v>-17.415683311197927</v>
      </c>
      <c r="BH93" s="199">
        <v>147.09148269221276</v>
      </c>
      <c r="BI93" s="45">
        <v>0.28905357496430067</v>
      </c>
      <c r="BJ93" s="45">
        <v>7.1728084519378579E-2</v>
      </c>
      <c r="BK93" s="45">
        <v>0.59825200394663081</v>
      </c>
      <c r="BL93" s="45">
        <v>-109.55259169458952</v>
      </c>
      <c r="BM93" s="45">
        <v>-108.59355803115922</v>
      </c>
      <c r="BN93" s="45">
        <v>0.93100949662665811</v>
      </c>
      <c r="BO93" s="45">
        <v>0</v>
      </c>
      <c r="BP93" s="45">
        <v>0.3416844303965888</v>
      </c>
      <c r="BQ93" s="45">
        <v>0</v>
      </c>
      <c r="BR93" s="45">
        <v>0</v>
      </c>
      <c r="BS93" s="45">
        <v>0</v>
      </c>
      <c r="BT93" s="45">
        <v>0</v>
      </c>
      <c r="BU93" s="45">
        <v>0</v>
      </c>
      <c r="BV93" s="45">
        <v>0</v>
      </c>
      <c r="BW93" s="45">
        <v>0.12726939270232471</v>
      </c>
      <c r="BX93" s="45">
        <v>7.8176958636659494E-2</v>
      </c>
      <c r="BY93" s="45">
        <v>5.8789624153256547E-3</v>
      </c>
      <c r="BZ93" s="45">
        <v>0</v>
      </c>
      <c r="CA93" s="45">
        <v>-2.9488192070380408</v>
      </c>
      <c r="CB93" s="45">
        <v>1.3999633197255716</v>
      </c>
      <c r="CC93" s="45">
        <v>-2.8647632859860557</v>
      </c>
      <c r="CD93" s="199">
        <v>51.736777996568122</v>
      </c>
      <c r="CE93" s="45">
        <v>-126.37002300184083</v>
      </c>
      <c r="CF93" s="45">
        <v>1.844082765927995E-2</v>
      </c>
      <c r="CG93" s="45">
        <v>0</v>
      </c>
      <c r="CH93" s="45">
        <v>1.844082765927995E-2</v>
      </c>
      <c r="CI93" s="45">
        <v>9.2203711549623379E-4</v>
      </c>
      <c r="CJ93" s="45">
        <v>0</v>
      </c>
      <c r="CK93" s="45">
        <v>9.2203711549623379E-4</v>
      </c>
      <c r="CL93" s="45"/>
      <c r="CM93" s="45">
        <v>0</v>
      </c>
      <c r="CN93" s="45"/>
      <c r="CO93" s="45">
        <v>0</v>
      </c>
      <c r="CP93" s="45">
        <v>0</v>
      </c>
      <c r="CQ93" s="45">
        <v>0</v>
      </c>
      <c r="CR93" s="45">
        <v>0</v>
      </c>
      <c r="CS93" s="45">
        <v>0</v>
      </c>
      <c r="CT93" s="45">
        <v>0</v>
      </c>
      <c r="CU93" s="45">
        <v>1.5782247195382716E-2</v>
      </c>
      <c r="CV93" s="45">
        <v>9999</v>
      </c>
      <c r="CW93" s="200">
        <v>0</v>
      </c>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row>
    <row r="94" spans="1:131">
      <c r="A94" s="24" t="s">
        <v>419</v>
      </c>
      <c r="B94" s="24"/>
      <c r="C94" s="45">
        <v>16.744186046511629</v>
      </c>
      <c r="D94" s="45">
        <v>28.880984703126135</v>
      </c>
      <c r="E94" s="45">
        <v>0</v>
      </c>
      <c r="F94" s="45">
        <v>0.93212841418794667</v>
      </c>
      <c r="G94" s="45">
        <v>0</v>
      </c>
      <c r="H94" s="45">
        <v>-1.9132235365066426</v>
      </c>
      <c r="I94" s="45"/>
      <c r="J94" s="45"/>
      <c r="K94" s="45"/>
      <c r="L94" s="45">
        <v>32.677068971184418</v>
      </c>
      <c r="M94" s="45">
        <v>7.6380346401149751E-3</v>
      </c>
      <c r="N94" s="45">
        <v>7.2467121822722717E-3</v>
      </c>
      <c r="O94" s="45">
        <v>0</v>
      </c>
      <c r="P94" s="45">
        <v>0</v>
      </c>
      <c r="Q94" s="45">
        <v>0</v>
      </c>
      <c r="R94" s="45">
        <v>0.1858788576285223</v>
      </c>
      <c r="S94" s="45">
        <v>4.6021903710521221E-2</v>
      </c>
      <c r="T94" s="45">
        <v>0.38394916678971691</v>
      </c>
      <c r="U94" s="45">
        <v>0.52212523449559312</v>
      </c>
      <c r="V94" s="45">
        <v>5.5927704851276801E-2</v>
      </c>
      <c r="W94" s="45">
        <v>1.3981926212819198E-2</v>
      </c>
      <c r="X94" s="45">
        <v>0.11651605177349333</v>
      </c>
      <c r="Y94" s="45">
        <v>0</v>
      </c>
      <c r="Z94" s="45">
        <v>0</v>
      </c>
      <c r="AA94" s="45">
        <v>0</v>
      </c>
      <c r="AB94" s="45">
        <v>0</v>
      </c>
      <c r="AC94" s="45">
        <v>0</v>
      </c>
      <c r="AD94" s="45">
        <v>0</v>
      </c>
      <c r="AE94" s="45">
        <v>0</v>
      </c>
      <c r="AF94" s="45">
        <v>0</v>
      </c>
      <c r="AG94" s="45">
        <v>-1.9132235365066426</v>
      </c>
      <c r="AH94" s="45">
        <v>0.24180656247979909</v>
      </c>
      <c r="AI94" s="45">
        <v>6.000382992334042E-2</v>
      </c>
      <c r="AJ94" s="45">
        <v>0.50046521856321025</v>
      </c>
      <c r="AK94" s="45">
        <v>-1.3910983020110494</v>
      </c>
      <c r="AL94" s="45">
        <v>-0.58882269104469975</v>
      </c>
      <c r="AM94" s="45">
        <v>15.672649165450091</v>
      </c>
      <c r="AN94" s="45">
        <v>2.6988879682265878</v>
      </c>
      <c r="AO94" s="45">
        <v>1.8371537133676679</v>
      </c>
      <c r="AP94" s="45">
        <v>0</v>
      </c>
      <c r="AQ94" s="45">
        <v>20.208690847044345</v>
      </c>
      <c r="AR94" s="45">
        <v>0.24180656247979909</v>
      </c>
      <c r="AS94" s="199">
        <v>83.573789891383157</v>
      </c>
      <c r="AT94" s="45">
        <v>15.672649165450091</v>
      </c>
      <c r="AU94" s="45">
        <v>3.0530406880391272</v>
      </c>
      <c r="AV94" s="45">
        <v>1.8725689853489218</v>
      </c>
      <c r="AW94" s="45">
        <v>0</v>
      </c>
      <c r="AX94" s="45">
        <v>20.598258838838142</v>
      </c>
      <c r="AY94" s="45">
        <v>6.000382992334042E-2</v>
      </c>
      <c r="AZ94" s="199">
        <v>343.28240155926756</v>
      </c>
      <c r="BA94" s="45">
        <v>15.672649165450091</v>
      </c>
      <c r="BB94" s="45">
        <v>5.751928656265715</v>
      </c>
      <c r="BC94" s="45">
        <v>2.1424577821715807</v>
      </c>
      <c r="BD94" s="45">
        <v>0</v>
      </c>
      <c r="BE94" s="45">
        <v>23.567035603887387</v>
      </c>
      <c r="BF94" s="45">
        <v>0.30181039240313956</v>
      </c>
      <c r="BG94" s="45">
        <v>-17.096852703131635</v>
      </c>
      <c r="BH94" s="199">
        <v>78.085566955587154</v>
      </c>
      <c r="BI94" s="45">
        <v>0.54449651294926582</v>
      </c>
      <c r="BJ94" s="45">
        <v>0.13511575460070124</v>
      </c>
      <c r="BK94" s="45">
        <v>1.1269403260419177</v>
      </c>
      <c r="BL94" s="45">
        <v>-3.1324549956246104</v>
      </c>
      <c r="BM94" s="45">
        <v>-1.3259024020327255</v>
      </c>
      <c r="BN94" s="45">
        <v>15.672649165450091</v>
      </c>
      <c r="BO94" s="45">
        <v>0</v>
      </c>
      <c r="BP94" s="45">
        <v>5.751928656265715</v>
      </c>
      <c r="BQ94" s="45">
        <v>0</v>
      </c>
      <c r="BR94" s="45">
        <v>0</v>
      </c>
      <c r="BS94" s="45">
        <v>0</v>
      </c>
      <c r="BT94" s="45">
        <v>0</v>
      </c>
      <c r="BU94" s="45">
        <v>0</v>
      </c>
      <c r="BV94" s="45">
        <v>0</v>
      </c>
      <c r="BW94" s="45">
        <v>2.1424577821715807</v>
      </c>
      <c r="BX94" s="45">
        <v>1.1379751626243535</v>
      </c>
      <c r="BY94" s="45">
        <v>0.18642568283758934</v>
      </c>
      <c r="BZ94" s="45">
        <v>0</v>
      </c>
      <c r="CA94" s="45">
        <v>-1.9132235365066426</v>
      </c>
      <c r="CB94" s="45">
        <v>23.567035603887383</v>
      </c>
      <c r="CC94" s="45">
        <v>-0.58882269104469975</v>
      </c>
      <c r="CD94" s="199">
        <v>19.239084018786379</v>
      </c>
      <c r="CE94" s="45">
        <v>-19.102367372714323</v>
      </c>
      <c r="CF94" s="45">
        <v>0.310433592000535</v>
      </c>
      <c r="CG94" s="45">
        <v>0</v>
      </c>
      <c r="CH94" s="45">
        <v>0.310433592000535</v>
      </c>
      <c r="CI94" s="45">
        <v>1.5521607761312598E-2</v>
      </c>
      <c r="CJ94" s="45">
        <v>0</v>
      </c>
      <c r="CK94" s="45">
        <v>1.5521607761312598E-2</v>
      </c>
      <c r="CL94" s="45"/>
      <c r="CM94" s="45">
        <v>0</v>
      </c>
      <c r="CN94" s="45"/>
      <c r="CO94" s="45">
        <v>0</v>
      </c>
      <c r="CP94" s="45">
        <v>0</v>
      </c>
      <c r="CQ94" s="45">
        <v>0</v>
      </c>
      <c r="CR94" s="45">
        <v>0</v>
      </c>
      <c r="CS94" s="45">
        <v>0</v>
      </c>
      <c r="CT94" s="45">
        <v>0</v>
      </c>
      <c r="CU94" s="45">
        <v>0.50046521856321025</v>
      </c>
      <c r="CV94" s="45">
        <v>9999</v>
      </c>
      <c r="CW94" s="200">
        <v>0</v>
      </c>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row>
    <row r="95" spans="1:131">
      <c r="A95" s="24" t="s">
        <v>421</v>
      </c>
      <c r="B95" s="24"/>
      <c r="C95" s="45">
        <v>6.6762790697674417</v>
      </c>
      <c r="D95" s="45">
        <v>2.3112289292682102</v>
      </c>
      <c r="E95" s="45">
        <v>0</v>
      </c>
      <c r="F95" s="45">
        <v>0.13553311531055059</v>
      </c>
      <c r="G95" s="45">
        <v>0</v>
      </c>
      <c r="H95" s="45">
        <v>-1.3137623929241096</v>
      </c>
      <c r="I95" s="45"/>
      <c r="J95" s="45"/>
      <c r="K95" s="45"/>
      <c r="L95" s="45">
        <v>2.6150142699850236</v>
      </c>
      <c r="M95" s="45">
        <v>6.1124116107701858E-4</v>
      </c>
      <c r="N95" s="45">
        <v>5.7992520026282598E-4</v>
      </c>
      <c r="O95" s="45">
        <v>0</v>
      </c>
      <c r="P95" s="45">
        <v>0</v>
      </c>
      <c r="Q95" s="45">
        <v>0</v>
      </c>
      <c r="R95" s="45">
        <v>2.7027113712339075E-2</v>
      </c>
      <c r="S95" s="45">
        <v>6.6916659630455733E-3</v>
      </c>
      <c r="T95" s="45">
        <v>5.5826885978188891E-2</v>
      </c>
      <c r="U95" s="45">
        <v>0.27091136744156291</v>
      </c>
      <c r="V95" s="45">
        <v>8.131986918633035E-3</v>
      </c>
      <c r="W95" s="45">
        <v>2.0329967296582587E-3</v>
      </c>
      <c r="X95" s="45">
        <v>1.6941639413818824E-2</v>
      </c>
      <c r="Y95" s="45">
        <v>0</v>
      </c>
      <c r="Z95" s="45">
        <v>0</v>
      </c>
      <c r="AA95" s="45">
        <v>0</v>
      </c>
      <c r="AB95" s="45">
        <v>0</v>
      </c>
      <c r="AC95" s="45">
        <v>0</v>
      </c>
      <c r="AD95" s="45">
        <v>0</v>
      </c>
      <c r="AE95" s="45">
        <v>0</v>
      </c>
      <c r="AF95" s="45">
        <v>0</v>
      </c>
      <c r="AG95" s="45">
        <v>-1.3137623929241096</v>
      </c>
      <c r="AH95" s="45">
        <v>3.5159100630972107E-2</v>
      </c>
      <c r="AI95" s="45">
        <v>8.7246626927038329E-3</v>
      </c>
      <c r="AJ95" s="45">
        <v>7.2768525392007719E-2</v>
      </c>
      <c r="AK95" s="45">
        <v>-1.0428510254825467</v>
      </c>
      <c r="AL95" s="45">
        <v>-0.92619873676686304</v>
      </c>
      <c r="AM95" s="45">
        <v>1.2542190137145386</v>
      </c>
      <c r="AN95" s="45">
        <v>0.21598113821735468</v>
      </c>
      <c r="AO95" s="45">
        <v>0.14702001519318933</v>
      </c>
      <c r="AP95" s="45">
        <v>0</v>
      </c>
      <c r="AQ95" s="45">
        <v>1.6172201671250825</v>
      </c>
      <c r="AR95" s="45">
        <v>3.5159100630972107E-2</v>
      </c>
      <c r="AS95" s="199">
        <v>45.997199533040742</v>
      </c>
      <c r="AT95" s="45">
        <v>1.2542190137145386</v>
      </c>
      <c r="AU95" s="45">
        <v>0.2443225545445189</v>
      </c>
      <c r="AV95" s="45">
        <v>0.14985415682590575</v>
      </c>
      <c r="AW95" s="45">
        <v>0</v>
      </c>
      <c r="AX95" s="45">
        <v>1.6483957250849632</v>
      </c>
      <c r="AY95" s="45">
        <v>8.7246626927038329E-3</v>
      </c>
      <c r="AZ95" s="199">
        <v>188.93518100859828</v>
      </c>
      <c r="BA95" s="45">
        <v>1.2542190137145386</v>
      </c>
      <c r="BB95" s="45">
        <v>0.46030369276187355</v>
      </c>
      <c r="BC95" s="45">
        <v>0.17145227064764124</v>
      </c>
      <c r="BD95" s="45">
        <v>0</v>
      </c>
      <c r="BE95" s="45">
        <v>1.8859749771240533</v>
      </c>
      <c r="BF95" s="45">
        <v>4.3883763323675939E-2</v>
      </c>
      <c r="BG95" s="45">
        <v>-16.541655603319388</v>
      </c>
      <c r="BH95" s="199">
        <v>42.976600780875643</v>
      </c>
      <c r="BI95" s="45">
        <v>0.9893132110602757</v>
      </c>
      <c r="BJ95" s="45">
        <v>0.24549615630193586</v>
      </c>
      <c r="BK95" s="45">
        <v>2.047574091137891</v>
      </c>
      <c r="BL95" s="45">
        <v>-29.343933097332876</v>
      </c>
      <c r="BM95" s="45">
        <v>-26.061549638832773</v>
      </c>
      <c r="BN95" s="45">
        <v>1.2542190137145386</v>
      </c>
      <c r="BO95" s="45">
        <v>0</v>
      </c>
      <c r="BP95" s="45">
        <v>0.46030369276187355</v>
      </c>
      <c r="BQ95" s="45">
        <v>0</v>
      </c>
      <c r="BR95" s="45">
        <v>0</v>
      </c>
      <c r="BS95" s="45">
        <v>0</v>
      </c>
      <c r="BT95" s="45">
        <v>0</v>
      </c>
      <c r="BU95" s="45">
        <v>0</v>
      </c>
      <c r="BV95" s="45">
        <v>0</v>
      </c>
      <c r="BW95" s="45">
        <v>0.17145227064764124</v>
      </c>
      <c r="BX95" s="45">
        <v>0.36045703309513644</v>
      </c>
      <c r="BY95" s="45">
        <v>2.7106623062110119E-2</v>
      </c>
      <c r="BZ95" s="45">
        <v>0</v>
      </c>
      <c r="CA95" s="45">
        <v>-1.3137623929241096</v>
      </c>
      <c r="CB95" s="45">
        <v>1.8859749771240535</v>
      </c>
      <c r="CC95" s="45">
        <v>-0.92619873676686304</v>
      </c>
      <c r="CD95" s="199">
        <v>8.2560305106367622</v>
      </c>
      <c r="CE95" s="45">
        <v>-43.838014609514389</v>
      </c>
      <c r="CF95" s="45">
        <v>2.4842750544119063E-2</v>
      </c>
      <c r="CG95" s="45">
        <v>0</v>
      </c>
      <c r="CH95" s="45">
        <v>2.4842750544119063E-2</v>
      </c>
      <c r="CI95" s="45">
        <v>1.242131778242886E-3</v>
      </c>
      <c r="CJ95" s="45">
        <v>0</v>
      </c>
      <c r="CK95" s="45">
        <v>1.242131778242886E-3</v>
      </c>
      <c r="CL95" s="45"/>
      <c r="CM95" s="45">
        <v>0</v>
      </c>
      <c r="CN95" s="45"/>
      <c r="CO95" s="45">
        <v>0</v>
      </c>
      <c r="CP95" s="45">
        <v>0</v>
      </c>
      <c r="CQ95" s="45">
        <v>0</v>
      </c>
      <c r="CR95" s="45">
        <v>0</v>
      </c>
      <c r="CS95" s="45">
        <v>0</v>
      </c>
      <c r="CT95" s="45">
        <v>0</v>
      </c>
      <c r="CU95" s="45">
        <v>7.2768525392007719E-2</v>
      </c>
      <c r="CV95" s="45">
        <v>9999</v>
      </c>
      <c r="CW95" s="200">
        <v>0</v>
      </c>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row>
    <row r="96" spans="1:131">
      <c r="A96" s="24" t="s">
        <v>422</v>
      </c>
      <c r="B96" s="24"/>
      <c r="C96" s="45">
        <v>6.6762790697674417</v>
      </c>
      <c r="D96" s="45">
        <v>2.3112289292682102</v>
      </c>
      <c r="E96" s="45">
        <v>0</v>
      </c>
      <c r="F96" s="45">
        <v>0.13553311531055059</v>
      </c>
      <c r="G96" s="45">
        <v>0</v>
      </c>
      <c r="H96" s="45">
        <v>-1.3137623929241096</v>
      </c>
      <c r="I96" s="45"/>
      <c r="J96" s="45"/>
      <c r="K96" s="45"/>
      <c r="L96" s="45">
        <v>2.6150142699850236</v>
      </c>
      <c r="M96" s="45">
        <v>6.1124116107701858E-4</v>
      </c>
      <c r="N96" s="45">
        <v>5.7992520026282598E-4</v>
      </c>
      <c r="O96" s="45">
        <v>0</v>
      </c>
      <c r="P96" s="45">
        <v>0</v>
      </c>
      <c r="Q96" s="45">
        <v>0</v>
      </c>
      <c r="R96" s="45">
        <v>2.7027113712339075E-2</v>
      </c>
      <c r="S96" s="45">
        <v>6.6916659630455733E-3</v>
      </c>
      <c r="T96" s="45">
        <v>5.5826885978188891E-2</v>
      </c>
      <c r="U96" s="45">
        <v>0.27091136744156291</v>
      </c>
      <c r="V96" s="45">
        <v>8.131986918633035E-3</v>
      </c>
      <c r="W96" s="45">
        <v>2.0329967296582587E-3</v>
      </c>
      <c r="X96" s="45">
        <v>1.6941639413818824E-2</v>
      </c>
      <c r="Y96" s="45">
        <v>0</v>
      </c>
      <c r="Z96" s="45">
        <v>0</v>
      </c>
      <c r="AA96" s="45">
        <v>0</v>
      </c>
      <c r="AB96" s="45">
        <v>0</v>
      </c>
      <c r="AC96" s="45">
        <v>0</v>
      </c>
      <c r="AD96" s="45">
        <v>0</v>
      </c>
      <c r="AE96" s="45">
        <v>0</v>
      </c>
      <c r="AF96" s="45">
        <v>0</v>
      </c>
      <c r="AG96" s="45">
        <v>-1.3137623929241096</v>
      </c>
      <c r="AH96" s="45">
        <v>3.5159100630972107E-2</v>
      </c>
      <c r="AI96" s="45">
        <v>8.7246626927038329E-3</v>
      </c>
      <c r="AJ96" s="45">
        <v>7.2768525392007719E-2</v>
      </c>
      <c r="AK96" s="45">
        <v>-1.0428510254825467</v>
      </c>
      <c r="AL96" s="45">
        <v>-0.92619873676686304</v>
      </c>
      <c r="AM96" s="45">
        <v>1.2542190137145386</v>
      </c>
      <c r="AN96" s="45">
        <v>0.21598113821735468</v>
      </c>
      <c r="AO96" s="45">
        <v>0.14702001519318933</v>
      </c>
      <c r="AP96" s="45">
        <v>0</v>
      </c>
      <c r="AQ96" s="45">
        <v>1.6172201671250825</v>
      </c>
      <c r="AR96" s="45">
        <v>3.5159100630972107E-2</v>
      </c>
      <c r="AS96" s="199">
        <v>45.997199533040742</v>
      </c>
      <c r="AT96" s="45">
        <v>1.2542190137145386</v>
      </c>
      <c r="AU96" s="45">
        <v>0.2443225545445189</v>
      </c>
      <c r="AV96" s="45">
        <v>0.14985415682590575</v>
      </c>
      <c r="AW96" s="45">
        <v>0</v>
      </c>
      <c r="AX96" s="45">
        <v>1.6483957250849632</v>
      </c>
      <c r="AY96" s="45">
        <v>8.7246626927038329E-3</v>
      </c>
      <c r="AZ96" s="199">
        <v>188.93518100859828</v>
      </c>
      <c r="BA96" s="45">
        <v>1.2542190137145386</v>
      </c>
      <c r="BB96" s="45">
        <v>0.46030369276187355</v>
      </c>
      <c r="BC96" s="45">
        <v>0.17145227064764124</v>
      </c>
      <c r="BD96" s="45">
        <v>0</v>
      </c>
      <c r="BE96" s="45">
        <v>1.8859749771240533</v>
      </c>
      <c r="BF96" s="45">
        <v>4.3883763323675939E-2</v>
      </c>
      <c r="BG96" s="45">
        <v>-16.541655603319388</v>
      </c>
      <c r="BH96" s="199">
        <v>42.976600780875643</v>
      </c>
      <c r="BI96" s="45">
        <v>0.9893132110602757</v>
      </c>
      <c r="BJ96" s="45">
        <v>0.24549615630193586</v>
      </c>
      <c r="BK96" s="45">
        <v>2.047574091137891</v>
      </c>
      <c r="BL96" s="45">
        <v>-29.343933097332876</v>
      </c>
      <c r="BM96" s="45">
        <v>-26.061549638832773</v>
      </c>
      <c r="BN96" s="45">
        <v>1.2542190137145386</v>
      </c>
      <c r="BO96" s="45">
        <v>0</v>
      </c>
      <c r="BP96" s="45">
        <v>0.46030369276187355</v>
      </c>
      <c r="BQ96" s="45">
        <v>0</v>
      </c>
      <c r="BR96" s="45">
        <v>0</v>
      </c>
      <c r="BS96" s="45">
        <v>0</v>
      </c>
      <c r="BT96" s="45">
        <v>0</v>
      </c>
      <c r="BU96" s="45">
        <v>0</v>
      </c>
      <c r="BV96" s="45">
        <v>0</v>
      </c>
      <c r="BW96" s="45">
        <v>0.17145227064764124</v>
      </c>
      <c r="BX96" s="45">
        <v>0.36045703309513644</v>
      </c>
      <c r="BY96" s="45">
        <v>2.7106623062110119E-2</v>
      </c>
      <c r="BZ96" s="45">
        <v>0</v>
      </c>
      <c r="CA96" s="45">
        <v>-1.3137623929241096</v>
      </c>
      <c r="CB96" s="45">
        <v>1.8859749771240535</v>
      </c>
      <c r="CC96" s="45">
        <v>-0.92619873676686304</v>
      </c>
      <c r="CD96" s="199">
        <v>8.2560305106367622</v>
      </c>
      <c r="CE96" s="45">
        <v>-43.838014609514389</v>
      </c>
      <c r="CF96" s="45">
        <v>2.4842750544119063E-2</v>
      </c>
      <c r="CG96" s="45">
        <v>0</v>
      </c>
      <c r="CH96" s="45">
        <v>2.4842750544119063E-2</v>
      </c>
      <c r="CI96" s="45">
        <v>1.242131778242886E-3</v>
      </c>
      <c r="CJ96" s="45">
        <v>0</v>
      </c>
      <c r="CK96" s="45">
        <v>1.242131778242886E-3</v>
      </c>
      <c r="CL96" s="45"/>
      <c r="CM96" s="45">
        <v>0</v>
      </c>
      <c r="CN96" s="45"/>
      <c r="CO96" s="45">
        <v>0</v>
      </c>
      <c r="CP96" s="45">
        <v>0</v>
      </c>
      <c r="CQ96" s="45">
        <v>0</v>
      </c>
      <c r="CR96" s="45">
        <v>0</v>
      </c>
      <c r="CS96" s="45">
        <v>0</v>
      </c>
      <c r="CT96" s="45">
        <v>0</v>
      </c>
      <c r="CU96" s="45">
        <v>7.2768525392007719E-2</v>
      </c>
      <c r="CV96" s="45">
        <v>9999</v>
      </c>
      <c r="CW96" s="200">
        <v>0</v>
      </c>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row>
    <row r="97" spans="1:131">
      <c r="A97" s="24" t="s">
        <v>423</v>
      </c>
      <c r="B97" s="24"/>
      <c r="C97" s="45">
        <v>6.6762790697674417</v>
      </c>
      <c r="D97" s="45">
        <v>1.7156302515732005</v>
      </c>
      <c r="E97" s="45">
        <v>0</v>
      </c>
      <c r="F97" s="45">
        <v>0.18729926518091722</v>
      </c>
      <c r="G97" s="45">
        <v>0</v>
      </c>
      <c r="H97" s="45">
        <v>-2.9488192070380408</v>
      </c>
      <c r="I97" s="45"/>
      <c r="J97" s="45"/>
      <c r="K97" s="45"/>
      <c r="L97" s="45">
        <v>1.9411307694657556</v>
      </c>
      <c r="M97" s="45">
        <v>4.5372564079253387E-4</v>
      </c>
      <c r="N97" s="45">
        <v>4.3047973509728068E-4</v>
      </c>
      <c r="O97" s="45">
        <v>0</v>
      </c>
      <c r="P97" s="45">
        <v>0</v>
      </c>
      <c r="Q97" s="45">
        <v>0</v>
      </c>
      <c r="R97" s="45">
        <v>3.7349975514715673E-2</v>
      </c>
      <c r="S97" s="45">
        <v>9.2475120552107885E-3</v>
      </c>
      <c r="T97" s="45">
        <v>7.7149667054392981E-2</v>
      </c>
      <c r="U97" s="45">
        <v>0.37438451801758454</v>
      </c>
      <c r="V97" s="45">
        <v>1.1237955910855033E-2</v>
      </c>
      <c r="W97" s="45">
        <v>2.8094889777137578E-3</v>
      </c>
      <c r="X97" s="45">
        <v>2.3412408147614652E-2</v>
      </c>
      <c r="Y97" s="45">
        <v>0</v>
      </c>
      <c r="Z97" s="45">
        <v>0</v>
      </c>
      <c r="AA97" s="45">
        <v>0</v>
      </c>
      <c r="AB97" s="45">
        <v>0</v>
      </c>
      <c r="AC97" s="45">
        <v>0</v>
      </c>
      <c r="AD97" s="45">
        <v>0</v>
      </c>
      <c r="AE97" s="45">
        <v>0</v>
      </c>
      <c r="AF97" s="45">
        <v>0</v>
      </c>
      <c r="AG97" s="45">
        <v>-2.9488192070380408</v>
      </c>
      <c r="AH97" s="45">
        <v>4.8587931425570705E-2</v>
      </c>
      <c r="AI97" s="45">
        <v>1.2057001032924546E-2</v>
      </c>
      <c r="AJ97" s="45">
        <v>0.10056207520200763</v>
      </c>
      <c r="AK97" s="45">
        <v>-2.5744346890204564</v>
      </c>
      <c r="AL97" s="45">
        <v>-2.4132276813599534</v>
      </c>
      <c r="AM97" s="45">
        <v>0.93100949662665811</v>
      </c>
      <c r="AN97" s="45">
        <v>0.16032326776570299</v>
      </c>
      <c r="AO97" s="45">
        <v>0.10913327643923612</v>
      </c>
      <c r="AP97" s="45">
        <v>0</v>
      </c>
      <c r="AQ97" s="45">
        <v>1.2004660408315972</v>
      </c>
      <c r="AR97" s="45">
        <v>4.8587931425570705E-2</v>
      </c>
      <c r="AS97" s="199">
        <v>24.707082718072243</v>
      </c>
      <c r="AT97" s="45">
        <v>0.93100949662665811</v>
      </c>
      <c r="AU97" s="45">
        <v>0.18136116263088578</v>
      </c>
      <c r="AV97" s="45">
        <v>0.1112370659257544</v>
      </c>
      <c r="AW97" s="45">
        <v>0</v>
      </c>
      <c r="AX97" s="45">
        <v>1.2236077251832984</v>
      </c>
      <c r="AY97" s="45">
        <v>1.2057001032924546E-2</v>
      </c>
      <c r="AZ97" s="199">
        <v>101.48524677421381</v>
      </c>
      <c r="BA97" s="45">
        <v>0.93100949662665811</v>
      </c>
      <c r="BB97" s="45">
        <v>0.3416844303965888</v>
      </c>
      <c r="BC97" s="45">
        <v>0.12726939270232471</v>
      </c>
      <c r="BD97" s="45">
        <v>0</v>
      </c>
      <c r="BE97" s="45">
        <v>1.3999633197255716</v>
      </c>
      <c r="BF97" s="45">
        <v>6.0644932458495254E-2</v>
      </c>
      <c r="BG97" s="45">
        <v>-15.477619190144264</v>
      </c>
      <c r="BH97" s="199">
        <v>23.084588653531629</v>
      </c>
      <c r="BI97" s="45">
        <v>1.8418053514884301</v>
      </c>
      <c r="BJ97" s="45">
        <v>0.45704042904891218</v>
      </c>
      <c r="BK97" s="45">
        <v>3.8119706443473911</v>
      </c>
      <c r="BL97" s="45">
        <v>-97.588175667835301</v>
      </c>
      <c r="BM97" s="45">
        <v>-91.477359242950556</v>
      </c>
      <c r="BN97" s="45">
        <v>0.93100949662665811</v>
      </c>
      <c r="BO97" s="45">
        <v>0</v>
      </c>
      <c r="BP97" s="45">
        <v>0.3416844303965888</v>
      </c>
      <c r="BQ97" s="45">
        <v>0</v>
      </c>
      <c r="BR97" s="45">
        <v>0</v>
      </c>
      <c r="BS97" s="45">
        <v>0</v>
      </c>
      <c r="BT97" s="45">
        <v>0</v>
      </c>
      <c r="BU97" s="45">
        <v>0</v>
      </c>
      <c r="BV97" s="45">
        <v>0</v>
      </c>
      <c r="BW97" s="45">
        <v>0.12726939270232471</v>
      </c>
      <c r="BX97" s="45">
        <v>0.498131672641904</v>
      </c>
      <c r="BY97" s="45">
        <v>3.7459853036183446E-2</v>
      </c>
      <c r="BZ97" s="45">
        <v>0</v>
      </c>
      <c r="CA97" s="45">
        <v>-2.9488192070380408</v>
      </c>
      <c r="CB97" s="45">
        <v>1.3999633197255716</v>
      </c>
      <c r="CC97" s="45">
        <v>-2.4132276813599534</v>
      </c>
      <c r="CD97" s="199">
        <v>8.119588003670934</v>
      </c>
      <c r="CE97" s="45">
        <v>-109.25382421363217</v>
      </c>
      <c r="CF97" s="45">
        <v>1.844082765927995E-2</v>
      </c>
      <c r="CG97" s="45">
        <v>0</v>
      </c>
      <c r="CH97" s="45">
        <v>1.844082765927995E-2</v>
      </c>
      <c r="CI97" s="45">
        <v>9.2203711549623379E-4</v>
      </c>
      <c r="CJ97" s="45">
        <v>0</v>
      </c>
      <c r="CK97" s="45">
        <v>9.2203711549623379E-4</v>
      </c>
      <c r="CL97" s="45"/>
      <c r="CM97" s="45">
        <v>0</v>
      </c>
      <c r="CN97" s="45"/>
      <c r="CO97" s="45">
        <v>0</v>
      </c>
      <c r="CP97" s="45">
        <v>0</v>
      </c>
      <c r="CQ97" s="45">
        <v>0</v>
      </c>
      <c r="CR97" s="45">
        <v>0</v>
      </c>
      <c r="CS97" s="45">
        <v>0</v>
      </c>
      <c r="CT97" s="45">
        <v>0</v>
      </c>
      <c r="CU97" s="45">
        <v>0.10056207520200763</v>
      </c>
      <c r="CV97" s="45">
        <v>9999</v>
      </c>
      <c r="CW97" s="200">
        <v>0</v>
      </c>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row>
    <row r="98" spans="1:131">
      <c r="A98" s="24" t="s">
        <v>424</v>
      </c>
      <c r="B98" s="24"/>
      <c r="C98" s="45">
        <v>16.279069767441861</v>
      </c>
      <c r="D98" s="45">
        <v>51.403081848075573</v>
      </c>
      <c r="E98" s="45">
        <v>0</v>
      </c>
      <c r="F98" s="45">
        <v>5.3072521232113603</v>
      </c>
      <c r="G98" s="45">
        <v>0</v>
      </c>
      <c r="H98" s="45">
        <v>-3.0955219219923067</v>
      </c>
      <c r="I98" s="45"/>
      <c r="J98" s="45"/>
      <c r="K98" s="45"/>
      <c r="L98" s="45">
        <v>58.159445328717929</v>
      </c>
      <c r="M98" s="45">
        <v>1.3594360573231034E-2</v>
      </c>
      <c r="N98" s="45">
        <v>1.2897875306670808E-2</v>
      </c>
      <c r="O98" s="45">
        <v>0</v>
      </c>
      <c r="P98" s="45">
        <v>0</v>
      </c>
      <c r="Q98" s="45">
        <v>0</v>
      </c>
      <c r="R98" s="45">
        <v>1.0583369703073617</v>
      </c>
      <c r="S98" s="45">
        <v>0.26203454638240864</v>
      </c>
      <c r="T98" s="45">
        <v>2.1860883110458316</v>
      </c>
      <c r="U98" s="45">
        <v>3.1145457515489503</v>
      </c>
      <c r="V98" s="45">
        <v>0.31843512739268165</v>
      </c>
      <c r="W98" s="45">
        <v>7.9608781848170385E-2</v>
      </c>
      <c r="X98" s="45">
        <v>0.66340651540142004</v>
      </c>
      <c r="Y98" s="45">
        <v>0</v>
      </c>
      <c r="Z98" s="45">
        <v>0</v>
      </c>
      <c r="AA98" s="45">
        <v>0</v>
      </c>
      <c r="AB98" s="45">
        <v>0</v>
      </c>
      <c r="AC98" s="45">
        <v>0</v>
      </c>
      <c r="AD98" s="45">
        <v>0</v>
      </c>
      <c r="AE98" s="45">
        <v>0</v>
      </c>
      <c r="AF98" s="45">
        <v>0</v>
      </c>
      <c r="AG98" s="45">
        <v>-3.0955219219923067</v>
      </c>
      <c r="AH98" s="45">
        <v>1.3767720977000435</v>
      </c>
      <c r="AI98" s="45">
        <v>0.34164332823057902</v>
      </c>
      <c r="AJ98" s="45">
        <v>2.8494948264472515</v>
      </c>
      <c r="AK98" s="45">
        <v>1.9023829556643612E-2</v>
      </c>
      <c r="AL98" s="45">
        <v>4.5869340819345172</v>
      </c>
      <c r="AM98" s="45">
        <v>27.89456371065501</v>
      </c>
      <c r="AN98" s="45">
        <v>4.8035467126756632</v>
      </c>
      <c r="AO98" s="45">
        <v>3.2698110423330675</v>
      </c>
      <c r="AP98" s="45">
        <v>0</v>
      </c>
      <c r="AQ98" s="45">
        <v>35.967921465663743</v>
      </c>
      <c r="AR98" s="45">
        <v>1.3767720977000435</v>
      </c>
      <c r="AS98" s="199">
        <v>26.124818716002228</v>
      </c>
      <c r="AT98" s="45">
        <v>27.89456371065501</v>
      </c>
      <c r="AU98" s="45">
        <v>5.4338763718050505</v>
      </c>
      <c r="AV98" s="45">
        <v>3.3328440082460062</v>
      </c>
      <c r="AW98" s="45">
        <v>0</v>
      </c>
      <c r="AX98" s="45">
        <v>36.661284090706069</v>
      </c>
      <c r="AY98" s="45">
        <v>0.34164332823057902</v>
      </c>
      <c r="AZ98" s="199">
        <v>107.3086492880755</v>
      </c>
      <c r="BA98" s="45">
        <v>27.89456371065501</v>
      </c>
      <c r="BB98" s="45">
        <v>10.237423084480714</v>
      </c>
      <c r="BC98" s="45">
        <v>3.8131986795135724</v>
      </c>
      <c r="BD98" s="45">
        <v>0</v>
      </c>
      <c r="BE98" s="45">
        <v>41.945185474649293</v>
      </c>
      <c r="BF98" s="45">
        <v>1.7184154259306224</v>
      </c>
      <c r="BG98" s="45">
        <v>-15.602372454547233</v>
      </c>
      <c r="BH98" s="199">
        <v>24.409223079415458</v>
      </c>
      <c r="BI98" s="45">
        <v>1.7418546579976535</v>
      </c>
      <c r="BJ98" s="45">
        <v>0.43223785813671234</v>
      </c>
      <c r="BK98" s="45">
        <v>3.605103447897398</v>
      </c>
      <c r="BL98" s="45">
        <v>2.4068432372757596E-2</v>
      </c>
      <c r="BM98" s="45">
        <v>5.8032643964045203</v>
      </c>
      <c r="BN98" s="45">
        <v>27.89456371065501</v>
      </c>
      <c r="BO98" s="45">
        <v>0</v>
      </c>
      <c r="BP98" s="45">
        <v>10.237423084480714</v>
      </c>
      <c r="BQ98" s="45">
        <v>0</v>
      </c>
      <c r="BR98" s="45">
        <v>0</v>
      </c>
      <c r="BS98" s="45">
        <v>0</v>
      </c>
      <c r="BT98" s="45">
        <v>0</v>
      </c>
      <c r="BU98" s="45">
        <v>0</v>
      </c>
      <c r="BV98" s="45">
        <v>0</v>
      </c>
      <c r="BW98" s="45">
        <v>3.8131986795135724</v>
      </c>
      <c r="BX98" s="45">
        <v>6.6210055792845521</v>
      </c>
      <c r="BY98" s="45">
        <v>1.061450424642272</v>
      </c>
      <c r="BZ98" s="45">
        <v>0</v>
      </c>
      <c r="CA98" s="45">
        <v>-3.0955219219923067</v>
      </c>
      <c r="CB98" s="45">
        <v>41.9451854746493</v>
      </c>
      <c r="CC98" s="45">
        <v>4.5869340819345172</v>
      </c>
      <c r="CD98" s="199">
        <v>5.8628005645095023</v>
      </c>
      <c r="CE98" s="45">
        <v>-11.973200574277088</v>
      </c>
      <c r="CF98" s="45">
        <v>0.55251728782877529</v>
      </c>
      <c r="CG98" s="45">
        <v>0</v>
      </c>
      <c r="CH98" s="45">
        <v>0.55251728782877529</v>
      </c>
      <c r="CI98" s="45">
        <v>2.7625736531141015E-2</v>
      </c>
      <c r="CJ98" s="45">
        <v>0</v>
      </c>
      <c r="CK98" s="45">
        <v>2.7625736531141015E-2</v>
      </c>
      <c r="CL98" s="45"/>
      <c r="CM98" s="45">
        <v>0</v>
      </c>
      <c r="CN98" s="45"/>
      <c r="CO98" s="45">
        <v>0</v>
      </c>
      <c r="CP98" s="45">
        <v>0</v>
      </c>
      <c r="CQ98" s="45">
        <v>0</v>
      </c>
      <c r="CR98" s="45">
        <v>0</v>
      </c>
      <c r="CS98" s="45">
        <v>0</v>
      </c>
      <c r="CT98" s="45">
        <v>0</v>
      </c>
      <c r="CU98" s="45">
        <v>2.8494948264472515</v>
      </c>
      <c r="CV98" s="45">
        <v>9999</v>
      </c>
      <c r="CW98" s="200">
        <v>0</v>
      </c>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row>
    <row r="99" spans="1:131">
      <c r="A99" s="24" t="s">
        <v>425</v>
      </c>
      <c r="B99" s="24"/>
      <c r="C99" s="45">
        <v>16.279069767441861</v>
      </c>
      <c r="D99" s="45">
        <v>6.2518603404583653</v>
      </c>
      <c r="E99" s="45">
        <v>0</v>
      </c>
      <c r="F99" s="45">
        <v>1.0527185054529571</v>
      </c>
      <c r="G99" s="45">
        <v>0</v>
      </c>
      <c r="H99" s="45">
        <v>-0.16539163790882275</v>
      </c>
      <c r="I99" s="45"/>
      <c r="J99" s="45"/>
      <c r="K99" s="45"/>
      <c r="L99" s="45">
        <v>7.0735978583603307</v>
      </c>
      <c r="M99" s="45">
        <v>1.6534036611436324E-3</v>
      </c>
      <c r="N99" s="45">
        <v>1.5686941756580951E-3</v>
      </c>
      <c r="O99" s="45">
        <v>0</v>
      </c>
      <c r="P99" s="45">
        <v>0</v>
      </c>
      <c r="Q99" s="45">
        <v>0</v>
      </c>
      <c r="R99" s="45">
        <v>0.20992613272976152</v>
      </c>
      <c r="S99" s="45">
        <v>5.197578890934991E-2</v>
      </c>
      <c r="T99" s="45">
        <v>0.43362093342568286</v>
      </c>
      <c r="U99" s="45">
        <v>0.61778484847098958</v>
      </c>
      <c r="V99" s="45">
        <v>6.3163110327177432E-2</v>
      </c>
      <c r="W99" s="45">
        <v>1.5790777581794355E-2</v>
      </c>
      <c r="X99" s="45">
        <v>0.13158981318161964</v>
      </c>
      <c r="Y99" s="45">
        <v>0</v>
      </c>
      <c r="Z99" s="45">
        <v>0</v>
      </c>
      <c r="AA99" s="45">
        <v>0</v>
      </c>
      <c r="AB99" s="45">
        <v>0</v>
      </c>
      <c r="AC99" s="45">
        <v>0</v>
      </c>
      <c r="AD99" s="45">
        <v>0</v>
      </c>
      <c r="AE99" s="45">
        <v>0</v>
      </c>
      <c r="AF99" s="45">
        <v>0</v>
      </c>
      <c r="AG99" s="45">
        <v>-0.16539163790882275</v>
      </c>
      <c r="AH99" s="45">
        <v>0.27308924305693894</v>
      </c>
      <c r="AI99" s="45">
        <v>6.7766566491144264E-2</v>
      </c>
      <c r="AJ99" s="45">
        <v>0.56521074660730253</v>
      </c>
      <c r="AK99" s="45">
        <v>0.45239321056216686</v>
      </c>
      <c r="AL99" s="45">
        <v>1.3584597667175524</v>
      </c>
      <c r="AM99" s="45">
        <v>3.39265488190884</v>
      </c>
      <c r="AN99" s="45">
        <v>0.58422767870756454</v>
      </c>
      <c r="AO99" s="45">
        <v>0.39768825606164049</v>
      </c>
      <c r="AP99" s="45">
        <v>0</v>
      </c>
      <c r="AQ99" s="45">
        <v>4.3745708166780455</v>
      </c>
      <c r="AR99" s="45">
        <v>0.27308924305693894</v>
      </c>
      <c r="AS99" s="199">
        <v>16.018832406979687</v>
      </c>
      <c r="AT99" s="45">
        <v>3.39265488190884</v>
      </c>
      <c r="AU99" s="45">
        <v>0.66089103926195092</v>
      </c>
      <c r="AV99" s="45">
        <v>0.40535459211707914</v>
      </c>
      <c r="AW99" s="45">
        <v>0</v>
      </c>
      <c r="AX99" s="45">
        <v>4.4589005132878698</v>
      </c>
      <c r="AY99" s="45">
        <v>6.7766566491144264E-2</v>
      </c>
      <c r="AZ99" s="199">
        <v>65.797940550382748</v>
      </c>
      <c r="BA99" s="45">
        <v>3.39265488190884</v>
      </c>
      <c r="BB99" s="45">
        <v>1.2451187179695156</v>
      </c>
      <c r="BC99" s="45">
        <v>0.46377735998783559</v>
      </c>
      <c r="BD99" s="45">
        <v>0</v>
      </c>
      <c r="BE99" s="45">
        <v>5.1015509598661906</v>
      </c>
      <c r="BF99" s="45">
        <v>0.3408558095480832</v>
      </c>
      <c r="BG99" s="45">
        <v>-14.230777531497228</v>
      </c>
      <c r="BH99" s="199">
        <v>14.966888687125442</v>
      </c>
      <c r="BI99" s="45">
        <v>2.8407586778912286</v>
      </c>
      <c r="BJ99" s="45">
        <v>0.70492876129314663</v>
      </c>
      <c r="BK99" s="45">
        <v>5.879496809500119</v>
      </c>
      <c r="BL99" s="45">
        <v>4.7059339442952668</v>
      </c>
      <c r="BM99" s="45">
        <v>14.131118192979759</v>
      </c>
      <c r="BN99" s="45">
        <v>3.39265488190884</v>
      </c>
      <c r="BO99" s="45">
        <v>0</v>
      </c>
      <c r="BP99" s="45">
        <v>1.2451187179695156</v>
      </c>
      <c r="BQ99" s="45">
        <v>0</v>
      </c>
      <c r="BR99" s="45">
        <v>0</v>
      </c>
      <c r="BS99" s="45">
        <v>0</v>
      </c>
      <c r="BT99" s="45">
        <v>0</v>
      </c>
      <c r="BU99" s="45">
        <v>0</v>
      </c>
      <c r="BV99" s="45">
        <v>0</v>
      </c>
      <c r="BW99" s="45">
        <v>0.46377735998783559</v>
      </c>
      <c r="BX99" s="45">
        <v>1.3133077035357839</v>
      </c>
      <c r="BY99" s="45">
        <v>0.21054370109059142</v>
      </c>
      <c r="BZ99" s="45">
        <v>0</v>
      </c>
      <c r="CA99" s="45">
        <v>-0.16539163790882275</v>
      </c>
      <c r="CB99" s="45">
        <v>5.1015509598661914</v>
      </c>
      <c r="CC99" s="45">
        <v>1.3584597667175526</v>
      </c>
      <c r="CD99" s="199">
        <v>3.456336084860181</v>
      </c>
      <c r="CE99" s="45">
        <v>-3.6453467777018531</v>
      </c>
      <c r="CF99" s="45">
        <v>6.7199490672632839E-2</v>
      </c>
      <c r="CG99" s="45">
        <v>0</v>
      </c>
      <c r="CH99" s="45">
        <v>6.7199490672632839E-2</v>
      </c>
      <c r="CI99" s="45">
        <v>3.3599589827211559E-3</v>
      </c>
      <c r="CJ99" s="45">
        <v>0</v>
      </c>
      <c r="CK99" s="45">
        <v>3.3599589827211559E-3</v>
      </c>
      <c r="CL99" s="45"/>
      <c r="CM99" s="45">
        <v>0</v>
      </c>
      <c r="CN99" s="45"/>
      <c r="CO99" s="45">
        <v>0</v>
      </c>
      <c r="CP99" s="45">
        <v>0</v>
      </c>
      <c r="CQ99" s="45">
        <v>0</v>
      </c>
      <c r="CR99" s="45">
        <v>0</v>
      </c>
      <c r="CS99" s="45">
        <v>0</v>
      </c>
      <c r="CT99" s="45">
        <v>0</v>
      </c>
      <c r="CU99" s="45">
        <v>0.56521074660730253</v>
      </c>
      <c r="CV99" s="45">
        <v>9999</v>
      </c>
      <c r="CW99" s="200">
        <v>0</v>
      </c>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row>
    <row r="100" spans="1:131">
      <c r="A100" s="24" t="s">
        <v>426</v>
      </c>
      <c r="B100" s="24"/>
      <c r="C100" s="45">
        <v>16.744186046511629</v>
      </c>
      <c r="D100" s="45">
        <v>28.880984703126135</v>
      </c>
      <c r="E100" s="45">
        <v>0</v>
      </c>
      <c r="F100" s="45">
        <v>5.9720678877064044</v>
      </c>
      <c r="G100" s="45">
        <v>0</v>
      </c>
      <c r="H100" s="45">
        <v>-1.9132235365066426</v>
      </c>
      <c r="I100" s="45"/>
      <c r="J100" s="45"/>
      <c r="K100" s="45"/>
      <c r="L100" s="45">
        <v>32.677068971184418</v>
      </c>
      <c r="M100" s="45">
        <v>7.6380346401149751E-3</v>
      </c>
      <c r="N100" s="45">
        <v>7.2467121822722717E-3</v>
      </c>
      <c r="O100" s="45">
        <v>0</v>
      </c>
      <c r="P100" s="45">
        <v>0</v>
      </c>
      <c r="Q100" s="45">
        <v>0</v>
      </c>
      <c r="R100" s="45">
        <v>1.1909101146905077</v>
      </c>
      <c r="S100" s="45">
        <v>0.29485844342612472</v>
      </c>
      <c r="T100" s="45">
        <v>2.4599298279026209</v>
      </c>
      <c r="U100" s="45">
        <v>3.3452122034159837</v>
      </c>
      <c r="V100" s="45">
        <v>0.35832407326238425</v>
      </c>
      <c r="W100" s="45">
        <v>8.9581018315596048E-2</v>
      </c>
      <c r="X100" s="45">
        <v>0.74650848596330055</v>
      </c>
      <c r="Y100" s="45">
        <v>0</v>
      </c>
      <c r="Z100" s="45">
        <v>0</v>
      </c>
      <c r="AA100" s="45">
        <v>0</v>
      </c>
      <c r="AB100" s="45">
        <v>0</v>
      </c>
      <c r="AC100" s="45">
        <v>0</v>
      </c>
      <c r="AD100" s="45">
        <v>0</v>
      </c>
      <c r="AE100" s="45">
        <v>0</v>
      </c>
      <c r="AF100" s="45">
        <v>0</v>
      </c>
      <c r="AG100" s="45">
        <v>-1.9132235365066426</v>
      </c>
      <c r="AH100" s="45">
        <v>1.5492341879528919</v>
      </c>
      <c r="AI100" s="45">
        <v>0.38443946174172078</v>
      </c>
      <c r="AJ100" s="45">
        <v>3.2064383138659216</v>
      </c>
      <c r="AK100" s="45">
        <v>1.4319886669093411</v>
      </c>
      <c r="AL100" s="45">
        <v>6.5721006304698752</v>
      </c>
      <c r="AM100" s="45">
        <v>15.672649165450091</v>
      </c>
      <c r="AN100" s="45">
        <v>2.6988879682265878</v>
      </c>
      <c r="AO100" s="45">
        <v>1.8371537133676679</v>
      </c>
      <c r="AP100" s="45">
        <v>0</v>
      </c>
      <c r="AQ100" s="45">
        <v>20.208690847044345</v>
      </c>
      <c r="AR100" s="45">
        <v>1.5492341879528919</v>
      </c>
      <c r="AS100" s="199">
        <v>13.044309894650244</v>
      </c>
      <c r="AT100" s="45">
        <v>15.672649165450091</v>
      </c>
      <c r="AU100" s="45">
        <v>3.0530406880391272</v>
      </c>
      <c r="AV100" s="45">
        <v>1.8725689853489218</v>
      </c>
      <c r="AW100" s="45">
        <v>0</v>
      </c>
      <c r="AX100" s="45">
        <v>20.598258838838142</v>
      </c>
      <c r="AY100" s="45">
        <v>0.38443946174172078</v>
      </c>
      <c r="AZ100" s="199">
        <v>53.579980435714837</v>
      </c>
      <c r="BA100" s="45">
        <v>15.672649165450091</v>
      </c>
      <c r="BB100" s="45">
        <v>5.751928656265715</v>
      </c>
      <c r="BC100" s="45">
        <v>2.1424577821715807</v>
      </c>
      <c r="BD100" s="45">
        <v>0</v>
      </c>
      <c r="BE100" s="45">
        <v>23.567035603887387</v>
      </c>
      <c r="BF100" s="45">
        <v>1.9336736496946128</v>
      </c>
      <c r="BG100" s="45">
        <v>-13.422246670553562</v>
      </c>
      <c r="BH100" s="199">
        <v>12.187700653421716</v>
      </c>
      <c r="BI100" s="45">
        <v>3.4885430917641402</v>
      </c>
      <c r="BJ100" s="45">
        <v>0.86567520836390477</v>
      </c>
      <c r="BK100" s="45">
        <v>7.2202113250452928</v>
      </c>
      <c r="BL100" s="45">
        <v>3.2245313266886311</v>
      </c>
      <c r="BM100" s="45">
        <v>14.798960951861968</v>
      </c>
      <c r="BN100" s="45">
        <v>15.672649165450091</v>
      </c>
      <c r="BO100" s="45">
        <v>0</v>
      </c>
      <c r="BP100" s="45">
        <v>5.751928656265715</v>
      </c>
      <c r="BQ100" s="45">
        <v>0</v>
      </c>
      <c r="BR100" s="45">
        <v>0</v>
      </c>
      <c r="BS100" s="45">
        <v>0</v>
      </c>
      <c r="BT100" s="45">
        <v>0</v>
      </c>
      <c r="BU100" s="45">
        <v>0</v>
      </c>
      <c r="BV100" s="45">
        <v>0</v>
      </c>
      <c r="BW100" s="45">
        <v>2.1424577821715807</v>
      </c>
      <c r="BX100" s="45">
        <v>7.2909105894352368</v>
      </c>
      <c r="BY100" s="45">
        <v>1.194413577541281</v>
      </c>
      <c r="BZ100" s="45">
        <v>0</v>
      </c>
      <c r="CA100" s="45">
        <v>-1.9132235365066426</v>
      </c>
      <c r="CB100" s="45">
        <v>23.567035603887383</v>
      </c>
      <c r="CC100" s="45">
        <v>6.5721006304698761</v>
      </c>
      <c r="CD100" s="199">
        <v>3.0028621934750586</v>
      </c>
      <c r="CE100" s="45">
        <v>-2.977504018819626</v>
      </c>
      <c r="CF100" s="45">
        <v>0.310433592000535</v>
      </c>
      <c r="CG100" s="45">
        <v>0</v>
      </c>
      <c r="CH100" s="45">
        <v>0.310433592000535</v>
      </c>
      <c r="CI100" s="45">
        <v>1.5521607761312598E-2</v>
      </c>
      <c r="CJ100" s="45">
        <v>0</v>
      </c>
      <c r="CK100" s="45">
        <v>1.5521607761312598E-2</v>
      </c>
      <c r="CL100" s="45"/>
      <c r="CM100" s="45">
        <v>0</v>
      </c>
      <c r="CN100" s="45"/>
      <c r="CO100" s="45">
        <v>0</v>
      </c>
      <c r="CP100" s="45">
        <v>0</v>
      </c>
      <c r="CQ100" s="45">
        <v>0</v>
      </c>
      <c r="CR100" s="45">
        <v>0</v>
      </c>
      <c r="CS100" s="45">
        <v>0</v>
      </c>
      <c r="CT100" s="45">
        <v>0</v>
      </c>
      <c r="CU100" s="45">
        <v>3.2064383138659216</v>
      </c>
      <c r="CV100" s="45">
        <v>9999</v>
      </c>
      <c r="CW100" s="200">
        <v>0</v>
      </c>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row>
    <row r="101" spans="1:131">
      <c r="A101" s="24" t="s">
        <v>427</v>
      </c>
      <c r="B101" s="24"/>
      <c r="C101" s="45">
        <v>16.744186046511629</v>
      </c>
      <c r="D101" s="45">
        <v>28.880984703126135</v>
      </c>
      <c r="E101" s="45">
        <v>0</v>
      </c>
      <c r="F101" s="45">
        <v>6.677762119662626</v>
      </c>
      <c r="G101" s="45">
        <v>0</v>
      </c>
      <c r="H101" s="45">
        <v>-1.9132235365066426</v>
      </c>
      <c r="I101" s="45"/>
      <c r="J101" s="45"/>
      <c r="K101" s="45"/>
      <c r="L101" s="45">
        <v>32.677068971184418</v>
      </c>
      <c r="M101" s="45">
        <v>7.6380346401149751E-3</v>
      </c>
      <c r="N101" s="45">
        <v>7.2467121822722717E-3</v>
      </c>
      <c r="O101" s="45">
        <v>0</v>
      </c>
      <c r="P101" s="45">
        <v>0</v>
      </c>
      <c r="Q101" s="45">
        <v>0</v>
      </c>
      <c r="R101" s="45">
        <v>1.3316349715605087</v>
      </c>
      <c r="S101" s="45">
        <v>0.3297006298650535</v>
      </c>
      <c r="T101" s="45">
        <v>2.7506094255243152</v>
      </c>
      <c r="U101" s="45">
        <v>3.7405019089264906</v>
      </c>
      <c r="V101" s="45">
        <v>0.40066572717975757</v>
      </c>
      <c r="W101" s="45">
        <v>0.10016643179493938</v>
      </c>
      <c r="X101" s="45">
        <v>0.83472026495782825</v>
      </c>
      <c r="Y101" s="45">
        <v>0</v>
      </c>
      <c r="Z101" s="45">
        <v>0</v>
      </c>
      <c r="AA101" s="45">
        <v>0</v>
      </c>
      <c r="AB101" s="45">
        <v>0</v>
      </c>
      <c r="AC101" s="45">
        <v>0</v>
      </c>
      <c r="AD101" s="45">
        <v>0</v>
      </c>
      <c r="AE101" s="45">
        <v>0</v>
      </c>
      <c r="AF101" s="45">
        <v>0</v>
      </c>
      <c r="AG101" s="45">
        <v>-1.9132235365066426</v>
      </c>
      <c r="AH101" s="45">
        <v>1.7323006987402663</v>
      </c>
      <c r="AI101" s="45">
        <v>0.42986706165999289</v>
      </c>
      <c r="AJ101" s="45">
        <v>3.5853296904821432</v>
      </c>
      <c r="AK101" s="45">
        <v>1.827278372419848</v>
      </c>
      <c r="AL101" s="45">
        <v>7.5747758233022502</v>
      </c>
      <c r="AM101" s="45">
        <v>15.672649165450091</v>
      </c>
      <c r="AN101" s="45">
        <v>2.6988879682265878</v>
      </c>
      <c r="AO101" s="45">
        <v>1.8371537133676679</v>
      </c>
      <c r="AP101" s="45">
        <v>0</v>
      </c>
      <c r="AQ101" s="45">
        <v>20.208690847044345</v>
      </c>
      <c r="AR101" s="45">
        <v>1.7323006987402663</v>
      </c>
      <c r="AS101" s="199">
        <v>11.665810018861135</v>
      </c>
      <c r="AT101" s="45">
        <v>15.672649165450091</v>
      </c>
      <c r="AU101" s="45">
        <v>3.0530406880391272</v>
      </c>
      <c r="AV101" s="45">
        <v>1.8725689853489218</v>
      </c>
      <c r="AW101" s="45">
        <v>0</v>
      </c>
      <c r="AX101" s="45">
        <v>20.598258838838142</v>
      </c>
      <c r="AY101" s="45">
        <v>0.42986706165999289</v>
      </c>
      <c r="AZ101" s="199">
        <v>47.917741729954912</v>
      </c>
      <c r="BA101" s="45">
        <v>15.672649165450091</v>
      </c>
      <c r="BB101" s="45">
        <v>5.751928656265715</v>
      </c>
      <c r="BC101" s="45">
        <v>2.1424577821715807</v>
      </c>
      <c r="BD101" s="45">
        <v>0</v>
      </c>
      <c r="BE101" s="45">
        <v>23.567035603887387</v>
      </c>
      <c r="BF101" s="45">
        <v>2.1621677604002594</v>
      </c>
      <c r="BG101" s="45">
        <v>-12.907726943575259</v>
      </c>
      <c r="BH101" s="199">
        <v>10.899725745390205</v>
      </c>
      <c r="BI101" s="45">
        <v>3.9007696076174549</v>
      </c>
      <c r="BJ101" s="45">
        <v>0.96796841948889212</v>
      </c>
      <c r="BK101" s="45">
        <v>8.0733934357306261</v>
      </c>
      <c r="BL101" s="45">
        <v>4.114638956721187</v>
      </c>
      <c r="BM101" s="45">
        <v>17.056770419558159</v>
      </c>
      <c r="BN101" s="45">
        <v>15.672649165450091</v>
      </c>
      <c r="BO101" s="45">
        <v>0</v>
      </c>
      <c r="BP101" s="45">
        <v>5.751928656265715</v>
      </c>
      <c r="BQ101" s="45">
        <v>0</v>
      </c>
      <c r="BR101" s="45">
        <v>0</v>
      </c>
      <c r="BS101" s="45">
        <v>0</v>
      </c>
      <c r="BT101" s="45">
        <v>0</v>
      </c>
      <c r="BU101" s="45">
        <v>0</v>
      </c>
      <c r="BV101" s="45">
        <v>0</v>
      </c>
      <c r="BW101" s="45">
        <v>2.1424577821715807</v>
      </c>
      <c r="BX101" s="45">
        <v>8.1524469358763678</v>
      </c>
      <c r="BY101" s="45">
        <v>1.3355524239325254</v>
      </c>
      <c r="BZ101" s="45">
        <v>0</v>
      </c>
      <c r="CA101" s="45">
        <v>-1.9132235365066426</v>
      </c>
      <c r="CB101" s="45">
        <v>23.567035603887383</v>
      </c>
      <c r="CC101" s="45">
        <v>7.5747758233022511</v>
      </c>
      <c r="CD101" s="199">
        <v>2.6855249641276595</v>
      </c>
      <c r="CE101" s="45">
        <v>-0.71969455112343739</v>
      </c>
      <c r="CF101" s="45">
        <v>0.310433592000535</v>
      </c>
      <c r="CG101" s="45">
        <v>0</v>
      </c>
      <c r="CH101" s="45">
        <v>0.310433592000535</v>
      </c>
      <c r="CI101" s="45">
        <v>1.5521607761312598E-2</v>
      </c>
      <c r="CJ101" s="45">
        <v>0</v>
      </c>
      <c r="CK101" s="45">
        <v>1.5521607761312598E-2</v>
      </c>
      <c r="CL101" s="45"/>
      <c r="CM101" s="45">
        <v>0</v>
      </c>
      <c r="CN101" s="45"/>
      <c r="CO101" s="45">
        <v>0</v>
      </c>
      <c r="CP101" s="45">
        <v>0</v>
      </c>
      <c r="CQ101" s="45">
        <v>0</v>
      </c>
      <c r="CR101" s="45">
        <v>0</v>
      </c>
      <c r="CS101" s="45">
        <v>0</v>
      </c>
      <c r="CT101" s="45">
        <v>0</v>
      </c>
      <c r="CU101" s="45">
        <v>3.5853296904821432</v>
      </c>
      <c r="CV101" s="45">
        <v>9999</v>
      </c>
      <c r="CW101" s="200">
        <v>0</v>
      </c>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row>
    <row r="102" spans="1:131">
      <c r="A102" s="24" t="s">
        <v>428</v>
      </c>
      <c r="B102" s="24"/>
      <c r="C102" s="45">
        <v>16.279069767441861</v>
      </c>
      <c r="D102" s="45">
        <v>130.19651169604927</v>
      </c>
      <c r="E102" s="45">
        <v>0</v>
      </c>
      <c r="F102" s="45">
        <v>31.358712414728529</v>
      </c>
      <c r="G102" s="45">
        <v>0</v>
      </c>
      <c r="H102" s="45">
        <v>-6.2631594097944996</v>
      </c>
      <c r="I102" s="45"/>
      <c r="J102" s="45"/>
      <c r="K102" s="45"/>
      <c r="L102" s="45">
        <v>147.30939530738755</v>
      </c>
      <c r="M102" s="45">
        <v>3.4432533259467366E-2</v>
      </c>
      <c r="N102" s="45">
        <v>3.2668437627578137E-2</v>
      </c>
      <c r="O102" s="45">
        <v>0</v>
      </c>
      <c r="P102" s="45">
        <v>0</v>
      </c>
      <c r="Q102" s="45">
        <v>0</v>
      </c>
      <c r="R102" s="45">
        <v>6.2533461609247798</v>
      </c>
      <c r="S102" s="45">
        <v>1.5482712695694849</v>
      </c>
      <c r="T102" s="45">
        <v>12.916837766095277</v>
      </c>
      <c r="U102" s="45">
        <v>18.402770823376699</v>
      </c>
      <c r="V102" s="45">
        <v>1.8815227448837117</v>
      </c>
      <c r="W102" s="45">
        <v>0.47038068622092788</v>
      </c>
      <c r="X102" s="45">
        <v>3.9198390518410662</v>
      </c>
      <c r="Y102" s="45">
        <v>0</v>
      </c>
      <c r="Z102" s="45">
        <v>0</v>
      </c>
      <c r="AA102" s="45">
        <v>0</v>
      </c>
      <c r="AB102" s="45">
        <v>0</v>
      </c>
      <c r="AC102" s="45">
        <v>0</v>
      </c>
      <c r="AD102" s="45">
        <v>0</v>
      </c>
      <c r="AE102" s="45">
        <v>0</v>
      </c>
      <c r="AF102" s="45">
        <v>0</v>
      </c>
      <c r="AG102" s="45">
        <v>-6.2631594097944996</v>
      </c>
      <c r="AH102" s="45">
        <v>8.1348689058084922</v>
      </c>
      <c r="AI102" s="45">
        <v>2.0186519557904128</v>
      </c>
      <c r="AJ102" s="45">
        <v>16.836676817936343</v>
      </c>
      <c r="AK102" s="45">
        <v>12.139611413582198</v>
      </c>
      <c r="AL102" s="45">
        <v>39.129809093117451</v>
      </c>
      <c r="AM102" s="45">
        <v>70.652862821423369</v>
      </c>
      <c r="AN102" s="45">
        <v>12.166683460882998</v>
      </c>
      <c r="AO102" s="45">
        <v>8.281954628230638</v>
      </c>
      <c r="AP102" s="45">
        <v>0</v>
      </c>
      <c r="AQ102" s="45">
        <v>91.101500910536998</v>
      </c>
      <c r="AR102" s="45">
        <v>8.1348689058084922</v>
      </c>
      <c r="AS102" s="199">
        <v>11.198889861087784</v>
      </c>
      <c r="AT102" s="45">
        <v>70.652862821423369</v>
      </c>
      <c r="AU102" s="45">
        <v>13.763216584709271</v>
      </c>
      <c r="AV102" s="45">
        <v>8.4416079406132649</v>
      </c>
      <c r="AW102" s="45">
        <v>0</v>
      </c>
      <c r="AX102" s="45">
        <v>92.857687346745905</v>
      </c>
      <c r="AY102" s="45">
        <v>2.0186519557904128</v>
      </c>
      <c r="AZ102" s="199">
        <v>45.999850088266967</v>
      </c>
      <c r="BA102" s="45">
        <v>70.652862821423369</v>
      </c>
      <c r="BB102" s="45">
        <v>25.929900045592269</v>
      </c>
      <c r="BC102" s="45">
        <v>9.6582762867015646</v>
      </c>
      <c r="BD102" s="45">
        <v>0</v>
      </c>
      <c r="BE102" s="45">
        <v>106.2410391537172</v>
      </c>
      <c r="BF102" s="45">
        <v>10.153520861598905</v>
      </c>
      <c r="BG102" s="45">
        <v>-12.704732543597039</v>
      </c>
      <c r="BH102" s="199">
        <v>10.463467855325518</v>
      </c>
      <c r="BI102" s="45">
        <v>4.0634060816982256</v>
      </c>
      <c r="BJ102" s="45">
        <v>1.0083263453863314</v>
      </c>
      <c r="BK102" s="45">
        <v>8.410000919466647</v>
      </c>
      <c r="BL102" s="45">
        <v>6.0637941949109466</v>
      </c>
      <c r="BM102" s="45">
        <v>19.545527541462153</v>
      </c>
      <c r="BN102" s="45">
        <v>70.652862821423369</v>
      </c>
      <c r="BO102" s="45">
        <v>0</v>
      </c>
      <c r="BP102" s="45">
        <v>25.929900045592269</v>
      </c>
      <c r="BQ102" s="45">
        <v>0</v>
      </c>
      <c r="BR102" s="45">
        <v>0</v>
      </c>
      <c r="BS102" s="45">
        <v>0</v>
      </c>
      <c r="BT102" s="45">
        <v>0</v>
      </c>
      <c r="BU102" s="45">
        <v>0</v>
      </c>
      <c r="BV102" s="45">
        <v>0</v>
      </c>
      <c r="BW102" s="45">
        <v>9.6582762867015646</v>
      </c>
      <c r="BX102" s="45">
        <v>39.121226019966244</v>
      </c>
      <c r="BY102" s="45">
        <v>6.2717424829457062</v>
      </c>
      <c r="BZ102" s="45">
        <v>0</v>
      </c>
      <c r="CA102" s="45">
        <v>-6.2631594097944996</v>
      </c>
      <c r="CB102" s="45">
        <v>106.2410391537172</v>
      </c>
      <c r="CC102" s="45">
        <v>39.129809093117451</v>
      </c>
      <c r="CD102" s="199">
        <v>2.478449906978315</v>
      </c>
      <c r="CE102" s="45">
        <v>1.7690625707805541</v>
      </c>
      <c r="CF102" s="45">
        <v>1.3994457324500227</v>
      </c>
      <c r="CG102" s="45">
        <v>0</v>
      </c>
      <c r="CH102" s="45">
        <v>1.3994457324500227</v>
      </c>
      <c r="CI102" s="45">
        <v>6.9971962771009089E-2</v>
      </c>
      <c r="CJ102" s="45">
        <v>0</v>
      </c>
      <c r="CK102" s="45">
        <v>6.9971962771009089E-2</v>
      </c>
      <c r="CL102" s="45"/>
      <c r="CM102" s="45">
        <v>0</v>
      </c>
      <c r="CN102" s="45"/>
      <c r="CO102" s="45">
        <v>0</v>
      </c>
      <c r="CP102" s="45">
        <v>0</v>
      </c>
      <c r="CQ102" s="45">
        <v>0</v>
      </c>
      <c r="CR102" s="45">
        <v>0</v>
      </c>
      <c r="CS102" s="45">
        <v>0</v>
      </c>
      <c r="CT102" s="45">
        <v>0</v>
      </c>
      <c r="CU102" s="45">
        <v>16.836676817936343</v>
      </c>
      <c r="CV102" s="45">
        <v>9999</v>
      </c>
      <c r="CW102" s="200">
        <v>0</v>
      </c>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row>
    <row r="103" spans="1:131">
      <c r="A103" s="24" t="s">
        <v>429</v>
      </c>
      <c r="B103" s="24"/>
      <c r="C103" s="45">
        <v>14.186046511627907</v>
      </c>
      <c r="D103" s="45">
        <v>65.987461954092865</v>
      </c>
      <c r="E103" s="45">
        <v>0</v>
      </c>
      <c r="F103" s="45">
        <v>15.900946569337281</v>
      </c>
      <c r="G103" s="45">
        <v>0</v>
      </c>
      <c r="H103" s="45">
        <v>-5.6132962216598692</v>
      </c>
      <c r="I103" s="45"/>
      <c r="J103" s="45"/>
      <c r="K103" s="45"/>
      <c r="L103" s="45">
        <v>74.660780013982716</v>
      </c>
      <c r="M103" s="45">
        <v>1.7451431292925229E-2</v>
      </c>
      <c r="N103" s="45">
        <v>1.655733519252868E-2</v>
      </c>
      <c r="O103" s="45">
        <v>0</v>
      </c>
      <c r="P103" s="45">
        <v>0</v>
      </c>
      <c r="Q103" s="45">
        <v>0</v>
      </c>
      <c r="R103" s="45">
        <v>3.170861158755141</v>
      </c>
      <c r="S103" s="45">
        <v>0.78507619849536159</v>
      </c>
      <c r="T103" s="45">
        <v>6.5496932542106405</v>
      </c>
      <c r="U103" s="45">
        <v>11.59878903347202</v>
      </c>
      <c r="V103" s="45">
        <v>0.95405679416023681</v>
      </c>
      <c r="W103" s="45">
        <v>0.23851419854005917</v>
      </c>
      <c r="X103" s="45">
        <v>1.9876183211671601</v>
      </c>
      <c r="Y103" s="45">
        <v>0</v>
      </c>
      <c r="Z103" s="45">
        <v>0</v>
      </c>
      <c r="AA103" s="45">
        <v>0</v>
      </c>
      <c r="AB103" s="45">
        <v>0</v>
      </c>
      <c r="AC103" s="45">
        <v>0</v>
      </c>
      <c r="AD103" s="45">
        <v>0</v>
      </c>
      <c r="AE103" s="45">
        <v>0</v>
      </c>
      <c r="AF103" s="45">
        <v>0</v>
      </c>
      <c r="AG103" s="45">
        <v>-5.6132962216598692</v>
      </c>
      <c r="AH103" s="45">
        <v>4.1249179529153777</v>
      </c>
      <c r="AI103" s="45">
        <v>1.0235903970354208</v>
      </c>
      <c r="AJ103" s="45">
        <v>8.5373115753778013</v>
      </c>
      <c r="AK103" s="45">
        <v>5.9854928118121506</v>
      </c>
      <c r="AL103" s="45">
        <v>19.671312737140749</v>
      </c>
      <c r="AM103" s="45">
        <v>35.808970890561092</v>
      </c>
      <c r="AN103" s="45">
        <v>6.1664368078985143</v>
      </c>
      <c r="AO103" s="45">
        <v>4.1975407698459613</v>
      </c>
      <c r="AP103" s="45">
        <v>0</v>
      </c>
      <c r="AQ103" s="45">
        <v>46.172948468305563</v>
      </c>
      <c r="AR103" s="45">
        <v>4.1249179529153777</v>
      </c>
      <c r="AS103" s="199">
        <v>11.193664697178232</v>
      </c>
      <c r="AT103" s="45">
        <v>35.808970890561092</v>
      </c>
      <c r="AU103" s="45">
        <v>6.9756072487539766</v>
      </c>
      <c r="AV103" s="45">
        <v>4.2784578139315075</v>
      </c>
      <c r="AW103" s="45">
        <v>0</v>
      </c>
      <c r="AX103" s="45">
        <v>47.063035953246576</v>
      </c>
      <c r="AY103" s="45">
        <v>1.0235903970354208</v>
      </c>
      <c r="AZ103" s="199">
        <v>45.978387536218733</v>
      </c>
      <c r="BA103" s="45">
        <v>35.808970890561092</v>
      </c>
      <c r="BB103" s="45">
        <v>13.142044056652491</v>
      </c>
      <c r="BC103" s="45">
        <v>4.8951014947213585</v>
      </c>
      <c r="BD103" s="45">
        <v>0</v>
      </c>
      <c r="BE103" s="45">
        <v>53.846116441934939</v>
      </c>
      <c r="BF103" s="45">
        <v>5.1485083499507986</v>
      </c>
      <c r="BG103" s="45">
        <v>-12.702365076466847</v>
      </c>
      <c r="BH103" s="199">
        <v>10.458585823688043</v>
      </c>
      <c r="BI103" s="45">
        <v>4.065302865582896</v>
      </c>
      <c r="BJ103" s="45">
        <v>1.0087970286318557</v>
      </c>
      <c r="BK103" s="45">
        <v>8.4139266787664528</v>
      </c>
      <c r="BL103" s="45">
        <v>5.8989878968593743</v>
      </c>
      <c r="BM103" s="45">
        <v>19.387014469840576</v>
      </c>
      <c r="BN103" s="45">
        <v>35.808970890561092</v>
      </c>
      <c r="BO103" s="45">
        <v>0</v>
      </c>
      <c r="BP103" s="45">
        <v>13.142044056652491</v>
      </c>
      <c r="BQ103" s="45">
        <v>0</v>
      </c>
      <c r="BR103" s="45">
        <v>0</v>
      </c>
      <c r="BS103" s="45">
        <v>0</v>
      </c>
      <c r="BT103" s="45">
        <v>0</v>
      </c>
      <c r="BU103" s="45">
        <v>0</v>
      </c>
      <c r="BV103" s="45">
        <v>0</v>
      </c>
      <c r="BW103" s="45">
        <v>4.8951014947213585</v>
      </c>
      <c r="BX103" s="45">
        <v>22.104419644933163</v>
      </c>
      <c r="BY103" s="45">
        <v>3.1801893138674564</v>
      </c>
      <c r="BZ103" s="45">
        <v>0</v>
      </c>
      <c r="CA103" s="45">
        <v>-5.6132962216598692</v>
      </c>
      <c r="CB103" s="45">
        <v>53.846116441934939</v>
      </c>
      <c r="CC103" s="45">
        <v>19.671312737140749</v>
      </c>
      <c r="CD103" s="199">
        <v>2.3516049926055604</v>
      </c>
      <c r="CE103" s="45">
        <v>1.6105494991589777</v>
      </c>
      <c r="CF103" s="45">
        <v>0.70928069288407625</v>
      </c>
      <c r="CG103" s="45">
        <v>0</v>
      </c>
      <c r="CH103" s="45">
        <v>0.70928069288407625</v>
      </c>
      <c r="CI103" s="45">
        <v>3.5463870506641786E-2</v>
      </c>
      <c r="CJ103" s="45">
        <v>0</v>
      </c>
      <c r="CK103" s="45">
        <v>3.5463870506641786E-2</v>
      </c>
      <c r="CL103" s="45"/>
      <c r="CM103" s="45">
        <v>0</v>
      </c>
      <c r="CN103" s="45"/>
      <c r="CO103" s="45">
        <v>0</v>
      </c>
      <c r="CP103" s="45">
        <v>0</v>
      </c>
      <c r="CQ103" s="45">
        <v>0</v>
      </c>
      <c r="CR103" s="45">
        <v>0</v>
      </c>
      <c r="CS103" s="45">
        <v>0</v>
      </c>
      <c r="CT103" s="45">
        <v>0</v>
      </c>
      <c r="CU103" s="45">
        <v>8.5373115753778013</v>
      </c>
      <c r="CV103" s="45">
        <v>9999</v>
      </c>
      <c r="CW103" s="200">
        <v>0</v>
      </c>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row>
    <row r="104" spans="1:131">
      <c r="A104" s="24" t="s">
        <v>430</v>
      </c>
      <c r="B104" s="24"/>
      <c r="C104" s="45">
        <v>16.279069767441861</v>
      </c>
      <c r="D104" s="45">
        <v>51.403081848075573</v>
      </c>
      <c r="E104" s="45">
        <v>0</v>
      </c>
      <c r="F104" s="45">
        <v>13.388193469372712</v>
      </c>
      <c r="G104" s="45">
        <v>0</v>
      </c>
      <c r="H104" s="45">
        <v>-3.0955219219923067</v>
      </c>
      <c r="I104" s="45"/>
      <c r="J104" s="45"/>
      <c r="K104" s="45"/>
      <c r="L104" s="45">
        <v>58.159445328717929</v>
      </c>
      <c r="M104" s="45">
        <v>1.3594360573231034E-2</v>
      </c>
      <c r="N104" s="45">
        <v>1.2897875306670808E-2</v>
      </c>
      <c r="O104" s="45">
        <v>0</v>
      </c>
      <c r="P104" s="45">
        <v>0</v>
      </c>
      <c r="Q104" s="45">
        <v>0</v>
      </c>
      <c r="R104" s="45">
        <v>2.6697846240044618</v>
      </c>
      <c r="S104" s="45">
        <v>0.66101423508485024</v>
      </c>
      <c r="T104" s="45">
        <v>5.5146754987223439</v>
      </c>
      <c r="U104" s="45">
        <v>7.8568231022194386</v>
      </c>
      <c r="V104" s="45">
        <v>0.80329160816236278</v>
      </c>
      <c r="W104" s="45">
        <v>0.20082290204059067</v>
      </c>
      <c r="X104" s="45">
        <v>1.6735241836715891</v>
      </c>
      <c r="Y104" s="45">
        <v>0</v>
      </c>
      <c r="Z104" s="45">
        <v>0</v>
      </c>
      <c r="AA104" s="45">
        <v>0</v>
      </c>
      <c r="AB104" s="45">
        <v>0</v>
      </c>
      <c r="AC104" s="45">
        <v>0</v>
      </c>
      <c r="AD104" s="45">
        <v>0</v>
      </c>
      <c r="AE104" s="45">
        <v>0</v>
      </c>
      <c r="AF104" s="45">
        <v>0</v>
      </c>
      <c r="AG104" s="45">
        <v>-3.0955219219923067</v>
      </c>
      <c r="AH104" s="45">
        <v>3.4730762321668247</v>
      </c>
      <c r="AI104" s="45">
        <v>0.86183713712544097</v>
      </c>
      <c r="AJ104" s="45">
        <v>7.1881996823939325</v>
      </c>
      <c r="AK104" s="45">
        <v>4.7613011802271323</v>
      </c>
      <c r="AL104" s="45">
        <v>16.284414231913335</v>
      </c>
      <c r="AM104" s="45">
        <v>27.89456371065501</v>
      </c>
      <c r="AN104" s="45">
        <v>4.8035467126756632</v>
      </c>
      <c r="AO104" s="45">
        <v>3.2698110423330675</v>
      </c>
      <c r="AP104" s="45">
        <v>0</v>
      </c>
      <c r="AQ104" s="45">
        <v>35.967921465663743</v>
      </c>
      <c r="AR104" s="45">
        <v>3.4730762321668247</v>
      </c>
      <c r="AS104" s="199">
        <v>10.356214220850442</v>
      </c>
      <c r="AT104" s="45">
        <v>27.89456371065501</v>
      </c>
      <c r="AU104" s="45">
        <v>5.4338763718050505</v>
      </c>
      <c r="AV104" s="45">
        <v>3.3328440082460062</v>
      </c>
      <c r="AW104" s="45">
        <v>0</v>
      </c>
      <c r="AX104" s="45">
        <v>36.661284090706069</v>
      </c>
      <c r="AY104" s="45">
        <v>0.86183713712544097</v>
      </c>
      <c r="AZ104" s="199">
        <v>42.538529046201909</v>
      </c>
      <c r="BA104" s="45">
        <v>27.89456371065501</v>
      </c>
      <c r="BB104" s="45">
        <v>10.237423084480714</v>
      </c>
      <c r="BC104" s="45">
        <v>3.8131986795135724</v>
      </c>
      <c r="BD104" s="45">
        <v>0</v>
      </c>
      <c r="BE104" s="45">
        <v>41.945185474649293</v>
      </c>
      <c r="BF104" s="45">
        <v>4.3349133692922655</v>
      </c>
      <c r="BG104" s="45">
        <v>-12.292050333769687</v>
      </c>
      <c r="BH104" s="199">
        <v>9.6761300402866937</v>
      </c>
      <c r="BI104" s="45">
        <v>4.3940417028256373</v>
      </c>
      <c r="BJ104" s="45">
        <v>1.0903729340862749</v>
      </c>
      <c r="BK104" s="45">
        <v>9.0943149707287461</v>
      </c>
      <c r="BL104" s="45">
        <v>6.0238689124823139</v>
      </c>
      <c r="BM104" s="45">
        <v>20.602598520122978</v>
      </c>
      <c r="BN104" s="45">
        <v>27.89456371065501</v>
      </c>
      <c r="BO104" s="45">
        <v>0</v>
      </c>
      <c r="BP104" s="45">
        <v>10.237423084480714</v>
      </c>
      <c r="BQ104" s="45">
        <v>0</v>
      </c>
      <c r="BR104" s="45">
        <v>0</v>
      </c>
      <c r="BS104" s="45">
        <v>0</v>
      </c>
      <c r="BT104" s="45">
        <v>0</v>
      </c>
      <c r="BU104" s="45">
        <v>0</v>
      </c>
      <c r="BV104" s="45">
        <v>0</v>
      </c>
      <c r="BW104" s="45">
        <v>3.8131986795135724</v>
      </c>
      <c r="BX104" s="45">
        <v>16.702297460031097</v>
      </c>
      <c r="BY104" s="45">
        <v>2.6776386938745427</v>
      </c>
      <c r="BZ104" s="45">
        <v>0</v>
      </c>
      <c r="CA104" s="45">
        <v>-3.0955219219923067</v>
      </c>
      <c r="CB104" s="45">
        <v>41.9451854746493</v>
      </c>
      <c r="CC104" s="45">
        <v>16.284414231913335</v>
      </c>
      <c r="CD104" s="199">
        <v>2.3240895655667342</v>
      </c>
      <c r="CE104" s="45">
        <v>2.8261335494413684</v>
      </c>
      <c r="CF104" s="45">
        <v>0.55251728782877529</v>
      </c>
      <c r="CG104" s="45">
        <v>0</v>
      </c>
      <c r="CH104" s="45">
        <v>0.55251728782877529</v>
      </c>
      <c r="CI104" s="45">
        <v>2.7625736531141015E-2</v>
      </c>
      <c r="CJ104" s="45">
        <v>0</v>
      </c>
      <c r="CK104" s="45">
        <v>2.7625736531141015E-2</v>
      </c>
      <c r="CL104" s="45"/>
      <c r="CM104" s="45">
        <v>0</v>
      </c>
      <c r="CN104" s="45"/>
      <c r="CO104" s="45">
        <v>0</v>
      </c>
      <c r="CP104" s="45">
        <v>0</v>
      </c>
      <c r="CQ104" s="45">
        <v>0</v>
      </c>
      <c r="CR104" s="45">
        <v>0</v>
      </c>
      <c r="CS104" s="45">
        <v>0</v>
      </c>
      <c r="CT104" s="45">
        <v>0</v>
      </c>
      <c r="CU104" s="45">
        <v>7.1881996823939325</v>
      </c>
      <c r="CV104" s="45">
        <v>9999</v>
      </c>
      <c r="CW104" s="200">
        <v>0</v>
      </c>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row>
    <row r="105" spans="1:131">
      <c r="A105" s="24" t="s">
        <v>431</v>
      </c>
      <c r="B105" s="24"/>
      <c r="C105" s="45">
        <v>16.744186046511629</v>
      </c>
      <c r="D105" s="45">
        <v>66.935750455655011</v>
      </c>
      <c r="E105" s="45">
        <v>0</v>
      </c>
      <c r="F105" s="45">
        <v>19.271398161973615</v>
      </c>
      <c r="G105" s="45">
        <v>0</v>
      </c>
      <c r="H105" s="45">
        <v>-5.9700810224120291</v>
      </c>
      <c r="I105" s="45"/>
      <c r="J105" s="45"/>
      <c r="K105" s="45"/>
      <c r="L105" s="45">
        <v>75.7337104936271</v>
      </c>
      <c r="M105" s="45">
        <v>1.770222123302621E-2</v>
      </c>
      <c r="N105" s="45">
        <v>1.679527631216908E-2</v>
      </c>
      <c r="O105" s="45">
        <v>0</v>
      </c>
      <c r="P105" s="45">
        <v>0</v>
      </c>
      <c r="Q105" s="45">
        <v>0</v>
      </c>
      <c r="R105" s="45">
        <v>3.8429742305117474</v>
      </c>
      <c r="S105" s="45">
        <v>0.95148524288911629</v>
      </c>
      <c r="T105" s="45">
        <v>7.9380020548013572</v>
      </c>
      <c r="U105" s="45">
        <v>10.794739363400179</v>
      </c>
      <c r="V105" s="45">
        <v>1.1562838897184169</v>
      </c>
      <c r="W105" s="45">
        <v>0.28907097242960417</v>
      </c>
      <c r="X105" s="45">
        <v>2.4089247702467018</v>
      </c>
      <c r="Y105" s="45">
        <v>0</v>
      </c>
      <c r="Z105" s="45">
        <v>0</v>
      </c>
      <c r="AA105" s="45">
        <v>0</v>
      </c>
      <c r="AB105" s="45">
        <v>0</v>
      </c>
      <c r="AC105" s="45">
        <v>0</v>
      </c>
      <c r="AD105" s="45">
        <v>0</v>
      </c>
      <c r="AE105" s="45">
        <v>0</v>
      </c>
      <c r="AF105" s="45">
        <v>0</v>
      </c>
      <c r="AG105" s="45">
        <v>-5.9700810224120291</v>
      </c>
      <c r="AH105" s="45">
        <v>4.9992581202301647</v>
      </c>
      <c r="AI105" s="45">
        <v>1.2405562153187204</v>
      </c>
      <c r="AJ105" s="45">
        <v>10.346926825048058</v>
      </c>
      <c r="AK105" s="45">
        <v>4.8246583409881501</v>
      </c>
      <c r="AL105" s="45">
        <v>21.411399501585091</v>
      </c>
      <c r="AM105" s="45">
        <v>36.323572215459947</v>
      </c>
      <c r="AN105" s="45">
        <v>6.2550530532787034</v>
      </c>
      <c r="AO105" s="45">
        <v>4.2578625268738657</v>
      </c>
      <c r="AP105" s="45">
        <v>0</v>
      </c>
      <c r="AQ105" s="45">
        <v>46.836487795612513</v>
      </c>
      <c r="AR105" s="45">
        <v>4.9992581202301647</v>
      </c>
      <c r="AS105" s="199">
        <v>9.3686876470895584</v>
      </c>
      <c r="AT105" s="45">
        <v>36.323572215459947</v>
      </c>
      <c r="AU105" s="45">
        <v>7.0758518702247777</v>
      </c>
      <c r="AV105" s="45">
        <v>4.339942408568473</v>
      </c>
      <c r="AW105" s="45">
        <v>0</v>
      </c>
      <c r="AX105" s="45">
        <v>47.739366494253204</v>
      </c>
      <c r="AY105" s="45">
        <v>1.2405562153187204</v>
      </c>
      <c r="AZ105" s="199">
        <v>38.482227491793374</v>
      </c>
      <c r="BA105" s="45">
        <v>36.323572215459947</v>
      </c>
      <c r="BB105" s="45">
        <v>13.330904923503482</v>
      </c>
      <c r="BC105" s="45">
        <v>4.9654477138963431</v>
      </c>
      <c r="BD105" s="45">
        <v>0</v>
      </c>
      <c r="BE105" s="45">
        <v>54.619924852859775</v>
      </c>
      <c r="BF105" s="45">
        <v>6.2398143355488838</v>
      </c>
      <c r="BG105" s="45">
        <v>-11.71395387037056</v>
      </c>
      <c r="BH105" s="199">
        <v>8.7534535349368134</v>
      </c>
      <c r="BI105" s="45">
        <v>4.8572050733220147</v>
      </c>
      <c r="BJ105" s="45">
        <v>1.2053060269890261</v>
      </c>
      <c r="BK105" s="45">
        <v>10.052920705282817</v>
      </c>
      <c r="BL105" s="45">
        <v>4.6875665163322493</v>
      </c>
      <c r="BM105" s="45">
        <v>20.802998321926108</v>
      </c>
      <c r="BN105" s="45">
        <v>36.323572215459947</v>
      </c>
      <c r="BO105" s="45">
        <v>0</v>
      </c>
      <c r="BP105" s="45">
        <v>13.330904923503482</v>
      </c>
      <c r="BQ105" s="45">
        <v>0</v>
      </c>
      <c r="BR105" s="45">
        <v>0</v>
      </c>
      <c r="BS105" s="45">
        <v>0</v>
      </c>
      <c r="BT105" s="45">
        <v>0</v>
      </c>
      <c r="BU105" s="45">
        <v>0</v>
      </c>
      <c r="BV105" s="45">
        <v>0</v>
      </c>
      <c r="BW105" s="45">
        <v>4.9654477138963431</v>
      </c>
      <c r="BX105" s="45">
        <v>23.527200891602398</v>
      </c>
      <c r="BY105" s="45">
        <v>3.8542796323947233</v>
      </c>
      <c r="BZ105" s="45">
        <v>0</v>
      </c>
      <c r="CA105" s="45">
        <v>-5.9700810224120291</v>
      </c>
      <c r="CB105" s="45">
        <v>54.619924852859768</v>
      </c>
      <c r="CC105" s="45">
        <v>21.411399501585095</v>
      </c>
      <c r="CD105" s="199">
        <v>2.2128097062600665</v>
      </c>
      <c r="CE105" s="45">
        <v>3.0265333512445136</v>
      </c>
      <c r="CF105" s="45">
        <v>0.71947357961625447</v>
      </c>
      <c r="CG105" s="45">
        <v>0</v>
      </c>
      <c r="CH105" s="45">
        <v>0.71947357961625447</v>
      </c>
      <c r="CI105" s="45">
        <v>3.5973512484472864E-2</v>
      </c>
      <c r="CJ105" s="45">
        <v>0</v>
      </c>
      <c r="CK105" s="45">
        <v>3.5973512484472864E-2</v>
      </c>
      <c r="CL105" s="45"/>
      <c r="CM105" s="45">
        <v>0</v>
      </c>
      <c r="CN105" s="45"/>
      <c r="CO105" s="45">
        <v>0</v>
      </c>
      <c r="CP105" s="45">
        <v>0</v>
      </c>
      <c r="CQ105" s="45">
        <v>0</v>
      </c>
      <c r="CR105" s="45">
        <v>0</v>
      </c>
      <c r="CS105" s="45">
        <v>0</v>
      </c>
      <c r="CT105" s="45">
        <v>0</v>
      </c>
      <c r="CU105" s="45">
        <v>10.346926825048058</v>
      </c>
      <c r="CV105" s="45">
        <v>9999</v>
      </c>
      <c r="CW105" s="200">
        <v>0</v>
      </c>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row>
    <row r="106" spans="1:131">
      <c r="A106" s="24" t="s">
        <v>432</v>
      </c>
      <c r="B106" s="24"/>
      <c r="C106" s="45">
        <v>16.279069767441861</v>
      </c>
      <c r="D106" s="45">
        <v>130.19651169604927</v>
      </c>
      <c r="E106" s="45">
        <v>0</v>
      </c>
      <c r="F106" s="45">
        <v>35.88243373990732</v>
      </c>
      <c r="G106" s="45">
        <v>0</v>
      </c>
      <c r="H106" s="45">
        <v>-6.2631594097944996</v>
      </c>
      <c r="I106" s="45"/>
      <c r="J106" s="45"/>
      <c r="K106" s="45"/>
      <c r="L106" s="45">
        <v>147.30939530738755</v>
      </c>
      <c r="M106" s="45">
        <v>3.4432533259467366E-2</v>
      </c>
      <c r="N106" s="45">
        <v>3.2668437627578137E-2</v>
      </c>
      <c r="O106" s="45">
        <v>0</v>
      </c>
      <c r="P106" s="45">
        <v>0</v>
      </c>
      <c r="Q106" s="45">
        <v>0</v>
      </c>
      <c r="R106" s="45">
        <v>7.1554366233065796</v>
      </c>
      <c r="S106" s="45">
        <v>1.7716206107887216</v>
      </c>
      <c r="T106" s="45">
        <v>14.780185140935695</v>
      </c>
      <c r="U106" s="45">
        <v>21.057503763782343</v>
      </c>
      <c r="V106" s="45">
        <v>2.1529460243944394</v>
      </c>
      <c r="W106" s="45">
        <v>0.53823650609860973</v>
      </c>
      <c r="X106" s="45">
        <v>4.485304217488415</v>
      </c>
      <c r="Y106" s="45">
        <v>0</v>
      </c>
      <c r="Z106" s="45">
        <v>0</v>
      </c>
      <c r="AA106" s="45">
        <v>0</v>
      </c>
      <c r="AB106" s="45">
        <v>0</v>
      </c>
      <c r="AC106" s="45">
        <v>0</v>
      </c>
      <c r="AD106" s="45">
        <v>0</v>
      </c>
      <c r="AE106" s="45">
        <v>0</v>
      </c>
      <c r="AF106" s="45">
        <v>0</v>
      </c>
      <c r="AG106" s="45">
        <v>-6.2631594097944996</v>
      </c>
      <c r="AH106" s="45">
        <v>9.3083826477010199</v>
      </c>
      <c r="AI106" s="45">
        <v>2.3098571168873314</v>
      </c>
      <c r="AJ106" s="45">
        <v>19.265489358424109</v>
      </c>
      <c r="AK106" s="45">
        <v>14.794344353987842</v>
      </c>
      <c r="AL106" s="45">
        <v>45.678073477000304</v>
      </c>
      <c r="AM106" s="45">
        <v>70.652862821423369</v>
      </c>
      <c r="AN106" s="45">
        <v>12.166683460882998</v>
      </c>
      <c r="AO106" s="45">
        <v>8.281954628230638</v>
      </c>
      <c r="AP106" s="45">
        <v>0</v>
      </c>
      <c r="AQ106" s="45">
        <v>91.101500910536998</v>
      </c>
      <c r="AR106" s="45">
        <v>9.3083826477010199</v>
      </c>
      <c r="AS106" s="199">
        <v>9.7870386681017258</v>
      </c>
      <c r="AT106" s="45">
        <v>70.652862821423369</v>
      </c>
      <c r="AU106" s="45">
        <v>13.763216584709271</v>
      </c>
      <c r="AV106" s="45">
        <v>8.4416079406132649</v>
      </c>
      <c r="AW106" s="45">
        <v>0</v>
      </c>
      <c r="AX106" s="45">
        <v>92.857687346745905</v>
      </c>
      <c r="AY106" s="45">
        <v>2.3098571168873314</v>
      </c>
      <c r="AZ106" s="199">
        <v>40.200619626151209</v>
      </c>
      <c r="BA106" s="45">
        <v>70.652862821423369</v>
      </c>
      <c r="BB106" s="45">
        <v>25.929900045592269</v>
      </c>
      <c r="BC106" s="45">
        <v>9.6582762867015646</v>
      </c>
      <c r="BD106" s="45">
        <v>0</v>
      </c>
      <c r="BE106" s="45">
        <v>106.2410391537172</v>
      </c>
      <c r="BF106" s="45">
        <v>11.618239764588349</v>
      </c>
      <c r="BG106" s="45">
        <v>-11.973098418044508</v>
      </c>
      <c r="BH106" s="199">
        <v>9.1443317840223166</v>
      </c>
      <c r="BI106" s="45">
        <v>4.6495818309297521</v>
      </c>
      <c r="BJ106" s="45">
        <v>1.1537847217073358</v>
      </c>
      <c r="BK106" s="45">
        <v>9.6232044464805888</v>
      </c>
      <c r="BL106" s="45">
        <v>7.3898460465426972</v>
      </c>
      <c r="BM106" s="45">
        <v>22.816417045660376</v>
      </c>
      <c r="BN106" s="45">
        <v>70.652862821423369</v>
      </c>
      <c r="BO106" s="45">
        <v>0</v>
      </c>
      <c r="BP106" s="45">
        <v>25.929900045592269</v>
      </c>
      <c r="BQ106" s="45">
        <v>0</v>
      </c>
      <c r="BR106" s="45">
        <v>0</v>
      </c>
      <c r="BS106" s="45">
        <v>0</v>
      </c>
      <c r="BT106" s="45">
        <v>0</v>
      </c>
      <c r="BU106" s="45">
        <v>0</v>
      </c>
      <c r="BV106" s="45">
        <v>0</v>
      </c>
      <c r="BW106" s="45">
        <v>9.6582762867015646</v>
      </c>
      <c r="BX106" s="45">
        <v>44.764746138813337</v>
      </c>
      <c r="BY106" s="45">
        <v>7.176486747981464</v>
      </c>
      <c r="BZ106" s="45">
        <v>0</v>
      </c>
      <c r="CA106" s="45">
        <v>-6.2631594097944996</v>
      </c>
      <c r="CB106" s="45">
        <v>106.2410391537172</v>
      </c>
      <c r="CC106" s="45">
        <v>45.678073477000304</v>
      </c>
      <c r="CD106" s="199">
        <v>2.1659901452226413</v>
      </c>
      <c r="CE106" s="45">
        <v>5.0399520749787783</v>
      </c>
      <c r="CF106" s="45">
        <v>1.3994457324500227</v>
      </c>
      <c r="CG106" s="45">
        <v>0</v>
      </c>
      <c r="CH106" s="45">
        <v>1.3994457324500227</v>
      </c>
      <c r="CI106" s="45">
        <v>6.9971962771009089E-2</v>
      </c>
      <c r="CJ106" s="45">
        <v>0</v>
      </c>
      <c r="CK106" s="45">
        <v>6.9971962771009089E-2</v>
      </c>
      <c r="CL106" s="45"/>
      <c r="CM106" s="45">
        <v>0</v>
      </c>
      <c r="CN106" s="45"/>
      <c r="CO106" s="45">
        <v>0</v>
      </c>
      <c r="CP106" s="45">
        <v>0</v>
      </c>
      <c r="CQ106" s="45">
        <v>0</v>
      </c>
      <c r="CR106" s="45">
        <v>0</v>
      </c>
      <c r="CS106" s="45">
        <v>0</v>
      </c>
      <c r="CT106" s="45">
        <v>0</v>
      </c>
      <c r="CU106" s="45">
        <v>19.265489358424109</v>
      </c>
      <c r="CV106" s="45">
        <v>9999</v>
      </c>
      <c r="CW106" s="200">
        <v>0</v>
      </c>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row>
    <row r="107" spans="1:131">
      <c r="A107" s="24" t="s">
        <v>433</v>
      </c>
      <c r="B107" s="24"/>
      <c r="C107" s="45">
        <v>16.279069767441861</v>
      </c>
      <c r="D107" s="45">
        <v>51.403081848075573</v>
      </c>
      <c r="E107" s="45">
        <v>0</v>
      </c>
      <c r="F107" s="45">
        <v>14.529979530207335</v>
      </c>
      <c r="G107" s="45">
        <v>0</v>
      </c>
      <c r="H107" s="45">
        <v>-3.0955219219923067</v>
      </c>
      <c r="I107" s="45"/>
      <c r="J107" s="45"/>
      <c r="K107" s="45"/>
      <c r="L107" s="45">
        <v>58.159445328717929</v>
      </c>
      <c r="M107" s="45">
        <v>1.3594360573231034E-2</v>
      </c>
      <c r="N107" s="45">
        <v>1.2897875306670808E-2</v>
      </c>
      <c r="O107" s="45">
        <v>0</v>
      </c>
      <c r="P107" s="45">
        <v>0</v>
      </c>
      <c r="Q107" s="45">
        <v>0</v>
      </c>
      <c r="R107" s="45">
        <v>2.8974720170864594</v>
      </c>
      <c r="S107" s="45">
        <v>0.71738754948008243</v>
      </c>
      <c r="T107" s="45">
        <v>5.9849838811692866</v>
      </c>
      <c r="U107" s="45">
        <v>8.5268769911985256</v>
      </c>
      <c r="V107" s="45">
        <v>0.87179877181244014</v>
      </c>
      <c r="W107" s="45">
        <v>0.21794969295310998</v>
      </c>
      <c r="X107" s="45">
        <v>1.8162474412759169</v>
      </c>
      <c r="Y107" s="45">
        <v>0</v>
      </c>
      <c r="Z107" s="45">
        <v>0</v>
      </c>
      <c r="AA107" s="45">
        <v>0</v>
      </c>
      <c r="AB107" s="45">
        <v>0</v>
      </c>
      <c r="AC107" s="45">
        <v>0</v>
      </c>
      <c r="AD107" s="45">
        <v>0</v>
      </c>
      <c r="AE107" s="45">
        <v>0</v>
      </c>
      <c r="AF107" s="45">
        <v>0</v>
      </c>
      <c r="AG107" s="45">
        <v>-3.0955219219923067</v>
      </c>
      <c r="AH107" s="45">
        <v>3.7692707888988997</v>
      </c>
      <c r="AI107" s="45">
        <v>0.93533724243319238</v>
      </c>
      <c r="AJ107" s="45">
        <v>7.8012313224452035</v>
      </c>
      <c r="AK107" s="45">
        <v>5.4313550692062194</v>
      </c>
      <c r="AL107" s="45">
        <v>17.937194422983517</v>
      </c>
      <c r="AM107" s="45">
        <v>27.89456371065501</v>
      </c>
      <c r="AN107" s="45">
        <v>4.8035467126756632</v>
      </c>
      <c r="AO107" s="45">
        <v>3.2698110423330675</v>
      </c>
      <c r="AP107" s="45">
        <v>0</v>
      </c>
      <c r="AQ107" s="45">
        <v>35.967921465663743</v>
      </c>
      <c r="AR107" s="45">
        <v>3.7692707888988997</v>
      </c>
      <c r="AS107" s="199">
        <v>9.5424084604361603</v>
      </c>
      <c r="AT107" s="45">
        <v>27.89456371065501</v>
      </c>
      <c r="AU107" s="45">
        <v>5.4338763718050505</v>
      </c>
      <c r="AV107" s="45">
        <v>3.3328440082460062</v>
      </c>
      <c r="AW107" s="45">
        <v>0</v>
      </c>
      <c r="AX107" s="45">
        <v>36.661284090706069</v>
      </c>
      <c r="AY107" s="45">
        <v>0.93533724243319238</v>
      </c>
      <c r="AZ107" s="199">
        <v>39.195792092417022</v>
      </c>
      <c r="BA107" s="45">
        <v>27.89456371065501</v>
      </c>
      <c r="BB107" s="45">
        <v>10.237423084480714</v>
      </c>
      <c r="BC107" s="45">
        <v>3.8131986795135724</v>
      </c>
      <c r="BD107" s="45">
        <v>0</v>
      </c>
      <c r="BE107" s="45">
        <v>41.945185474649293</v>
      </c>
      <c r="BF107" s="45">
        <v>4.7046080313320919</v>
      </c>
      <c r="BG107" s="45">
        <v>-11.824322690111964</v>
      </c>
      <c r="BH107" s="199">
        <v>8.9157662434999221</v>
      </c>
      <c r="BI107" s="45">
        <v>4.7687790098782674</v>
      </c>
      <c r="BJ107" s="45">
        <v>1.1833632706913662</v>
      </c>
      <c r="BK107" s="45">
        <v>9.86990594871782</v>
      </c>
      <c r="BL107" s="45">
        <v>6.8716028908055353</v>
      </c>
      <c r="BM107" s="45">
        <v>22.693651120092991</v>
      </c>
      <c r="BN107" s="45">
        <v>27.89456371065501</v>
      </c>
      <c r="BO107" s="45">
        <v>0</v>
      </c>
      <c r="BP107" s="45">
        <v>10.237423084480714</v>
      </c>
      <c r="BQ107" s="45">
        <v>0</v>
      </c>
      <c r="BR107" s="45">
        <v>0</v>
      </c>
      <c r="BS107" s="45">
        <v>0</v>
      </c>
      <c r="BT107" s="45">
        <v>0</v>
      </c>
      <c r="BU107" s="45">
        <v>0</v>
      </c>
      <c r="BV107" s="45">
        <v>0</v>
      </c>
      <c r="BW107" s="45">
        <v>3.8131986795135724</v>
      </c>
      <c r="BX107" s="45">
        <v>18.126720438934356</v>
      </c>
      <c r="BY107" s="45">
        <v>2.9059959060414671</v>
      </c>
      <c r="BZ107" s="45">
        <v>0</v>
      </c>
      <c r="CA107" s="45">
        <v>-3.0955219219923067</v>
      </c>
      <c r="CB107" s="45">
        <v>41.9451854746493</v>
      </c>
      <c r="CC107" s="45">
        <v>17.937194422983517</v>
      </c>
      <c r="CD107" s="199">
        <v>2.1414593653948395</v>
      </c>
      <c r="CE107" s="45">
        <v>4.9171861494113838</v>
      </c>
      <c r="CF107" s="45">
        <v>0.55251728782877529</v>
      </c>
      <c r="CG107" s="45">
        <v>0</v>
      </c>
      <c r="CH107" s="45">
        <v>0.55251728782877529</v>
      </c>
      <c r="CI107" s="45">
        <v>2.7625736531141015E-2</v>
      </c>
      <c r="CJ107" s="45">
        <v>0</v>
      </c>
      <c r="CK107" s="45">
        <v>2.7625736531141015E-2</v>
      </c>
      <c r="CL107" s="45"/>
      <c r="CM107" s="45">
        <v>0</v>
      </c>
      <c r="CN107" s="45"/>
      <c r="CO107" s="45">
        <v>0</v>
      </c>
      <c r="CP107" s="45">
        <v>0</v>
      </c>
      <c r="CQ107" s="45">
        <v>0</v>
      </c>
      <c r="CR107" s="45">
        <v>0</v>
      </c>
      <c r="CS107" s="45">
        <v>0</v>
      </c>
      <c r="CT107" s="45">
        <v>0</v>
      </c>
      <c r="CU107" s="45">
        <v>7.8012313224452035</v>
      </c>
      <c r="CV107" s="45">
        <v>9999</v>
      </c>
      <c r="CW107" s="200">
        <v>0</v>
      </c>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row>
    <row r="108" spans="1:131">
      <c r="A108" s="24" t="s">
        <v>434</v>
      </c>
      <c r="B108" s="24"/>
      <c r="C108" s="45">
        <v>16.279069767441861</v>
      </c>
      <c r="D108" s="45">
        <v>6.2518603404583653</v>
      </c>
      <c r="E108" s="45">
        <v>0</v>
      </c>
      <c r="F108" s="45">
        <v>1.947148610061336</v>
      </c>
      <c r="G108" s="45">
        <v>0</v>
      </c>
      <c r="H108" s="45">
        <v>-0.16539163790882275</v>
      </c>
      <c r="I108" s="45"/>
      <c r="J108" s="45"/>
      <c r="K108" s="45"/>
      <c r="L108" s="45">
        <v>7.0735978583603307</v>
      </c>
      <c r="M108" s="45">
        <v>1.6534036611436324E-3</v>
      </c>
      <c r="N108" s="45">
        <v>1.5686941756580951E-3</v>
      </c>
      <c r="O108" s="45">
        <v>0</v>
      </c>
      <c r="P108" s="45">
        <v>0</v>
      </c>
      <c r="Q108" s="45">
        <v>0</v>
      </c>
      <c r="R108" s="45">
        <v>0.38828744383516756</v>
      </c>
      <c r="S108" s="45">
        <v>9.6136416912455058E-2</v>
      </c>
      <c r="T108" s="45">
        <v>0.80204194515420524</v>
      </c>
      <c r="U108" s="45">
        <v>1.1426786009614753</v>
      </c>
      <c r="V108" s="45">
        <v>0.11682891660368017</v>
      </c>
      <c r="W108" s="45">
        <v>2.9207229150920035E-2</v>
      </c>
      <c r="X108" s="45">
        <v>0.243393576257667</v>
      </c>
      <c r="Y108" s="45">
        <v>0</v>
      </c>
      <c r="Z108" s="45">
        <v>0</v>
      </c>
      <c r="AA108" s="45">
        <v>0</v>
      </c>
      <c r="AB108" s="45">
        <v>0</v>
      </c>
      <c r="AC108" s="45">
        <v>0</v>
      </c>
      <c r="AD108" s="45">
        <v>0</v>
      </c>
      <c r="AE108" s="45">
        <v>0</v>
      </c>
      <c r="AF108" s="45">
        <v>0</v>
      </c>
      <c r="AG108" s="45">
        <v>-0.16539163790882275</v>
      </c>
      <c r="AH108" s="45">
        <v>0.50511636043884778</v>
      </c>
      <c r="AI108" s="45">
        <v>0.12534364606337509</v>
      </c>
      <c r="AJ108" s="45">
        <v>1.0454355214118722</v>
      </c>
      <c r="AK108" s="45">
        <v>0.97728696305265261</v>
      </c>
      <c r="AL108" s="45">
        <v>2.6531824909667474</v>
      </c>
      <c r="AM108" s="45">
        <v>3.39265488190884</v>
      </c>
      <c r="AN108" s="45">
        <v>0.58422767870756454</v>
      </c>
      <c r="AO108" s="45">
        <v>0.39768825606164049</v>
      </c>
      <c r="AP108" s="45">
        <v>0</v>
      </c>
      <c r="AQ108" s="45">
        <v>4.3745708166780455</v>
      </c>
      <c r="AR108" s="45">
        <v>0.50511636043884778</v>
      </c>
      <c r="AS108" s="199">
        <v>8.6605209399224279</v>
      </c>
      <c r="AT108" s="45">
        <v>3.39265488190884</v>
      </c>
      <c r="AU108" s="45">
        <v>0.66089103926195092</v>
      </c>
      <c r="AV108" s="45">
        <v>0.40535459211707914</v>
      </c>
      <c r="AW108" s="45">
        <v>0</v>
      </c>
      <c r="AX108" s="45">
        <v>4.4589005132878698</v>
      </c>
      <c r="AY108" s="45">
        <v>0.12534364606337509</v>
      </c>
      <c r="AZ108" s="199">
        <v>35.573406816596048</v>
      </c>
      <c r="BA108" s="45">
        <v>3.39265488190884</v>
      </c>
      <c r="BB108" s="45">
        <v>1.2451187179695156</v>
      </c>
      <c r="BC108" s="45">
        <v>0.46377735998783559</v>
      </c>
      <c r="BD108" s="45">
        <v>0</v>
      </c>
      <c r="BE108" s="45">
        <v>5.1015509598661906</v>
      </c>
      <c r="BF108" s="45">
        <v>0.63046000650222278</v>
      </c>
      <c r="BG108" s="45">
        <v>-11.218225200830503</v>
      </c>
      <c r="BH108" s="199">
        <v>8.0917915605297068</v>
      </c>
      <c r="BI108" s="45">
        <v>5.2543764382631206</v>
      </c>
      <c r="BJ108" s="45">
        <v>1.3038633315879782</v>
      </c>
      <c r="BK108" s="45">
        <v>10.874943283677087</v>
      </c>
      <c r="BL108" s="45">
        <v>10.166040924954865</v>
      </c>
      <c r="BM108" s="45">
        <v>27.59922397848305</v>
      </c>
      <c r="BN108" s="45">
        <v>3.39265488190884</v>
      </c>
      <c r="BO108" s="45">
        <v>0</v>
      </c>
      <c r="BP108" s="45">
        <v>1.2451187179695156</v>
      </c>
      <c r="BQ108" s="45">
        <v>0</v>
      </c>
      <c r="BR108" s="45">
        <v>0</v>
      </c>
      <c r="BS108" s="45">
        <v>0</v>
      </c>
      <c r="BT108" s="45">
        <v>0</v>
      </c>
      <c r="BU108" s="45">
        <v>0</v>
      </c>
      <c r="BV108" s="45">
        <v>0</v>
      </c>
      <c r="BW108" s="45">
        <v>0.46377735998783559</v>
      </c>
      <c r="BX108" s="45">
        <v>2.429144406863303</v>
      </c>
      <c r="BY108" s="45">
        <v>0.38942972201226722</v>
      </c>
      <c r="BZ108" s="45">
        <v>0</v>
      </c>
      <c r="CA108" s="45">
        <v>-0.16539163790882275</v>
      </c>
      <c r="CB108" s="45">
        <v>5.1015509598661914</v>
      </c>
      <c r="CC108" s="45">
        <v>2.6531824909667474</v>
      </c>
      <c r="CD108" s="199">
        <v>1.8686549854469094</v>
      </c>
      <c r="CE108" s="45">
        <v>9.8227590078014355</v>
      </c>
      <c r="CF108" s="45">
        <v>6.7199490672632839E-2</v>
      </c>
      <c r="CG108" s="45">
        <v>0</v>
      </c>
      <c r="CH108" s="45">
        <v>6.7199490672632839E-2</v>
      </c>
      <c r="CI108" s="45">
        <v>3.3599589827211559E-3</v>
      </c>
      <c r="CJ108" s="45">
        <v>0</v>
      </c>
      <c r="CK108" s="45">
        <v>3.3599589827211559E-3</v>
      </c>
      <c r="CL108" s="45"/>
      <c r="CM108" s="45">
        <v>0</v>
      </c>
      <c r="CN108" s="45"/>
      <c r="CO108" s="45">
        <v>0</v>
      </c>
      <c r="CP108" s="45">
        <v>0</v>
      </c>
      <c r="CQ108" s="45">
        <v>0</v>
      </c>
      <c r="CR108" s="45">
        <v>0</v>
      </c>
      <c r="CS108" s="45">
        <v>0</v>
      </c>
      <c r="CT108" s="45">
        <v>0</v>
      </c>
      <c r="CU108" s="45">
        <v>1.0454355214118722</v>
      </c>
      <c r="CV108" s="45">
        <v>9999</v>
      </c>
      <c r="CW108" s="200">
        <v>0</v>
      </c>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row>
    <row r="109" spans="1:131">
      <c r="A109" s="24" t="s">
        <v>435</v>
      </c>
      <c r="B109" s="24"/>
      <c r="C109" s="45">
        <v>16.279069767441861</v>
      </c>
      <c r="D109" s="45">
        <v>6.2518603404583653</v>
      </c>
      <c r="E109" s="45">
        <v>0</v>
      </c>
      <c r="F109" s="45">
        <v>2.008153465301179</v>
      </c>
      <c r="G109" s="45">
        <v>0</v>
      </c>
      <c r="H109" s="45">
        <v>-0.16539163790882275</v>
      </c>
      <c r="I109" s="45"/>
      <c r="J109" s="45"/>
      <c r="K109" s="45"/>
      <c r="L109" s="45">
        <v>7.0735978583603307</v>
      </c>
      <c r="M109" s="45">
        <v>1.6534036611436324E-3</v>
      </c>
      <c r="N109" s="45">
        <v>1.5686941756580951E-3</v>
      </c>
      <c r="O109" s="45">
        <v>0</v>
      </c>
      <c r="P109" s="45">
        <v>0</v>
      </c>
      <c r="Q109" s="45">
        <v>0</v>
      </c>
      <c r="R109" s="45">
        <v>0.40045262690348349</v>
      </c>
      <c r="S109" s="45">
        <v>9.9148404886417033E-2</v>
      </c>
      <c r="T109" s="45">
        <v>0.82717020321709289</v>
      </c>
      <c r="U109" s="45">
        <v>1.1784791260354839</v>
      </c>
      <c r="V109" s="45">
        <v>0.12048920791807075</v>
      </c>
      <c r="W109" s="45">
        <v>3.0122301979517679E-2</v>
      </c>
      <c r="X109" s="45">
        <v>0.25101918316264737</v>
      </c>
      <c r="Y109" s="45">
        <v>0</v>
      </c>
      <c r="Z109" s="45">
        <v>0</v>
      </c>
      <c r="AA109" s="45">
        <v>0</v>
      </c>
      <c r="AB109" s="45">
        <v>0</v>
      </c>
      <c r="AC109" s="45">
        <v>0</v>
      </c>
      <c r="AD109" s="45">
        <v>0</v>
      </c>
      <c r="AE109" s="45">
        <v>0</v>
      </c>
      <c r="AF109" s="45">
        <v>0</v>
      </c>
      <c r="AG109" s="45">
        <v>-0.16539163790882275</v>
      </c>
      <c r="AH109" s="45">
        <v>0.52094183482155421</v>
      </c>
      <c r="AI109" s="45">
        <v>0.12927070686593473</v>
      </c>
      <c r="AJ109" s="45">
        <v>1.0781893863797403</v>
      </c>
      <c r="AK109" s="45">
        <v>1.0130874881266612</v>
      </c>
      <c r="AL109" s="45">
        <v>2.7414894161938901</v>
      </c>
      <c r="AM109" s="45">
        <v>3.39265488190884</v>
      </c>
      <c r="AN109" s="45">
        <v>0.58422767870756454</v>
      </c>
      <c r="AO109" s="45">
        <v>0.39768825606164049</v>
      </c>
      <c r="AP109" s="45">
        <v>0</v>
      </c>
      <c r="AQ109" s="45">
        <v>4.3745708166780455</v>
      </c>
      <c r="AR109" s="45">
        <v>0.52094183482155421</v>
      </c>
      <c r="AS109" s="199">
        <v>8.3974265921195048</v>
      </c>
      <c r="AT109" s="45">
        <v>3.39265488190884</v>
      </c>
      <c r="AU109" s="45">
        <v>0.66089103926195092</v>
      </c>
      <c r="AV109" s="45">
        <v>0.40535459211707914</v>
      </c>
      <c r="AW109" s="45">
        <v>0</v>
      </c>
      <c r="AX109" s="45">
        <v>4.4589005132878698</v>
      </c>
      <c r="AY109" s="45">
        <v>0.12927070686593473</v>
      </c>
      <c r="AZ109" s="199">
        <v>34.492737151287862</v>
      </c>
      <c r="BA109" s="45">
        <v>3.39265488190884</v>
      </c>
      <c r="BB109" s="45">
        <v>1.2451187179695156</v>
      </c>
      <c r="BC109" s="45">
        <v>0.46377735998783559</v>
      </c>
      <c r="BD109" s="45">
        <v>0</v>
      </c>
      <c r="BE109" s="45">
        <v>5.1015509598661906</v>
      </c>
      <c r="BF109" s="45">
        <v>0.65021254168748888</v>
      </c>
      <c r="BG109" s="45">
        <v>-11.012753227237624</v>
      </c>
      <c r="BH109" s="199">
        <v>7.8459744049633313</v>
      </c>
      <c r="BI109" s="45">
        <v>5.4189979121124043</v>
      </c>
      <c r="BJ109" s="45">
        <v>1.3447138313315796</v>
      </c>
      <c r="BK109" s="45">
        <v>11.215659106462345</v>
      </c>
      <c r="BL109" s="45">
        <v>10.538449047437551</v>
      </c>
      <c r="BM109" s="45">
        <v>28.517819897343877</v>
      </c>
      <c r="BN109" s="45">
        <v>3.39265488190884</v>
      </c>
      <c r="BO109" s="45">
        <v>0</v>
      </c>
      <c r="BP109" s="45">
        <v>1.2451187179695156</v>
      </c>
      <c r="BQ109" s="45">
        <v>0</v>
      </c>
      <c r="BR109" s="45">
        <v>0</v>
      </c>
      <c r="BS109" s="45">
        <v>0</v>
      </c>
      <c r="BT109" s="45">
        <v>0</v>
      </c>
      <c r="BU109" s="45">
        <v>0</v>
      </c>
      <c r="BV109" s="45">
        <v>0</v>
      </c>
      <c r="BW109" s="45">
        <v>0.46377735998783559</v>
      </c>
      <c r="BX109" s="45">
        <v>2.505250361042477</v>
      </c>
      <c r="BY109" s="45">
        <v>0.4016306930602358</v>
      </c>
      <c r="BZ109" s="45">
        <v>0</v>
      </c>
      <c r="CA109" s="45">
        <v>-0.16539163790882275</v>
      </c>
      <c r="CB109" s="45">
        <v>5.1015509598661914</v>
      </c>
      <c r="CC109" s="45">
        <v>2.7414894161938901</v>
      </c>
      <c r="CD109" s="199">
        <v>1.8118878962527063</v>
      </c>
      <c r="CE109" s="45">
        <v>10.741354926662265</v>
      </c>
      <c r="CF109" s="45">
        <v>6.7199490672632839E-2</v>
      </c>
      <c r="CG109" s="45">
        <v>0</v>
      </c>
      <c r="CH109" s="45">
        <v>6.7199490672632839E-2</v>
      </c>
      <c r="CI109" s="45">
        <v>3.3599589827211559E-3</v>
      </c>
      <c r="CJ109" s="45">
        <v>0</v>
      </c>
      <c r="CK109" s="45">
        <v>3.3599589827211559E-3</v>
      </c>
      <c r="CL109" s="45"/>
      <c r="CM109" s="45">
        <v>0</v>
      </c>
      <c r="CN109" s="45"/>
      <c r="CO109" s="45">
        <v>0</v>
      </c>
      <c r="CP109" s="45">
        <v>0</v>
      </c>
      <c r="CQ109" s="45">
        <v>0</v>
      </c>
      <c r="CR109" s="45">
        <v>0</v>
      </c>
      <c r="CS109" s="45">
        <v>0</v>
      </c>
      <c r="CT109" s="45">
        <v>0</v>
      </c>
      <c r="CU109" s="45">
        <v>1.0781893863797403</v>
      </c>
      <c r="CV109" s="45">
        <v>9999</v>
      </c>
      <c r="CW109" s="200">
        <v>0</v>
      </c>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row>
    <row r="110" spans="1:131">
      <c r="A110" s="24" t="s">
        <v>436</v>
      </c>
      <c r="B110" s="24"/>
      <c r="C110" s="45">
        <v>16.744186046511629</v>
      </c>
      <c r="D110" s="45">
        <v>66.935750455655011</v>
      </c>
      <c r="E110" s="45">
        <v>0</v>
      </c>
      <c r="F110" s="45">
        <v>23.583436394929375</v>
      </c>
      <c r="G110" s="45">
        <v>0</v>
      </c>
      <c r="H110" s="45">
        <v>-5.9700810224120291</v>
      </c>
      <c r="I110" s="45"/>
      <c r="J110" s="45"/>
      <c r="K110" s="45"/>
      <c r="L110" s="45">
        <v>75.7337104936271</v>
      </c>
      <c r="M110" s="45">
        <v>1.770222123302621E-2</v>
      </c>
      <c r="N110" s="45">
        <v>1.679527631216908E-2</v>
      </c>
      <c r="O110" s="45">
        <v>0</v>
      </c>
      <c r="P110" s="45">
        <v>0</v>
      </c>
      <c r="Q110" s="45">
        <v>0</v>
      </c>
      <c r="R110" s="45">
        <v>4.7028522565352278</v>
      </c>
      <c r="S110" s="45">
        <v>1.1643831712567014</v>
      </c>
      <c r="T110" s="45">
        <v>9.714155921059259</v>
      </c>
      <c r="U110" s="45">
        <v>13.210097525716677</v>
      </c>
      <c r="V110" s="45">
        <v>1.4150061836957626</v>
      </c>
      <c r="W110" s="45">
        <v>0.35375154592394059</v>
      </c>
      <c r="X110" s="45">
        <v>2.9479295493661719</v>
      </c>
      <c r="Y110" s="45">
        <v>0</v>
      </c>
      <c r="Z110" s="45">
        <v>0</v>
      </c>
      <c r="AA110" s="45">
        <v>0</v>
      </c>
      <c r="AB110" s="45">
        <v>0</v>
      </c>
      <c r="AC110" s="45">
        <v>0</v>
      </c>
      <c r="AD110" s="45">
        <v>0</v>
      </c>
      <c r="AE110" s="45">
        <v>0</v>
      </c>
      <c r="AF110" s="45">
        <v>0</v>
      </c>
      <c r="AG110" s="45">
        <v>-5.9700810224120291</v>
      </c>
      <c r="AH110" s="45">
        <v>6.1178584402309903</v>
      </c>
      <c r="AI110" s="45">
        <v>1.5181347171806421</v>
      </c>
      <c r="AJ110" s="45">
        <v>12.662085470425431</v>
      </c>
      <c r="AK110" s="45">
        <v>7.2400165033046475</v>
      </c>
      <c r="AL110" s="45">
        <v>27.538095131141709</v>
      </c>
      <c r="AM110" s="45">
        <v>36.323572215459947</v>
      </c>
      <c r="AN110" s="45">
        <v>6.2550530532787034</v>
      </c>
      <c r="AO110" s="45">
        <v>4.2578625268738657</v>
      </c>
      <c r="AP110" s="45">
        <v>0</v>
      </c>
      <c r="AQ110" s="45">
        <v>46.836487795612513</v>
      </c>
      <c r="AR110" s="45">
        <v>6.1178584402309903</v>
      </c>
      <c r="AS110" s="199">
        <v>7.6556998258763436</v>
      </c>
      <c r="AT110" s="45">
        <v>36.323572215459947</v>
      </c>
      <c r="AU110" s="45">
        <v>7.0758518702247777</v>
      </c>
      <c r="AV110" s="45">
        <v>4.339942408568473</v>
      </c>
      <c r="AW110" s="45">
        <v>0</v>
      </c>
      <c r="AX110" s="45">
        <v>47.739366494253204</v>
      </c>
      <c r="AY110" s="45">
        <v>1.5181347171806421</v>
      </c>
      <c r="AZ110" s="199">
        <v>31.446067304824517</v>
      </c>
      <c r="BA110" s="45">
        <v>36.323572215459947</v>
      </c>
      <c r="BB110" s="45">
        <v>13.330904923503482</v>
      </c>
      <c r="BC110" s="45">
        <v>4.9654477138963431</v>
      </c>
      <c r="BD110" s="45">
        <v>0</v>
      </c>
      <c r="BE110" s="45">
        <v>54.619924852859775</v>
      </c>
      <c r="BF110" s="45">
        <v>7.6359931574116322</v>
      </c>
      <c r="BG110" s="45">
        <v>-10.357447226039847</v>
      </c>
      <c r="BH110" s="199">
        <v>7.1529562333152032</v>
      </c>
      <c r="BI110" s="45">
        <v>5.9440205604722358</v>
      </c>
      <c r="BJ110" s="45">
        <v>1.4749971841695195</v>
      </c>
      <c r="BK110" s="45">
        <v>12.302294521843137</v>
      </c>
      <c r="BL110" s="45">
        <v>7.0342926980468468</v>
      </c>
      <c r="BM110" s="45">
        <v>26.755604964531738</v>
      </c>
      <c r="BN110" s="45">
        <v>36.323572215459947</v>
      </c>
      <c r="BO110" s="45">
        <v>0</v>
      </c>
      <c r="BP110" s="45">
        <v>13.330904923503482</v>
      </c>
      <c r="BQ110" s="45">
        <v>0</v>
      </c>
      <c r="BR110" s="45">
        <v>0</v>
      </c>
      <c r="BS110" s="45">
        <v>0</v>
      </c>
      <c r="BT110" s="45">
        <v>0</v>
      </c>
      <c r="BU110" s="45">
        <v>0</v>
      </c>
      <c r="BV110" s="45">
        <v>0</v>
      </c>
      <c r="BW110" s="45">
        <v>4.9654477138963431</v>
      </c>
      <c r="BX110" s="45">
        <v>28.791488874567865</v>
      </c>
      <c r="BY110" s="45">
        <v>4.7166872789858756</v>
      </c>
      <c r="BZ110" s="45">
        <v>0</v>
      </c>
      <c r="CA110" s="45">
        <v>-5.9700810224120291</v>
      </c>
      <c r="CB110" s="45">
        <v>54.619924852859768</v>
      </c>
      <c r="CC110" s="45">
        <v>27.538095131141713</v>
      </c>
      <c r="CD110" s="199">
        <v>1.8082155709583696</v>
      </c>
      <c r="CE110" s="45">
        <v>8.9791399938501453</v>
      </c>
      <c r="CF110" s="45">
        <v>0.71947357961625447</v>
      </c>
      <c r="CG110" s="45">
        <v>0</v>
      </c>
      <c r="CH110" s="45">
        <v>0.71947357961625447</v>
      </c>
      <c r="CI110" s="45">
        <v>3.5973512484472864E-2</v>
      </c>
      <c r="CJ110" s="45">
        <v>0</v>
      </c>
      <c r="CK110" s="45">
        <v>3.5973512484472864E-2</v>
      </c>
      <c r="CL110" s="45"/>
      <c r="CM110" s="45">
        <v>0</v>
      </c>
      <c r="CN110" s="45"/>
      <c r="CO110" s="45">
        <v>0</v>
      </c>
      <c r="CP110" s="45">
        <v>0</v>
      </c>
      <c r="CQ110" s="45">
        <v>0</v>
      </c>
      <c r="CR110" s="45">
        <v>0</v>
      </c>
      <c r="CS110" s="45">
        <v>0</v>
      </c>
      <c r="CT110" s="45">
        <v>0</v>
      </c>
      <c r="CU110" s="45">
        <v>12.662085470425431</v>
      </c>
      <c r="CV110" s="45">
        <v>9999</v>
      </c>
      <c r="CW110" s="200">
        <v>0</v>
      </c>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row>
    <row r="111" spans="1:131">
      <c r="A111" s="24" t="s">
        <v>420</v>
      </c>
      <c r="B111" s="24"/>
      <c r="C111" s="45">
        <v>14.186046511627907</v>
      </c>
      <c r="D111" s="45">
        <v>65.987461954092865</v>
      </c>
      <c r="E111" s="45">
        <v>0</v>
      </c>
      <c r="F111" s="45">
        <v>21.673265650078871</v>
      </c>
      <c r="G111" s="45">
        <v>0</v>
      </c>
      <c r="H111" s="45">
        <v>-5.6132962216598692</v>
      </c>
      <c r="I111" s="45"/>
      <c r="J111" s="45"/>
      <c r="K111" s="45"/>
      <c r="L111" s="45">
        <v>74.660780013982716</v>
      </c>
      <c r="M111" s="45">
        <v>1.7451431292925229E-2</v>
      </c>
      <c r="N111" s="45">
        <v>1.655733519252868E-2</v>
      </c>
      <c r="O111" s="45">
        <v>0</v>
      </c>
      <c r="P111" s="45">
        <v>0</v>
      </c>
      <c r="Q111" s="45">
        <v>0</v>
      </c>
      <c r="R111" s="45">
        <v>4.321938692991993</v>
      </c>
      <c r="S111" s="45">
        <v>1.0700724596078672</v>
      </c>
      <c r="T111" s="45">
        <v>8.927345375700682</v>
      </c>
      <c r="U111" s="45">
        <v>15.809350395932928</v>
      </c>
      <c r="V111" s="45">
        <v>1.3003959390047324</v>
      </c>
      <c r="W111" s="45">
        <v>0.32509898475118304</v>
      </c>
      <c r="X111" s="45">
        <v>2.7091582062598589</v>
      </c>
      <c r="Y111" s="45">
        <v>0</v>
      </c>
      <c r="Z111" s="45">
        <v>0</v>
      </c>
      <c r="AA111" s="45">
        <v>0</v>
      </c>
      <c r="AB111" s="45">
        <v>0</v>
      </c>
      <c r="AC111" s="45">
        <v>0</v>
      </c>
      <c r="AD111" s="45">
        <v>0</v>
      </c>
      <c r="AE111" s="45">
        <v>0</v>
      </c>
      <c r="AF111" s="45">
        <v>0</v>
      </c>
      <c r="AG111" s="45">
        <v>-5.6132962216598692</v>
      </c>
      <c r="AH111" s="45">
        <v>5.6223346319967256</v>
      </c>
      <c r="AI111" s="45">
        <v>1.3951714443590504</v>
      </c>
      <c r="AJ111" s="45">
        <v>11.636503581960541</v>
      </c>
      <c r="AK111" s="45">
        <v>10.196054174273058</v>
      </c>
      <c r="AL111" s="45">
        <v>28.850063832589374</v>
      </c>
      <c r="AM111" s="45">
        <v>35.808970890561092</v>
      </c>
      <c r="AN111" s="45">
        <v>6.1664368078985143</v>
      </c>
      <c r="AO111" s="45">
        <v>4.1975407698459613</v>
      </c>
      <c r="AP111" s="45">
        <v>0</v>
      </c>
      <c r="AQ111" s="45">
        <v>46.172948468305563</v>
      </c>
      <c r="AR111" s="45">
        <v>5.6223346319967256</v>
      </c>
      <c r="AS111" s="199">
        <v>8.212415569421136</v>
      </c>
      <c r="AT111" s="45">
        <v>35.808970890561092</v>
      </c>
      <c r="AU111" s="45">
        <v>6.9756072487539766</v>
      </c>
      <c r="AV111" s="45">
        <v>4.2784578139315075</v>
      </c>
      <c r="AW111" s="45">
        <v>0</v>
      </c>
      <c r="AX111" s="45">
        <v>47.063035953246576</v>
      </c>
      <c r="AY111" s="45">
        <v>1.3951714443590504</v>
      </c>
      <c r="AZ111" s="199">
        <v>33.732797602424839</v>
      </c>
      <c r="BA111" s="45">
        <v>35.808970890561092</v>
      </c>
      <c r="BB111" s="45">
        <v>13.142044056652491</v>
      </c>
      <c r="BC111" s="45">
        <v>4.8951014947213585</v>
      </c>
      <c r="BD111" s="45">
        <v>0</v>
      </c>
      <c r="BE111" s="45">
        <v>53.846116441934939</v>
      </c>
      <c r="BF111" s="45">
        <v>7.0175060763557759</v>
      </c>
      <c r="BG111" s="45">
        <v>-10.860378908583932</v>
      </c>
      <c r="BH111" s="199">
        <v>7.6731129059310312</v>
      </c>
      <c r="BI111" s="45">
        <v>5.5410782351605095</v>
      </c>
      <c r="BJ111" s="45">
        <v>1.3750078269371655</v>
      </c>
      <c r="BK111" s="45">
        <v>11.468327830296676</v>
      </c>
      <c r="BL111" s="45">
        <v>10.048696416619624</v>
      </c>
      <c r="BM111" s="45">
        <v>28.433110309013973</v>
      </c>
      <c r="BN111" s="45">
        <v>35.808970890561092</v>
      </c>
      <c r="BO111" s="45">
        <v>0</v>
      </c>
      <c r="BP111" s="45">
        <v>13.142044056652491</v>
      </c>
      <c r="BQ111" s="45">
        <v>0</v>
      </c>
      <c r="BR111" s="45">
        <v>0</v>
      </c>
      <c r="BS111" s="45">
        <v>0</v>
      </c>
      <c r="BT111" s="45">
        <v>0</v>
      </c>
      <c r="BU111" s="45">
        <v>0</v>
      </c>
      <c r="BV111" s="45">
        <v>0</v>
      </c>
      <c r="BW111" s="45">
        <v>4.8951014947213585</v>
      </c>
      <c r="BX111" s="45">
        <v>30.12870692423347</v>
      </c>
      <c r="BY111" s="45">
        <v>4.3346531300157745</v>
      </c>
      <c r="BZ111" s="45">
        <v>0</v>
      </c>
      <c r="CA111" s="45">
        <v>-5.6132962216598692</v>
      </c>
      <c r="CB111" s="45">
        <v>53.846116441934939</v>
      </c>
      <c r="CC111" s="45">
        <v>28.850063832589374</v>
      </c>
      <c r="CD111" s="199">
        <v>1.7252935456670198</v>
      </c>
      <c r="CE111" s="45">
        <v>10.656645338332369</v>
      </c>
      <c r="CF111" s="45">
        <v>0.70928069288407625</v>
      </c>
      <c r="CG111" s="45">
        <v>0</v>
      </c>
      <c r="CH111" s="45">
        <v>0.70928069288407625</v>
      </c>
      <c r="CI111" s="45">
        <v>3.5463870506641786E-2</v>
      </c>
      <c r="CJ111" s="45">
        <v>0</v>
      </c>
      <c r="CK111" s="45">
        <v>3.5463870506641786E-2</v>
      </c>
      <c r="CL111" s="45"/>
      <c r="CM111" s="45">
        <v>0</v>
      </c>
      <c r="CN111" s="45"/>
      <c r="CO111" s="45">
        <v>0</v>
      </c>
      <c r="CP111" s="45">
        <v>0</v>
      </c>
      <c r="CQ111" s="45">
        <v>0</v>
      </c>
      <c r="CR111" s="45">
        <v>0</v>
      </c>
      <c r="CS111" s="45">
        <v>0</v>
      </c>
      <c r="CT111" s="45">
        <v>0</v>
      </c>
      <c r="CU111" s="45">
        <v>11.636503581960541</v>
      </c>
      <c r="CV111" s="45">
        <v>9999</v>
      </c>
      <c r="CW111" s="200">
        <v>0</v>
      </c>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row>
    <row r="112" spans="1:131">
      <c r="A112" s="24" t="s">
        <v>437</v>
      </c>
      <c r="B112" s="24"/>
      <c r="C112" s="45">
        <v>6.6762790697674417</v>
      </c>
      <c r="D112" s="45">
        <v>2.3112289292682102</v>
      </c>
      <c r="E112" s="45">
        <v>0</v>
      </c>
      <c r="F112" s="45">
        <v>1.0315522391340137</v>
      </c>
      <c r="G112" s="45">
        <v>0</v>
      </c>
      <c r="H112" s="45">
        <v>-1.3137623929241096</v>
      </c>
      <c r="I112" s="45"/>
      <c r="J112" s="45"/>
      <c r="K112" s="45"/>
      <c r="L112" s="45">
        <v>2.6150142699850236</v>
      </c>
      <c r="M112" s="45">
        <v>6.1124116107701858E-4</v>
      </c>
      <c r="N112" s="45">
        <v>5.7992520026282598E-4</v>
      </c>
      <c r="O112" s="45">
        <v>0</v>
      </c>
      <c r="P112" s="45">
        <v>0</v>
      </c>
      <c r="Q112" s="45">
        <v>0</v>
      </c>
      <c r="R112" s="45">
        <v>0.20570529647614957</v>
      </c>
      <c r="S112" s="45">
        <v>5.0930748488293445E-2</v>
      </c>
      <c r="T112" s="45">
        <v>0.42490242405132006</v>
      </c>
      <c r="U112" s="45">
        <v>2.0619258035268317</v>
      </c>
      <c r="V112" s="45">
        <v>6.1893134348040828E-2</v>
      </c>
      <c r="W112" s="45">
        <v>1.5473283587010203E-2</v>
      </c>
      <c r="X112" s="45">
        <v>0.12894402989175172</v>
      </c>
      <c r="Y112" s="45">
        <v>0</v>
      </c>
      <c r="Z112" s="45">
        <v>0</v>
      </c>
      <c r="AA112" s="45">
        <v>0</v>
      </c>
      <c r="AB112" s="45">
        <v>0</v>
      </c>
      <c r="AC112" s="45">
        <v>0</v>
      </c>
      <c r="AD112" s="45">
        <v>0</v>
      </c>
      <c r="AE112" s="45">
        <v>0</v>
      </c>
      <c r="AF112" s="45">
        <v>0</v>
      </c>
      <c r="AG112" s="45">
        <v>-1.3137623929241096</v>
      </c>
      <c r="AH112" s="45">
        <v>0.26759843082419038</v>
      </c>
      <c r="AI112" s="45">
        <v>6.6404032075303654E-2</v>
      </c>
      <c r="AJ112" s="45">
        <v>0.55384645394307175</v>
      </c>
      <c r="AK112" s="45">
        <v>0.74816341060272218</v>
      </c>
      <c r="AL112" s="45">
        <v>1.6360123274452882</v>
      </c>
      <c r="AM112" s="45">
        <v>1.2542190137145386</v>
      </c>
      <c r="AN112" s="45">
        <v>0.21598113821735468</v>
      </c>
      <c r="AO112" s="45">
        <v>0.14702001519318933</v>
      </c>
      <c r="AP112" s="45">
        <v>0</v>
      </c>
      <c r="AQ112" s="45">
        <v>1.6172201671250825</v>
      </c>
      <c r="AR112" s="45">
        <v>0.26759843082419038</v>
      </c>
      <c r="AS112" s="199">
        <v>6.043459082118388</v>
      </c>
      <c r="AT112" s="45">
        <v>1.2542190137145386</v>
      </c>
      <c r="AU112" s="45">
        <v>0.2443225545445189</v>
      </c>
      <c r="AV112" s="45">
        <v>0.14985415682590575</v>
      </c>
      <c r="AW112" s="45">
        <v>0</v>
      </c>
      <c r="AX112" s="45">
        <v>1.6483957250849632</v>
      </c>
      <c r="AY112" s="45">
        <v>6.6404032075303654E-2</v>
      </c>
      <c r="AZ112" s="199">
        <v>24.823729426786098</v>
      </c>
      <c r="BA112" s="45">
        <v>1.2542190137145386</v>
      </c>
      <c r="BB112" s="45">
        <v>0.46030369276187355</v>
      </c>
      <c r="BC112" s="45">
        <v>0.17145227064764124</v>
      </c>
      <c r="BD112" s="45">
        <v>0</v>
      </c>
      <c r="BE112" s="45">
        <v>1.8859749771240533</v>
      </c>
      <c r="BF112" s="45">
        <v>0.33400246289949409</v>
      </c>
      <c r="BG112" s="45">
        <v>-8.378242514955403</v>
      </c>
      <c r="BH112" s="199">
        <v>5.6465900303602519</v>
      </c>
      <c r="BI112" s="45">
        <v>7.5297336428497577</v>
      </c>
      <c r="BJ112" s="45">
        <v>1.8684888128764356</v>
      </c>
      <c r="BK112" s="45">
        <v>15.584232928361395</v>
      </c>
      <c r="BL112" s="45">
        <v>21.051959033592656</v>
      </c>
      <c r="BM112" s="45">
        <v>46.03441441768026</v>
      </c>
      <c r="BN112" s="45">
        <v>1.2542190137145386</v>
      </c>
      <c r="BO112" s="45">
        <v>0</v>
      </c>
      <c r="BP112" s="45">
        <v>0.46030369276187355</v>
      </c>
      <c r="BQ112" s="45">
        <v>0</v>
      </c>
      <c r="BR112" s="45">
        <v>0</v>
      </c>
      <c r="BS112" s="45">
        <v>0</v>
      </c>
      <c r="BT112" s="45">
        <v>0</v>
      </c>
      <c r="BU112" s="45">
        <v>0</v>
      </c>
      <c r="BV112" s="45">
        <v>0</v>
      </c>
      <c r="BW112" s="45">
        <v>0.17145227064764124</v>
      </c>
      <c r="BX112" s="45">
        <v>2.7434642725425951</v>
      </c>
      <c r="BY112" s="45">
        <v>0.20631044782680275</v>
      </c>
      <c r="BZ112" s="45">
        <v>0</v>
      </c>
      <c r="CA112" s="45">
        <v>-1.3137623929241096</v>
      </c>
      <c r="CB112" s="45">
        <v>1.8859749771240535</v>
      </c>
      <c r="CC112" s="45">
        <v>1.6360123274452882</v>
      </c>
      <c r="CD112" s="199">
        <v>1.0847395728062454</v>
      </c>
      <c r="CE112" s="45">
        <v>28.257949446998648</v>
      </c>
      <c r="CF112" s="45">
        <v>2.4842750544119063E-2</v>
      </c>
      <c r="CG112" s="45">
        <v>0</v>
      </c>
      <c r="CH112" s="45">
        <v>2.4842750544119063E-2</v>
      </c>
      <c r="CI112" s="45">
        <v>1.242131778242886E-3</v>
      </c>
      <c r="CJ112" s="45">
        <v>0</v>
      </c>
      <c r="CK112" s="45">
        <v>1.242131778242886E-3</v>
      </c>
      <c r="CL112" s="45"/>
      <c r="CM112" s="45">
        <v>0</v>
      </c>
      <c r="CN112" s="45"/>
      <c r="CO112" s="45">
        <v>0</v>
      </c>
      <c r="CP112" s="45">
        <v>0</v>
      </c>
      <c r="CQ112" s="45">
        <v>0</v>
      </c>
      <c r="CR112" s="45">
        <v>0</v>
      </c>
      <c r="CS112" s="45">
        <v>0</v>
      </c>
      <c r="CT112" s="45">
        <v>0</v>
      </c>
      <c r="CU112" s="45">
        <v>0.55384645394307175</v>
      </c>
      <c r="CV112" s="45">
        <v>9999</v>
      </c>
      <c r="CW112" s="200">
        <v>0</v>
      </c>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row>
    <row r="113" spans="1:131">
      <c r="A113" s="24"/>
      <c r="B113" s="24"/>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row>
    <row r="114" spans="1:131">
      <c r="A114" s="24"/>
      <c r="B114" s="24"/>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row>
    <row r="115" spans="1:131" ht="13.5" thickBot="1">
      <c r="A115" s="187" t="s">
        <v>634</v>
      </c>
      <c r="B115" s="188"/>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row>
    <row r="116" spans="1:131" ht="13.5" thickBot="1">
      <c r="A116" s="220" t="s">
        <v>635</v>
      </c>
      <c r="B116" s="221"/>
      <c r="C116" s="222"/>
      <c r="D116" s="222"/>
      <c r="E116" s="222"/>
      <c r="F116" s="222"/>
      <c r="G116" s="222"/>
      <c r="H116" s="222"/>
      <c r="I116" s="222"/>
      <c r="J116" s="222"/>
      <c r="K116" s="222"/>
      <c r="L116" s="194"/>
      <c r="M116" s="223"/>
      <c r="N116" s="224" t="s">
        <v>636</v>
      </c>
      <c r="O116" s="222"/>
      <c r="P116" s="222"/>
      <c r="Q116" s="222"/>
      <c r="R116" s="222"/>
      <c r="S116" s="222"/>
      <c r="T116" s="222"/>
      <c r="U116" s="222"/>
      <c r="V116" s="222"/>
      <c r="W116" s="222"/>
      <c r="X116" s="222"/>
      <c r="Y116" s="194"/>
      <c r="Z116" s="223"/>
      <c r="AA116" s="224" t="s">
        <v>637</v>
      </c>
      <c r="AB116" s="222"/>
      <c r="AC116" s="222"/>
      <c r="AD116" s="222"/>
      <c r="AE116" s="222"/>
      <c r="AF116" s="222"/>
      <c r="AG116" s="222"/>
      <c r="AH116" s="222"/>
      <c r="AI116" s="222"/>
      <c r="AJ116" s="222"/>
      <c r="AK116" s="222"/>
      <c r="AL116" s="194"/>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row>
    <row r="117" spans="1:131" ht="102">
      <c r="A117" s="195"/>
      <c r="B117" s="196" t="s">
        <v>638</v>
      </c>
      <c r="C117" s="197" t="s">
        <v>639</v>
      </c>
      <c r="D117" s="197" t="s">
        <v>391</v>
      </c>
      <c r="E117" s="197" t="s">
        <v>392</v>
      </c>
      <c r="F117" s="197" t="s">
        <v>393</v>
      </c>
      <c r="G117" s="197" t="s">
        <v>394</v>
      </c>
      <c r="H117" s="197" t="s">
        <v>395</v>
      </c>
      <c r="I117" s="197" t="s">
        <v>396</v>
      </c>
      <c r="J117" s="197" t="s">
        <v>397</v>
      </c>
      <c r="K117" s="197" t="s">
        <v>398</v>
      </c>
      <c r="L117" s="197" t="s">
        <v>399</v>
      </c>
      <c r="M117" s="197" t="s">
        <v>400</v>
      </c>
      <c r="N117" s="197" t="s">
        <v>402</v>
      </c>
      <c r="O117" s="197" t="s">
        <v>403</v>
      </c>
      <c r="P117" s="197" t="s">
        <v>404</v>
      </c>
      <c r="Q117" s="197" t="s">
        <v>405</v>
      </c>
      <c r="R117" s="197" t="s">
        <v>406</v>
      </c>
      <c r="S117" s="197" t="s">
        <v>407</v>
      </c>
      <c r="T117" s="197" t="s">
        <v>408</v>
      </c>
      <c r="U117" s="197" t="s">
        <v>409</v>
      </c>
      <c r="V117" s="197" t="s">
        <v>410</v>
      </c>
      <c r="W117" s="197" t="s">
        <v>411</v>
      </c>
      <c r="X117" s="197" t="s">
        <v>412</v>
      </c>
      <c r="Y117" s="197" t="s">
        <v>413</v>
      </c>
      <c r="Z117" s="197"/>
      <c r="AA117" s="197" t="s">
        <v>402</v>
      </c>
      <c r="AB117" s="197" t="s">
        <v>403</v>
      </c>
      <c r="AC117" s="197" t="s">
        <v>404</v>
      </c>
      <c r="AD117" s="197" t="s">
        <v>405</v>
      </c>
      <c r="AE117" s="197" t="s">
        <v>406</v>
      </c>
      <c r="AF117" s="197" t="s">
        <v>407</v>
      </c>
      <c r="AG117" s="197" t="s">
        <v>408</v>
      </c>
      <c r="AH117" s="197" t="s">
        <v>409</v>
      </c>
      <c r="AI117" s="197" t="s">
        <v>410</v>
      </c>
      <c r="AJ117" s="197" t="s">
        <v>411</v>
      </c>
      <c r="AK117" s="197" t="s">
        <v>412</v>
      </c>
      <c r="AL117" s="197" t="s">
        <v>413</v>
      </c>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row>
    <row r="118" spans="1:131">
      <c r="A118" s="24"/>
      <c r="B118" s="225" t="s">
        <v>640</v>
      </c>
      <c r="C118" s="226">
        <v>1201.4093707913478</v>
      </c>
      <c r="D118" s="226">
        <v>202.82684456134592</v>
      </c>
      <c r="E118" s="226">
        <v>0</v>
      </c>
      <c r="F118" s="226">
        <v>202.82684456134592</v>
      </c>
      <c r="G118" s="226">
        <v>177.18374763404071</v>
      </c>
      <c r="H118" s="226">
        <v>866.46869831720301</v>
      </c>
      <c r="I118" s="226">
        <v>1478.8990343791531</v>
      </c>
      <c r="J118" s="226">
        <v>-14.685949220411542</v>
      </c>
      <c r="K118" s="226">
        <v>-6.9246349469893538</v>
      </c>
      <c r="L118" s="199">
        <v>42.949186427954608</v>
      </c>
      <c r="M118" s="45">
        <v>11.413441847148102</v>
      </c>
      <c r="N118" s="198">
        <v>49.92444901174008</v>
      </c>
      <c r="O118" s="198">
        <v>36.71058673632885</v>
      </c>
      <c r="P118" s="198">
        <v>33.985794338771235</v>
      </c>
      <c r="Q118" s="198">
        <v>19.434989761376134</v>
      </c>
      <c r="R118" s="198">
        <v>15.610951388325885</v>
      </c>
      <c r="S118" s="198">
        <v>12.115692370558955</v>
      </c>
      <c r="T118" s="198">
        <v>12.689592678219769</v>
      </c>
      <c r="U118" s="198">
        <v>18.426757867060683</v>
      </c>
      <c r="V118" s="198">
        <v>23.23925540342249</v>
      </c>
      <c r="W118" s="198">
        <v>37.876103630801389</v>
      </c>
      <c r="X118" s="198">
        <v>44.158026406027709</v>
      </c>
      <c r="Y118" s="198">
        <v>52.384694548235458</v>
      </c>
      <c r="Z118" s="198"/>
      <c r="AA118" s="198">
        <v>81.973076078694987</v>
      </c>
      <c r="AB118" s="198">
        <v>70.912869864336542</v>
      </c>
      <c r="AC118" s="198">
        <v>71.260283485793067</v>
      </c>
      <c r="AD118" s="198">
        <v>67.520993708971545</v>
      </c>
      <c r="AE118" s="198">
        <v>62.180402482209175</v>
      </c>
      <c r="AF118" s="198">
        <v>56.479304508562784</v>
      </c>
      <c r="AG118" s="198">
        <v>61.746318497015714</v>
      </c>
      <c r="AH118" s="198">
        <v>66.732395207927837</v>
      </c>
      <c r="AI118" s="198">
        <v>71.640331929568177</v>
      </c>
      <c r="AJ118" s="198">
        <v>74.154561213838079</v>
      </c>
      <c r="AK118" s="198">
        <v>78.179110942042854</v>
      </c>
      <c r="AL118" s="198">
        <v>82.072828731518513</v>
      </c>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row>
    <row r="119" spans="1:131">
      <c r="A119" s="24"/>
      <c r="B119" s="225" t="s">
        <v>641</v>
      </c>
      <c r="C119" s="226">
        <v>1201.4093707913478</v>
      </c>
      <c r="D119" s="226">
        <v>202.82684456134592</v>
      </c>
      <c r="E119" s="226">
        <v>40.565368912269193</v>
      </c>
      <c r="F119" s="226">
        <v>243.39221347361513</v>
      </c>
      <c r="G119" s="226">
        <v>217.74911654630989</v>
      </c>
      <c r="H119" s="226">
        <v>866.46869831720301</v>
      </c>
      <c r="I119" s="226">
        <v>1774.678841254984</v>
      </c>
      <c r="J119" s="226">
        <v>-13.754271313656941</v>
      </c>
      <c r="K119" s="226">
        <v>-4.4401605289770911</v>
      </c>
      <c r="L119" s="199">
        <v>37.009413937163863</v>
      </c>
      <c r="M119" s="45">
        <v>11.413441847148102</v>
      </c>
      <c r="N119" s="198">
        <v>2.4974735672434485</v>
      </c>
      <c r="O119" s="198">
        <v>1.8364493114469667</v>
      </c>
      <c r="P119" s="198">
        <v>1.7001414077277732</v>
      </c>
      <c r="Q119" s="198">
        <v>0.97223653279117472</v>
      </c>
      <c r="R119" s="198">
        <v>0.78093878297380959</v>
      </c>
      <c r="S119" s="198">
        <v>0.60608824019687402</v>
      </c>
      <c r="T119" s="198">
        <v>0.63479763763616703</v>
      </c>
      <c r="U119" s="198">
        <v>0.92179967158290221</v>
      </c>
      <c r="V119" s="198">
        <v>1.1625451505497599</v>
      </c>
      <c r="W119" s="198">
        <v>1.8947543642565887</v>
      </c>
      <c r="X119" s="198">
        <v>2.209007929256436</v>
      </c>
      <c r="Y119" s="198">
        <v>2.6205474983123929</v>
      </c>
      <c r="Z119" s="198"/>
      <c r="AA119" s="198">
        <v>4.1007080655819417</v>
      </c>
      <c r="AB119" s="198">
        <v>3.54742058388883</v>
      </c>
      <c r="AC119" s="198">
        <v>3.5647999712163481</v>
      </c>
      <c r="AD119" s="198">
        <v>3.3777417750271561</v>
      </c>
      <c r="AE119" s="198">
        <v>3.1105783774069891</v>
      </c>
      <c r="AF119" s="198">
        <v>2.8253806080715917</v>
      </c>
      <c r="AG119" s="198">
        <v>3.0888632999160088</v>
      </c>
      <c r="AH119" s="198">
        <v>3.3382920875391413</v>
      </c>
      <c r="AI119" s="198">
        <v>3.5838119174949563</v>
      </c>
      <c r="AJ119" s="198">
        <v>3.7095863887961205</v>
      </c>
      <c r="AK119" s="198">
        <v>3.9109147312257924</v>
      </c>
      <c r="AL119" s="198">
        <v>4.1056981980445082</v>
      </c>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row>
    <row r="120" spans="1:131">
      <c r="A120" s="24"/>
      <c r="B120" s="225" t="s">
        <v>642</v>
      </c>
      <c r="C120" s="227"/>
      <c r="D120" s="227"/>
      <c r="E120" s="227"/>
      <c r="F120" s="227"/>
      <c r="G120" s="227"/>
      <c r="H120" s="227"/>
      <c r="I120" s="227"/>
      <c r="J120" s="227"/>
      <c r="K120" s="227"/>
      <c r="L120" s="200"/>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row>
    <row r="121" spans="1:131">
      <c r="A121" s="24"/>
      <c r="B121" s="24" t="s">
        <v>643</v>
      </c>
      <c r="C121" s="45">
        <v>472.92049851721185</v>
      </c>
      <c r="D121" s="45">
        <v>22.251624316314402</v>
      </c>
      <c r="E121" s="45">
        <v>4.45032486326288</v>
      </c>
      <c r="F121" s="45">
        <v>26.701949179577284</v>
      </c>
      <c r="G121" s="45">
        <v>-5.7819301157675964</v>
      </c>
      <c r="H121" s="45">
        <v>341.07508957402433</v>
      </c>
      <c r="I121" s="45">
        <v>494.60548981592501</v>
      </c>
      <c r="J121" s="45">
        <v>-16.655473939729561</v>
      </c>
      <c r="K121" s="45">
        <v>-18.676076088258281</v>
      </c>
      <c r="L121" s="199">
        <v>90.67441665706184</v>
      </c>
      <c r="M121" s="45">
        <v>4.4927655297004572</v>
      </c>
      <c r="N121" s="198">
        <v>19.652165106118261</v>
      </c>
      <c r="O121" s="198">
        <v>14.450685505115096</v>
      </c>
      <c r="P121" s="198">
        <v>13.378103410836884</v>
      </c>
      <c r="Q121" s="198">
        <v>7.6503523861919076</v>
      </c>
      <c r="R121" s="198">
        <v>6.1450651979118058</v>
      </c>
      <c r="S121" s="198">
        <v>4.7691980894004722</v>
      </c>
      <c r="T121" s="198">
        <v>4.995107114414453</v>
      </c>
      <c r="U121" s="198">
        <v>7.2534739019109464</v>
      </c>
      <c r="V121" s="198">
        <v>9.1478562742658074</v>
      </c>
      <c r="W121" s="198">
        <v>14.909477357555129</v>
      </c>
      <c r="X121" s="198">
        <v>17.382281484719403</v>
      </c>
      <c r="Y121" s="198">
        <v>20.620611477422806</v>
      </c>
      <c r="Z121" s="198"/>
      <c r="AA121" s="198">
        <v>32.267725678376173</v>
      </c>
      <c r="AB121" s="198">
        <v>27.914007150983434</v>
      </c>
      <c r="AC121" s="198">
        <v>28.050762387828858</v>
      </c>
      <c r="AD121" s="198">
        <v>26.578835475697367</v>
      </c>
      <c r="AE121" s="198">
        <v>24.47657530797995</v>
      </c>
      <c r="AF121" s="198">
        <v>22.232405950439151</v>
      </c>
      <c r="AG121" s="198">
        <v>24.305703314080969</v>
      </c>
      <c r="AH121" s="198">
        <v>26.268413062396352</v>
      </c>
      <c r="AI121" s="198">
        <v>28.200363934029916</v>
      </c>
      <c r="AJ121" s="198">
        <v>29.190060365080978</v>
      </c>
      <c r="AK121" s="198">
        <v>30.774276461644515</v>
      </c>
      <c r="AL121" s="198">
        <v>32.30699212281106</v>
      </c>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row>
    <row r="122" spans="1:131">
      <c r="A122" s="24"/>
      <c r="B122" s="24" t="s">
        <v>644</v>
      </c>
      <c r="C122" s="45">
        <v>644.13948013180823</v>
      </c>
      <c r="D122" s="45">
        <v>155.86224889051752</v>
      </c>
      <c r="E122" s="45">
        <v>31.172449778103505</v>
      </c>
      <c r="F122" s="45">
        <v>187.03469866862102</v>
      </c>
      <c r="G122" s="45">
        <v>190.30348108584892</v>
      </c>
      <c r="H122" s="45">
        <v>464.55996636425363</v>
      </c>
      <c r="I122" s="45">
        <v>2543.5856842711373</v>
      </c>
      <c r="J122" s="45">
        <v>-12.011594185306549</v>
      </c>
      <c r="K122" s="45">
        <v>3.9624031841821798</v>
      </c>
      <c r="L122" s="199">
        <v>2.231196022045125</v>
      </c>
      <c r="M122" s="45">
        <v>6.1193533833468141</v>
      </c>
      <c r="N122" s="198">
        <v>26.767153157051769</v>
      </c>
      <c r="O122" s="198">
        <v>19.682498597540331</v>
      </c>
      <c r="P122" s="198">
        <v>18.22159243091556</v>
      </c>
      <c r="Q122" s="198">
        <v>10.420131976341992</v>
      </c>
      <c r="R122" s="198">
        <v>8.3698615610228586</v>
      </c>
      <c r="S122" s="198">
        <v>6.4958672495356584</v>
      </c>
      <c r="T122" s="198">
        <v>6.8035657366721667</v>
      </c>
      <c r="U122" s="198">
        <v>9.8795652186273557</v>
      </c>
      <c r="V122" s="198">
        <v>12.459801178636422</v>
      </c>
      <c r="W122" s="198">
        <v>20.307394211593895</v>
      </c>
      <c r="X122" s="198">
        <v>23.675467217381382</v>
      </c>
      <c r="Y122" s="198">
        <v>28.086221677243941</v>
      </c>
      <c r="Z122" s="198"/>
      <c r="AA122" s="198">
        <v>43.950127153874199</v>
      </c>
      <c r="AB122" s="198">
        <v>38.020162185834408</v>
      </c>
      <c r="AC122" s="198">
        <v>38.206429111127576</v>
      </c>
      <c r="AD122" s="198">
        <v>36.201596926975824</v>
      </c>
      <c r="AE122" s="198">
        <v>33.33822184431164</v>
      </c>
      <c r="AF122" s="198">
        <v>30.281559915242276</v>
      </c>
      <c r="AG122" s="198">
        <v>33.10548632604953</v>
      </c>
      <c r="AH122" s="198">
        <v>35.7787873161598</v>
      </c>
      <c r="AI122" s="198">
        <v>38.410193300878277</v>
      </c>
      <c r="AJ122" s="198">
        <v>39.758205380253891</v>
      </c>
      <c r="AK122" s="198">
        <v>41.915980600521152</v>
      </c>
      <c r="AL122" s="198">
        <v>44.003609858016247</v>
      </c>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row>
    <row r="123" spans="1:131">
      <c r="A123" s="24"/>
      <c r="B123" s="24" t="s">
        <v>645</v>
      </c>
      <c r="C123" s="45">
        <v>81.734377872343046</v>
      </c>
      <c r="D123" s="45">
        <v>23.681419115380052</v>
      </c>
      <c r="E123" s="45">
        <v>4.7362838230760103</v>
      </c>
      <c r="F123" s="45">
        <v>28.417702938456063</v>
      </c>
      <c r="G123" s="45">
        <v>31.591553248783264</v>
      </c>
      <c r="H123" s="45">
        <v>58.947667401801127</v>
      </c>
      <c r="I123" s="45">
        <v>3045.7083570108157</v>
      </c>
      <c r="J123" s="45">
        <v>-10.873565950342313</v>
      </c>
      <c r="K123" s="45">
        <v>10.663976421998642</v>
      </c>
      <c r="L123" s="199">
        <v>1.7327877436874133</v>
      </c>
      <c r="M123" s="45">
        <v>0.77648018355670911</v>
      </c>
      <c r="N123" s="198">
        <v>3.3964640860977307</v>
      </c>
      <c r="O123" s="198">
        <v>2.4974975567621356</v>
      </c>
      <c r="P123" s="198">
        <v>2.3121242636447641</v>
      </c>
      <c r="Q123" s="198">
        <v>1.3222027692818081</v>
      </c>
      <c r="R123" s="198">
        <v>1.0620454865270095</v>
      </c>
      <c r="S123" s="198">
        <v>0.82425574702156346</v>
      </c>
      <c r="T123" s="198">
        <v>0.86329937839968884</v>
      </c>
      <c r="U123" s="198">
        <v>1.2536106568541794</v>
      </c>
      <c r="V123" s="198">
        <v>1.5810148720282504</v>
      </c>
      <c r="W123" s="198">
        <v>2.5767900948307116</v>
      </c>
      <c r="X123" s="198">
        <v>3.0041623647315436</v>
      </c>
      <c r="Y123" s="198">
        <v>3.5638397061215761</v>
      </c>
      <c r="Z123" s="198"/>
      <c r="AA123" s="198">
        <v>5.5767988318263155</v>
      </c>
      <c r="AB123" s="198">
        <v>4.8243500029354953</v>
      </c>
      <c r="AC123" s="198">
        <v>4.8479852740632889</v>
      </c>
      <c r="AD123" s="198">
        <v>4.5935936145479257</v>
      </c>
      <c r="AE123" s="198">
        <v>4.2302620874245829</v>
      </c>
      <c r="AF123" s="198">
        <v>3.8424045366229498</v>
      </c>
      <c r="AG123" s="198">
        <v>4.2007304512173791</v>
      </c>
      <c r="AH123" s="198">
        <v>4.5399436186007378</v>
      </c>
      <c r="AI123" s="198">
        <v>4.8738407600187967</v>
      </c>
      <c r="AJ123" s="198">
        <v>5.0448890066650405</v>
      </c>
      <c r="AK123" s="198">
        <v>5.3186874938821465</v>
      </c>
      <c r="AL123" s="198">
        <v>5.5835852122374128</v>
      </c>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row>
    <row r="124" spans="1:131">
      <c r="A124" s="24"/>
      <c r="B124" s="24" t="s">
        <v>646</v>
      </c>
      <c r="C124" s="45">
        <v>2.6150142699850236</v>
      </c>
      <c r="D124" s="45">
        <v>1.0315522391340137</v>
      </c>
      <c r="E124" s="45">
        <v>0.20631044782680275</v>
      </c>
      <c r="F124" s="45">
        <v>1.2378626869608165</v>
      </c>
      <c r="G124" s="45">
        <v>1.6360123274452882</v>
      </c>
      <c r="H124" s="45">
        <v>1.8859749771240535</v>
      </c>
      <c r="I124" s="45">
        <v>4146.6990303799967</v>
      </c>
      <c r="J124" s="45">
        <v>-8.378242514955403</v>
      </c>
      <c r="K124" s="45">
        <v>28.257949446998648</v>
      </c>
      <c r="L124" s="199">
        <v>1.0847395728062454</v>
      </c>
      <c r="M124" s="45">
        <v>2.4842750544119063E-2</v>
      </c>
      <c r="N124" s="198">
        <v>0.10866666247229853</v>
      </c>
      <c r="O124" s="198">
        <v>7.9905076911286385E-2</v>
      </c>
      <c r="P124" s="198">
        <v>7.3974233374027726E-2</v>
      </c>
      <c r="Q124" s="198">
        <v>4.2302629560426443E-2</v>
      </c>
      <c r="R124" s="198">
        <v>3.397914286420569E-2</v>
      </c>
      <c r="S124" s="198">
        <v>2.6371284601260828E-2</v>
      </c>
      <c r="T124" s="198">
        <v>2.7620448733461079E-2</v>
      </c>
      <c r="U124" s="198">
        <v>4.0108089668206129E-2</v>
      </c>
      <c r="V124" s="198">
        <v>5.0583078492011067E-2</v>
      </c>
      <c r="W124" s="198">
        <v>8.2441966821631199E-2</v>
      </c>
      <c r="X124" s="198">
        <v>9.6115339195396221E-2</v>
      </c>
      <c r="Y124" s="198">
        <v>0.11402168744714514</v>
      </c>
      <c r="Z124" s="198"/>
      <c r="AA124" s="198">
        <v>0.1784244146182741</v>
      </c>
      <c r="AB124" s="198">
        <v>0.15435052458321183</v>
      </c>
      <c r="AC124" s="198">
        <v>0.15510671277333518</v>
      </c>
      <c r="AD124" s="198">
        <v>0.14696769175042057</v>
      </c>
      <c r="AE124" s="198">
        <v>0.135343242493011</v>
      </c>
      <c r="AF124" s="198">
        <v>0.12293410625841673</v>
      </c>
      <c r="AG124" s="198">
        <v>0.13439840566782024</v>
      </c>
      <c r="AH124" s="198">
        <v>0.14525121077095249</v>
      </c>
      <c r="AI124" s="198">
        <v>0.15593393464118435</v>
      </c>
      <c r="AJ124" s="198">
        <v>0.16140646183817914</v>
      </c>
      <c r="AK124" s="198">
        <v>0.17016638599507808</v>
      </c>
      <c r="AL124" s="198">
        <v>0.17864153845378286</v>
      </c>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row>
    <row r="125" spans="1:131">
      <c r="A125" s="24"/>
      <c r="B125" s="24" t="s">
        <v>647</v>
      </c>
      <c r="C125" s="228">
        <v>0</v>
      </c>
      <c r="D125" s="228">
        <v>0</v>
      </c>
      <c r="E125" s="228">
        <v>0</v>
      </c>
      <c r="F125" s="228">
        <v>0</v>
      </c>
      <c r="G125" s="228">
        <v>0</v>
      </c>
      <c r="H125" s="228">
        <v>0</v>
      </c>
      <c r="I125" s="228">
        <v>0</v>
      </c>
      <c r="J125" s="228">
        <v>0</v>
      </c>
      <c r="K125" s="228">
        <v>0</v>
      </c>
      <c r="L125" s="229">
        <v>0</v>
      </c>
      <c r="M125" s="228">
        <v>0</v>
      </c>
      <c r="N125" s="228">
        <v>0</v>
      </c>
      <c r="O125" s="228">
        <v>0</v>
      </c>
      <c r="P125" s="228">
        <v>0</v>
      </c>
      <c r="Q125" s="228">
        <v>0</v>
      </c>
      <c r="R125" s="228">
        <v>0</v>
      </c>
      <c r="S125" s="228">
        <v>0</v>
      </c>
      <c r="T125" s="228">
        <v>0</v>
      </c>
      <c r="U125" s="228">
        <v>0</v>
      </c>
      <c r="V125" s="228">
        <v>0</v>
      </c>
      <c r="W125" s="228">
        <v>0</v>
      </c>
      <c r="X125" s="228">
        <v>0</v>
      </c>
      <c r="Y125" s="228">
        <v>0</v>
      </c>
      <c r="Z125" s="228"/>
      <c r="AA125" s="228">
        <v>0</v>
      </c>
      <c r="AB125" s="228">
        <v>0</v>
      </c>
      <c r="AC125" s="228">
        <v>0</v>
      </c>
      <c r="AD125" s="228">
        <v>0</v>
      </c>
      <c r="AE125" s="228">
        <v>0</v>
      </c>
      <c r="AF125" s="228">
        <v>0</v>
      </c>
      <c r="AG125" s="228">
        <v>0</v>
      </c>
      <c r="AH125" s="228">
        <v>0</v>
      </c>
      <c r="AI125" s="228">
        <v>0</v>
      </c>
      <c r="AJ125" s="228">
        <v>0</v>
      </c>
      <c r="AK125" s="228">
        <v>0</v>
      </c>
      <c r="AL125" s="228">
        <v>0</v>
      </c>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row>
    <row r="126" spans="1:131">
      <c r="A126" s="24"/>
      <c r="B126" s="24" t="s">
        <v>648</v>
      </c>
      <c r="C126" s="228">
        <v>0</v>
      </c>
      <c r="D126" s="228">
        <v>0</v>
      </c>
      <c r="E126" s="228">
        <v>0</v>
      </c>
      <c r="F126" s="228">
        <v>0</v>
      </c>
      <c r="G126" s="228">
        <v>0</v>
      </c>
      <c r="H126" s="228">
        <v>0</v>
      </c>
      <c r="I126" s="228">
        <v>0</v>
      </c>
      <c r="J126" s="228">
        <v>0</v>
      </c>
      <c r="K126" s="228">
        <v>0</v>
      </c>
      <c r="L126" s="229">
        <v>0</v>
      </c>
      <c r="M126" s="228">
        <v>0</v>
      </c>
      <c r="N126" s="228">
        <v>0</v>
      </c>
      <c r="O126" s="228">
        <v>0</v>
      </c>
      <c r="P126" s="228">
        <v>0</v>
      </c>
      <c r="Q126" s="228">
        <v>0</v>
      </c>
      <c r="R126" s="228">
        <v>0</v>
      </c>
      <c r="S126" s="228">
        <v>0</v>
      </c>
      <c r="T126" s="228">
        <v>0</v>
      </c>
      <c r="U126" s="228">
        <v>0</v>
      </c>
      <c r="V126" s="228">
        <v>0</v>
      </c>
      <c r="W126" s="228">
        <v>0</v>
      </c>
      <c r="X126" s="228">
        <v>0</v>
      </c>
      <c r="Y126" s="228">
        <v>0</v>
      </c>
      <c r="Z126" s="228"/>
      <c r="AA126" s="228">
        <v>0</v>
      </c>
      <c r="AB126" s="228">
        <v>0</v>
      </c>
      <c r="AC126" s="228">
        <v>0</v>
      </c>
      <c r="AD126" s="228">
        <v>0</v>
      </c>
      <c r="AE126" s="228">
        <v>0</v>
      </c>
      <c r="AF126" s="228">
        <v>0</v>
      </c>
      <c r="AG126" s="228">
        <v>0</v>
      </c>
      <c r="AH126" s="228">
        <v>0</v>
      </c>
      <c r="AI126" s="228">
        <v>0</v>
      </c>
      <c r="AJ126" s="228">
        <v>0</v>
      </c>
      <c r="AK126" s="228">
        <v>0</v>
      </c>
      <c r="AL126" s="228">
        <v>0</v>
      </c>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row>
    <row r="127" spans="1:131">
      <c r="A127" s="24"/>
      <c r="B127" s="24" t="s">
        <v>649</v>
      </c>
      <c r="C127" s="228">
        <v>0</v>
      </c>
      <c r="D127" s="228">
        <v>0</v>
      </c>
      <c r="E127" s="228">
        <v>0</v>
      </c>
      <c r="F127" s="228">
        <v>0</v>
      </c>
      <c r="G127" s="228">
        <v>0</v>
      </c>
      <c r="H127" s="228">
        <v>0</v>
      </c>
      <c r="I127" s="228">
        <v>0</v>
      </c>
      <c r="J127" s="228">
        <v>0</v>
      </c>
      <c r="K127" s="228">
        <v>0</v>
      </c>
      <c r="L127" s="229">
        <v>0</v>
      </c>
      <c r="M127" s="228">
        <v>0</v>
      </c>
      <c r="N127" s="228">
        <v>0</v>
      </c>
      <c r="O127" s="228">
        <v>0</v>
      </c>
      <c r="P127" s="228">
        <v>0</v>
      </c>
      <c r="Q127" s="228">
        <v>0</v>
      </c>
      <c r="R127" s="228">
        <v>0</v>
      </c>
      <c r="S127" s="228">
        <v>0</v>
      </c>
      <c r="T127" s="228">
        <v>0</v>
      </c>
      <c r="U127" s="228">
        <v>0</v>
      </c>
      <c r="V127" s="228">
        <v>0</v>
      </c>
      <c r="W127" s="228">
        <v>0</v>
      </c>
      <c r="X127" s="228">
        <v>0</v>
      </c>
      <c r="Y127" s="228">
        <v>0</v>
      </c>
      <c r="Z127" s="228"/>
      <c r="AA127" s="228">
        <v>0</v>
      </c>
      <c r="AB127" s="228">
        <v>0</v>
      </c>
      <c r="AC127" s="228">
        <v>0</v>
      </c>
      <c r="AD127" s="228">
        <v>0</v>
      </c>
      <c r="AE127" s="228">
        <v>0</v>
      </c>
      <c r="AF127" s="228">
        <v>0</v>
      </c>
      <c r="AG127" s="228">
        <v>0</v>
      </c>
      <c r="AH127" s="228">
        <v>0</v>
      </c>
      <c r="AI127" s="228">
        <v>0</v>
      </c>
      <c r="AJ127" s="228">
        <v>0</v>
      </c>
      <c r="AK127" s="228">
        <v>0</v>
      </c>
      <c r="AL127" s="228">
        <v>0</v>
      </c>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row>
    <row r="128" spans="1:131">
      <c r="A128" s="24"/>
      <c r="B128" s="24" t="s">
        <v>650</v>
      </c>
      <c r="C128" s="228">
        <v>0</v>
      </c>
      <c r="D128" s="228">
        <v>0</v>
      </c>
      <c r="E128" s="228">
        <v>0</v>
      </c>
      <c r="F128" s="228">
        <v>0</v>
      </c>
      <c r="G128" s="228">
        <v>0</v>
      </c>
      <c r="H128" s="228">
        <v>0</v>
      </c>
      <c r="I128" s="228">
        <v>0</v>
      </c>
      <c r="J128" s="228">
        <v>0</v>
      </c>
      <c r="K128" s="228">
        <v>0</v>
      </c>
      <c r="L128" s="229">
        <v>0</v>
      </c>
      <c r="M128" s="228">
        <v>0</v>
      </c>
      <c r="N128" s="228">
        <v>0</v>
      </c>
      <c r="O128" s="228">
        <v>0</v>
      </c>
      <c r="P128" s="228">
        <v>0</v>
      </c>
      <c r="Q128" s="228">
        <v>0</v>
      </c>
      <c r="R128" s="228">
        <v>0</v>
      </c>
      <c r="S128" s="228">
        <v>0</v>
      </c>
      <c r="T128" s="228">
        <v>0</v>
      </c>
      <c r="U128" s="228">
        <v>0</v>
      </c>
      <c r="V128" s="228">
        <v>0</v>
      </c>
      <c r="W128" s="228">
        <v>0</v>
      </c>
      <c r="X128" s="228">
        <v>0</v>
      </c>
      <c r="Y128" s="228">
        <v>0</v>
      </c>
      <c r="Z128" s="228"/>
      <c r="AA128" s="228">
        <v>0</v>
      </c>
      <c r="AB128" s="228">
        <v>0</v>
      </c>
      <c r="AC128" s="228">
        <v>0</v>
      </c>
      <c r="AD128" s="228">
        <v>0</v>
      </c>
      <c r="AE128" s="228">
        <v>0</v>
      </c>
      <c r="AF128" s="228">
        <v>0</v>
      </c>
      <c r="AG128" s="228">
        <v>0</v>
      </c>
      <c r="AH128" s="228">
        <v>0</v>
      </c>
      <c r="AI128" s="228">
        <v>0</v>
      </c>
      <c r="AJ128" s="228">
        <v>0</v>
      </c>
      <c r="AK128" s="228">
        <v>0</v>
      </c>
      <c r="AL128" s="228">
        <v>0</v>
      </c>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row>
    <row r="129" spans="1:131">
      <c r="A129" s="24"/>
      <c r="B129" s="24" t="s">
        <v>651</v>
      </c>
      <c r="C129" s="228">
        <v>0</v>
      </c>
      <c r="D129" s="228">
        <v>0</v>
      </c>
      <c r="E129" s="228">
        <v>0</v>
      </c>
      <c r="F129" s="228">
        <v>0</v>
      </c>
      <c r="G129" s="228">
        <v>0</v>
      </c>
      <c r="H129" s="228">
        <v>0</v>
      </c>
      <c r="I129" s="228">
        <v>0</v>
      </c>
      <c r="J129" s="228">
        <v>0</v>
      </c>
      <c r="K129" s="228">
        <v>0</v>
      </c>
      <c r="L129" s="229">
        <v>0</v>
      </c>
      <c r="M129" s="228">
        <v>0</v>
      </c>
      <c r="N129" s="228">
        <v>0</v>
      </c>
      <c r="O129" s="228">
        <v>0</v>
      </c>
      <c r="P129" s="228">
        <v>0</v>
      </c>
      <c r="Q129" s="228">
        <v>0</v>
      </c>
      <c r="R129" s="228">
        <v>0</v>
      </c>
      <c r="S129" s="228">
        <v>0</v>
      </c>
      <c r="T129" s="228">
        <v>0</v>
      </c>
      <c r="U129" s="228">
        <v>0</v>
      </c>
      <c r="V129" s="228">
        <v>0</v>
      </c>
      <c r="W129" s="228">
        <v>0</v>
      </c>
      <c r="X129" s="228">
        <v>0</v>
      </c>
      <c r="Y129" s="228">
        <v>0</v>
      </c>
      <c r="Z129" s="228"/>
      <c r="AA129" s="228">
        <v>0</v>
      </c>
      <c r="AB129" s="228">
        <v>0</v>
      </c>
      <c r="AC129" s="228">
        <v>0</v>
      </c>
      <c r="AD129" s="228">
        <v>0</v>
      </c>
      <c r="AE129" s="228">
        <v>0</v>
      </c>
      <c r="AF129" s="228">
        <v>0</v>
      </c>
      <c r="AG129" s="228">
        <v>0</v>
      </c>
      <c r="AH129" s="228">
        <v>0</v>
      </c>
      <c r="AI129" s="228">
        <v>0</v>
      </c>
      <c r="AJ129" s="228">
        <v>0</v>
      </c>
      <c r="AK129" s="228">
        <v>0</v>
      </c>
      <c r="AL129" s="228">
        <v>0</v>
      </c>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row>
    <row r="130" spans="1:131">
      <c r="A130" s="24"/>
      <c r="B130" s="24" t="s">
        <v>652</v>
      </c>
      <c r="C130" s="228">
        <v>0</v>
      </c>
      <c r="D130" s="228">
        <v>0</v>
      </c>
      <c r="E130" s="228">
        <v>0</v>
      </c>
      <c r="F130" s="228">
        <v>0</v>
      </c>
      <c r="G130" s="228">
        <v>0</v>
      </c>
      <c r="H130" s="228">
        <v>0</v>
      </c>
      <c r="I130" s="228">
        <v>0</v>
      </c>
      <c r="J130" s="228">
        <v>0</v>
      </c>
      <c r="K130" s="228">
        <v>0</v>
      </c>
      <c r="L130" s="229">
        <v>0</v>
      </c>
      <c r="M130" s="228">
        <v>0</v>
      </c>
      <c r="N130" s="228">
        <v>0</v>
      </c>
      <c r="O130" s="228">
        <v>0</v>
      </c>
      <c r="P130" s="228">
        <v>0</v>
      </c>
      <c r="Q130" s="228">
        <v>0</v>
      </c>
      <c r="R130" s="228">
        <v>0</v>
      </c>
      <c r="S130" s="228">
        <v>0</v>
      </c>
      <c r="T130" s="228">
        <v>0</v>
      </c>
      <c r="U130" s="228">
        <v>0</v>
      </c>
      <c r="V130" s="228">
        <v>0</v>
      </c>
      <c r="W130" s="228">
        <v>0</v>
      </c>
      <c r="X130" s="228">
        <v>0</v>
      </c>
      <c r="Y130" s="228">
        <v>0</v>
      </c>
      <c r="Z130" s="228"/>
      <c r="AA130" s="228">
        <v>0</v>
      </c>
      <c r="AB130" s="228">
        <v>0</v>
      </c>
      <c r="AC130" s="228">
        <v>0</v>
      </c>
      <c r="AD130" s="228">
        <v>0</v>
      </c>
      <c r="AE130" s="228">
        <v>0</v>
      </c>
      <c r="AF130" s="228">
        <v>0</v>
      </c>
      <c r="AG130" s="228">
        <v>0</v>
      </c>
      <c r="AH130" s="228">
        <v>0</v>
      </c>
      <c r="AI130" s="228">
        <v>0</v>
      </c>
      <c r="AJ130" s="228">
        <v>0</v>
      </c>
      <c r="AK130" s="228">
        <v>0</v>
      </c>
      <c r="AL130" s="228">
        <v>0</v>
      </c>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row>
    <row r="131" spans="1:131">
      <c r="A131" s="24"/>
      <c r="B131" s="24" t="s">
        <v>653</v>
      </c>
      <c r="C131" s="228">
        <v>0</v>
      </c>
      <c r="D131" s="228">
        <v>0</v>
      </c>
      <c r="E131" s="228">
        <v>0</v>
      </c>
      <c r="F131" s="228">
        <v>0</v>
      </c>
      <c r="G131" s="228">
        <v>0</v>
      </c>
      <c r="H131" s="228">
        <v>0</v>
      </c>
      <c r="I131" s="228">
        <v>0</v>
      </c>
      <c r="J131" s="228">
        <v>0</v>
      </c>
      <c r="K131" s="228">
        <v>0</v>
      </c>
      <c r="L131" s="229">
        <v>0</v>
      </c>
      <c r="M131" s="228">
        <v>0</v>
      </c>
      <c r="N131" s="228">
        <v>0</v>
      </c>
      <c r="O131" s="228">
        <v>0</v>
      </c>
      <c r="P131" s="228">
        <v>0</v>
      </c>
      <c r="Q131" s="228">
        <v>0</v>
      </c>
      <c r="R131" s="228">
        <v>0</v>
      </c>
      <c r="S131" s="228">
        <v>0</v>
      </c>
      <c r="T131" s="228">
        <v>0</v>
      </c>
      <c r="U131" s="228">
        <v>0</v>
      </c>
      <c r="V131" s="228">
        <v>0</v>
      </c>
      <c r="W131" s="228">
        <v>0</v>
      </c>
      <c r="X131" s="228">
        <v>0</v>
      </c>
      <c r="Y131" s="228">
        <v>0</v>
      </c>
      <c r="Z131" s="228"/>
      <c r="AA131" s="228">
        <v>0</v>
      </c>
      <c r="AB131" s="228">
        <v>0</v>
      </c>
      <c r="AC131" s="228">
        <v>0</v>
      </c>
      <c r="AD131" s="228">
        <v>0</v>
      </c>
      <c r="AE131" s="228">
        <v>0</v>
      </c>
      <c r="AF131" s="228">
        <v>0</v>
      </c>
      <c r="AG131" s="228">
        <v>0</v>
      </c>
      <c r="AH131" s="228">
        <v>0</v>
      </c>
      <c r="AI131" s="228">
        <v>0</v>
      </c>
      <c r="AJ131" s="228">
        <v>0</v>
      </c>
      <c r="AK131" s="228">
        <v>0</v>
      </c>
      <c r="AL131" s="228">
        <v>0</v>
      </c>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row>
    <row r="132" spans="1:131">
      <c r="A132" s="24"/>
      <c r="B132" s="24" t="s">
        <v>654</v>
      </c>
      <c r="C132" s="228">
        <v>0</v>
      </c>
      <c r="D132" s="228">
        <v>0</v>
      </c>
      <c r="E132" s="228">
        <v>0</v>
      </c>
      <c r="F132" s="228">
        <v>0</v>
      </c>
      <c r="G132" s="228">
        <v>0</v>
      </c>
      <c r="H132" s="228">
        <v>0</v>
      </c>
      <c r="I132" s="228">
        <v>0</v>
      </c>
      <c r="J132" s="228">
        <v>0</v>
      </c>
      <c r="K132" s="228">
        <v>0</v>
      </c>
      <c r="L132" s="229">
        <v>0</v>
      </c>
      <c r="M132" s="228">
        <v>0</v>
      </c>
      <c r="N132" s="228">
        <v>0</v>
      </c>
      <c r="O132" s="228">
        <v>0</v>
      </c>
      <c r="P132" s="228">
        <v>0</v>
      </c>
      <c r="Q132" s="228">
        <v>0</v>
      </c>
      <c r="R132" s="228">
        <v>0</v>
      </c>
      <c r="S132" s="228">
        <v>0</v>
      </c>
      <c r="T132" s="228">
        <v>0</v>
      </c>
      <c r="U132" s="228">
        <v>0</v>
      </c>
      <c r="V132" s="228">
        <v>0</v>
      </c>
      <c r="W132" s="228">
        <v>0</v>
      </c>
      <c r="X132" s="228">
        <v>0</v>
      </c>
      <c r="Y132" s="228">
        <v>0</v>
      </c>
      <c r="Z132" s="228"/>
      <c r="AA132" s="228">
        <v>0</v>
      </c>
      <c r="AB132" s="228">
        <v>0</v>
      </c>
      <c r="AC132" s="228">
        <v>0</v>
      </c>
      <c r="AD132" s="228">
        <v>0</v>
      </c>
      <c r="AE132" s="228">
        <v>0</v>
      </c>
      <c r="AF132" s="228">
        <v>0</v>
      </c>
      <c r="AG132" s="228">
        <v>0</v>
      </c>
      <c r="AH132" s="228">
        <v>0</v>
      </c>
      <c r="AI132" s="228">
        <v>0</v>
      </c>
      <c r="AJ132" s="228">
        <v>0</v>
      </c>
      <c r="AK132" s="228">
        <v>0</v>
      </c>
      <c r="AL132" s="228">
        <v>0</v>
      </c>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row>
    <row r="133" spans="1:131">
      <c r="A133" s="24"/>
      <c r="B133" s="24" t="s">
        <v>655</v>
      </c>
      <c r="C133" s="228">
        <v>0</v>
      </c>
      <c r="D133" s="228">
        <v>0</v>
      </c>
      <c r="E133" s="228">
        <v>0</v>
      </c>
      <c r="F133" s="228">
        <v>0</v>
      </c>
      <c r="G133" s="228">
        <v>0</v>
      </c>
      <c r="H133" s="228">
        <v>0</v>
      </c>
      <c r="I133" s="228">
        <v>0</v>
      </c>
      <c r="J133" s="228">
        <v>0</v>
      </c>
      <c r="K133" s="228">
        <v>0</v>
      </c>
      <c r="L133" s="229">
        <v>0</v>
      </c>
      <c r="M133" s="228">
        <v>0</v>
      </c>
      <c r="N133" s="228">
        <v>0</v>
      </c>
      <c r="O133" s="228">
        <v>0</v>
      </c>
      <c r="P133" s="228">
        <v>0</v>
      </c>
      <c r="Q133" s="228">
        <v>0</v>
      </c>
      <c r="R133" s="228">
        <v>0</v>
      </c>
      <c r="S133" s="228">
        <v>0</v>
      </c>
      <c r="T133" s="228">
        <v>0</v>
      </c>
      <c r="U133" s="228">
        <v>0</v>
      </c>
      <c r="V133" s="228">
        <v>0</v>
      </c>
      <c r="W133" s="228">
        <v>0</v>
      </c>
      <c r="X133" s="228">
        <v>0</v>
      </c>
      <c r="Y133" s="228">
        <v>0</v>
      </c>
      <c r="Z133" s="228"/>
      <c r="AA133" s="228">
        <v>0</v>
      </c>
      <c r="AB133" s="228">
        <v>0</v>
      </c>
      <c r="AC133" s="228">
        <v>0</v>
      </c>
      <c r="AD133" s="228">
        <v>0</v>
      </c>
      <c r="AE133" s="228">
        <v>0</v>
      </c>
      <c r="AF133" s="228">
        <v>0</v>
      </c>
      <c r="AG133" s="228">
        <v>0</v>
      </c>
      <c r="AH133" s="228">
        <v>0</v>
      </c>
      <c r="AI133" s="228">
        <v>0</v>
      </c>
      <c r="AJ133" s="228">
        <v>0</v>
      </c>
      <c r="AK133" s="228">
        <v>0</v>
      </c>
      <c r="AL133" s="228">
        <v>0</v>
      </c>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row>
    <row r="134" spans="1:131">
      <c r="A134" s="24"/>
      <c r="B134" s="24" t="s">
        <v>656</v>
      </c>
      <c r="C134" s="228">
        <v>0</v>
      </c>
      <c r="D134" s="228">
        <v>0</v>
      </c>
      <c r="E134" s="228">
        <v>0</v>
      </c>
      <c r="F134" s="228">
        <v>0</v>
      </c>
      <c r="G134" s="228">
        <v>0</v>
      </c>
      <c r="H134" s="228">
        <v>0</v>
      </c>
      <c r="I134" s="228">
        <v>0</v>
      </c>
      <c r="J134" s="228">
        <v>0</v>
      </c>
      <c r="K134" s="228">
        <v>0</v>
      </c>
      <c r="L134" s="229">
        <v>0</v>
      </c>
      <c r="M134" s="228">
        <v>0</v>
      </c>
      <c r="N134" s="228">
        <v>0</v>
      </c>
      <c r="O134" s="228">
        <v>0</v>
      </c>
      <c r="P134" s="228">
        <v>0</v>
      </c>
      <c r="Q134" s="228">
        <v>0</v>
      </c>
      <c r="R134" s="228">
        <v>0</v>
      </c>
      <c r="S134" s="228">
        <v>0</v>
      </c>
      <c r="T134" s="228">
        <v>0</v>
      </c>
      <c r="U134" s="228">
        <v>0</v>
      </c>
      <c r="V134" s="228">
        <v>0</v>
      </c>
      <c r="W134" s="228">
        <v>0</v>
      </c>
      <c r="X134" s="228">
        <v>0</v>
      </c>
      <c r="Y134" s="228">
        <v>0</v>
      </c>
      <c r="Z134" s="228"/>
      <c r="AA134" s="228">
        <v>0</v>
      </c>
      <c r="AB134" s="228">
        <v>0</v>
      </c>
      <c r="AC134" s="228">
        <v>0</v>
      </c>
      <c r="AD134" s="228">
        <v>0</v>
      </c>
      <c r="AE134" s="228">
        <v>0</v>
      </c>
      <c r="AF134" s="228">
        <v>0</v>
      </c>
      <c r="AG134" s="228">
        <v>0</v>
      </c>
      <c r="AH134" s="228">
        <v>0</v>
      </c>
      <c r="AI134" s="228">
        <v>0</v>
      </c>
      <c r="AJ134" s="228">
        <v>0</v>
      </c>
      <c r="AK134" s="228">
        <v>0</v>
      </c>
      <c r="AL134" s="228">
        <v>0</v>
      </c>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c r="CA134" s="45"/>
      <c r="CB134" s="45"/>
      <c r="CC134" s="45"/>
      <c r="CD134" s="45"/>
      <c r="CE134" s="45"/>
      <c r="CF134" s="45"/>
      <c r="CG134" s="45"/>
      <c r="CH134" s="45"/>
      <c r="CI134" s="45"/>
      <c r="CJ134" s="45"/>
      <c r="CK134" s="45"/>
      <c r="CL134" s="45"/>
      <c r="CM134" s="45"/>
      <c r="CN134" s="45"/>
      <c r="CO134" s="45"/>
      <c r="CP134" s="45"/>
      <c r="CQ134" s="45"/>
      <c r="CR134" s="45"/>
      <c r="CS134" s="45"/>
      <c r="CT134" s="45"/>
      <c r="CU134" s="45"/>
      <c r="CV134" s="45"/>
      <c r="CW134" s="45"/>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row>
    <row r="135" spans="1:131">
      <c r="A135" s="24"/>
      <c r="B135" s="24" t="s">
        <v>657</v>
      </c>
      <c r="C135" s="228">
        <v>0</v>
      </c>
      <c r="D135" s="228">
        <v>0</v>
      </c>
      <c r="E135" s="228">
        <v>0</v>
      </c>
      <c r="F135" s="228">
        <v>0</v>
      </c>
      <c r="G135" s="228">
        <v>0</v>
      </c>
      <c r="H135" s="228">
        <v>0</v>
      </c>
      <c r="I135" s="228">
        <v>0</v>
      </c>
      <c r="J135" s="228">
        <v>0</v>
      </c>
      <c r="K135" s="228">
        <v>0</v>
      </c>
      <c r="L135" s="229">
        <v>0</v>
      </c>
      <c r="M135" s="228">
        <v>0</v>
      </c>
      <c r="N135" s="228">
        <v>0</v>
      </c>
      <c r="O135" s="228">
        <v>0</v>
      </c>
      <c r="P135" s="228">
        <v>0</v>
      </c>
      <c r="Q135" s="228">
        <v>0</v>
      </c>
      <c r="R135" s="228">
        <v>0</v>
      </c>
      <c r="S135" s="228">
        <v>0</v>
      </c>
      <c r="T135" s="228">
        <v>0</v>
      </c>
      <c r="U135" s="228">
        <v>0</v>
      </c>
      <c r="V135" s="228">
        <v>0</v>
      </c>
      <c r="W135" s="228">
        <v>0</v>
      </c>
      <c r="X135" s="228">
        <v>0</v>
      </c>
      <c r="Y135" s="228">
        <v>0</v>
      </c>
      <c r="Z135" s="228"/>
      <c r="AA135" s="228">
        <v>0</v>
      </c>
      <c r="AB135" s="228">
        <v>0</v>
      </c>
      <c r="AC135" s="228">
        <v>0</v>
      </c>
      <c r="AD135" s="228">
        <v>0</v>
      </c>
      <c r="AE135" s="228">
        <v>0</v>
      </c>
      <c r="AF135" s="228">
        <v>0</v>
      </c>
      <c r="AG135" s="228">
        <v>0</v>
      </c>
      <c r="AH135" s="228">
        <v>0</v>
      </c>
      <c r="AI135" s="228">
        <v>0</v>
      </c>
      <c r="AJ135" s="228">
        <v>0</v>
      </c>
      <c r="AK135" s="228">
        <v>0</v>
      </c>
      <c r="AL135" s="228">
        <v>0</v>
      </c>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row>
    <row r="136" spans="1:131">
      <c r="A136" s="24"/>
      <c r="B136" s="24" t="s">
        <v>658</v>
      </c>
      <c r="C136" s="228">
        <v>0</v>
      </c>
      <c r="D136" s="228">
        <v>0</v>
      </c>
      <c r="E136" s="228">
        <v>0</v>
      </c>
      <c r="F136" s="228">
        <v>0</v>
      </c>
      <c r="G136" s="228">
        <v>0</v>
      </c>
      <c r="H136" s="228">
        <v>0</v>
      </c>
      <c r="I136" s="228">
        <v>0</v>
      </c>
      <c r="J136" s="228">
        <v>0</v>
      </c>
      <c r="K136" s="228">
        <v>0</v>
      </c>
      <c r="L136" s="229">
        <v>0</v>
      </c>
      <c r="M136" s="228">
        <v>0</v>
      </c>
      <c r="N136" s="228">
        <v>0</v>
      </c>
      <c r="O136" s="228">
        <v>0</v>
      </c>
      <c r="P136" s="228">
        <v>0</v>
      </c>
      <c r="Q136" s="228">
        <v>0</v>
      </c>
      <c r="R136" s="228">
        <v>0</v>
      </c>
      <c r="S136" s="228">
        <v>0</v>
      </c>
      <c r="T136" s="228">
        <v>0</v>
      </c>
      <c r="U136" s="228">
        <v>0</v>
      </c>
      <c r="V136" s="228">
        <v>0</v>
      </c>
      <c r="W136" s="228">
        <v>0</v>
      </c>
      <c r="X136" s="228">
        <v>0</v>
      </c>
      <c r="Y136" s="228">
        <v>0</v>
      </c>
      <c r="Z136" s="228"/>
      <c r="AA136" s="228">
        <v>0</v>
      </c>
      <c r="AB136" s="228">
        <v>0</v>
      </c>
      <c r="AC136" s="228">
        <v>0</v>
      </c>
      <c r="AD136" s="228">
        <v>0</v>
      </c>
      <c r="AE136" s="228">
        <v>0</v>
      </c>
      <c r="AF136" s="228">
        <v>0</v>
      </c>
      <c r="AG136" s="228">
        <v>0</v>
      </c>
      <c r="AH136" s="228">
        <v>0</v>
      </c>
      <c r="AI136" s="228">
        <v>0</v>
      </c>
      <c r="AJ136" s="228">
        <v>0</v>
      </c>
      <c r="AK136" s="228">
        <v>0</v>
      </c>
      <c r="AL136" s="228">
        <v>0</v>
      </c>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row>
    <row r="137" spans="1:131">
      <c r="A137" s="24"/>
      <c r="B137" s="24" t="s">
        <v>659</v>
      </c>
      <c r="C137" s="228">
        <v>0</v>
      </c>
      <c r="D137" s="228">
        <v>0</v>
      </c>
      <c r="E137" s="228">
        <v>0</v>
      </c>
      <c r="F137" s="228">
        <v>0</v>
      </c>
      <c r="G137" s="228">
        <v>0</v>
      </c>
      <c r="H137" s="228">
        <v>0</v>
      </c>
      <c r="I137" s="228">
        <v>0</v>
      </c>
      <c r="J137" s="228">
        <v>0</v>
      </c>
      <c r="K137" s="228">
        <v>0</v>
      </c>
      <c r="L137" s="229">
        <v>0</v>
      </c>
      <c r="M137" s="228">
        <v>0</v>
      </c>
      <c r="N137" s="228">
        <v>0</v>
      </c>
      <c r="O137" s="228">
        <v>0</v>
      </c>
      <c r="P137" s="228">
        <v>0</v>
      </c>
      <c r="Q137" s="228">
        <v>0</v>
      </c>
      <c r="R137" s="228">
        <v>0</v>
      </c>
      <c r="S137" s="228">
        <v>0</v>
      </c>
      <c r="T137" s="228">
        <v>0</v>
      </c>
      <c r="U137" s="228">
        <v>0</v>
      </c>
      <c r="V137" s="228">
        <v>0</v>
      </c>
      <c r="W137" s="228">
        <v>0</v>
      </c>
      <c r="X137" s="228">
        <v>0</v>
      </c>
      <c r="Y137" s="228">
        <v>0</v>
      </c>
      <c r="Z137" s="228"/>
      <c r="AA137" s="228">
        <v>0</v>
      </c>
      <c r="AB137" s="228">
        <v>0</v>
      </c>
      <c r="AC137" s="228">
        <v>0</v>
      </c>
      <c r="AD137" s="228">
        <v>0</v>
      </c>
      <c r="AE137" s="228">
        <v>0</v>
      </c>
      <c r="AF137" s="228">
        <v>0</v>
      </c>
      <c r="AG137" s="228">
        <v>0</v>
      </c>
      <c r="AH137" s="228">
        <v>0</v>
      </c>
      <c r="AI137" s="228">
        <v>0</v>
      </c>
      <c r="AJ137" s="228">
        <v>0</v>
      </c>
      <c r="AK137" s="228">
        <v>0</v>
      </c>
      <c r="AL137" s="228">
        <v>0</v>
      </c>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c r="CA137" s="45"/>
      <c r="CB137" s="45"/>
      <c r="CC137" s="45"/>
      <c r="CD137" s="45"/>
      <c r="CE137" s="45"/>
      <c r="CF137" s="45"/>
      <c r="CG137" s="45"/>
      <c r="CH137" s="45"/>
      <c r="CI137" s="45"/>
      <c r="CJ137" s="45"/>
      <c r="CK137" s="45"/>
      <c r="CL137" s="45"/>
      <c r="CM137" s="45"/>
      <c r="CN137" s="45"/>
      <c r="CO137" s="45"/>
      <c r="CP137" s="45"/>
      <c r="CQ137" s="45"/>
      <c r="CR137" s="45"/>
      <c r="CS137" s="45"/>
      <c r="CT137" s="45"/>
      <c r="CU137" s="45"/>
      <c r="CV137" s="45"/>
      <c r="CW137" s="45"/>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row>
    <row r="138" spans="1:131">
      <c r="A138" s="24"/>
      <c r="B138" s="24" t="s">
        <v>660</v>
      </c>
      <c r="C138" s="228">
        <v>0</v>
      </c>
      <c r="D138" s="228">
        <v>0</v>
      </c>
      <c r="E138" s="228">
        <v>0</v>
      </c>
      <c r="F138" s="228">
        <v>0</v>
      </c>
      <c r="G138" s="228">
        <v>0</v>
      </c>
      <c r="H138" s="228">
        <v>0</v>
      </c>
      <c r="I138" s="228">
        <v>0</v>
      </c>
      <c r="J138" s="228">
        <v>0</v>
      </c>
      <c r="K138" s="228">
        <v>0</v>
      </c>
      <c r="L138" s="229">
        <v>0</v>
      </c>
      <c r="M138" s="228">
        <v>0</v>
      </c>
      <c r="N138" s="228">
        <v>0</v>
      </c>
      <c r="O138" s="228">
        <v>0</v>
      </c>
      <c r="P138" s="228">
        <v>0</v>
      </c>
      <c r="Q138" s="228">
        <v>0</v>
      </c>
      <c r="R138" s="228">
        <v>0</v>
      </c>
      <c r="S138" s="228">
        <v>0</v>
      </c>
      <c r="T138" s="228">
        <v>0</v>
      </c>
      <c r="U138" s="228">
        <v>0</v>
      </c>
      <c r="V138" s="228">
        <v>0</v>
      </c>
      <c r="W138" s="228">
        <v>0</v>
      </c>
      <c r="X138" s="228">
        <v>0</v>
      </c>
      <c r="Y138" s="228">
        <v>0</v>
      </c>
      <c r="Z138" s="228"/>
      <c r="AA138" s="228">
        <v>0</v>
      </c>
      <c r="AB138" s="228">
        <v>0</v>
      </c>
      <c r="AC138" s="228">
        <v>0</v>
      </c>
      <c r="AD138" s="228">
        <v>0</v>
      </c>
      <c r="AE138" s="228">
        <v>0</v>
      </c>
      <c r="AF138" s="228">
        <v>0</v>
      </c>
      <c r="AG138" s="228">
        <v>0</v>
      </c>
      <c r="AH138" s="228">
        <v>0</v>
      </c>
      <c r="AI138" s="228">
        <v>0</v>
      </c>
      <c r="AJ138" s="228">
        <v>0</v>
      </c>
      <c r="AK138" s="228">
        <v>0</v>
      </c>
      <c r="AL138" s="228">
        <v>0</v>
      </c>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row>
    <row r="139" spans="1:131">
      <c r="A139" s="24"/>
      <c r="B139" s="24" t="s">
        <v>661</v>
      </c>
      <c r="C139" s="228">
        <v>0</v>
      </c>
      <c r="D139" s="228">
        <v>0</v>
      </c>
      <c r="E139" s="228">
        <v>0</v>
      </c>
      <c r="F139" s="228">
        <v>0</v>
      </c>
      <c r="G139" s="228">
        <v>0</v>
      </c>
      <c r="H139" s="228">
        <v>0</v>
      </c>
      <c r="I139" s="228">
        <v>0</v>
      </c>
      <c r="J139" s="228">
        <v>0</v>
      </c>
      <c r="K139" s="228">
        <v>0</v>
      </c>
      <c r="L139" s="229">
        <v>0</v>
      </c>
      <c r="M139" s="228">
        <v>0</v>
      </c>
      <c r="N139" s="228">
        <v>0</v>
      </c>
      <c r="O139" s="228">
        <v>0</v>
      </c>
      <c r="P139" s="228">
        <v>0</v>
      </c>
      <c r="Q139" s="228">
        <v>0</v>
      </c>
      <c r="R139" s="228">
        <v>0</v>
      </c>
      <c r="S139" s="228">
        <v>0</v>
      </c>
      <c r="T139" s="228">
        <v>0</v>
      </c>
      <c r="U139" s="228">
        <v>0</v>
      </c>
      <c r="V139" s="228">
        <v>0</v>
      </c>
      <c r="W139" s="228">
        <v>0</v>
      </c>
      <c r="X139" s="228">
        <v>0</v>
      </c>
      <c r="Y139" s="228">
        <v>0</v>
      </c>
      <c r="Z139" s="228"/>
      <c r="AA139" s="228">
        <v>0</v>
      </c>
      <c r="AB139" s="228">
        <v>0</v>
      </c>
      <c r="AC139" s="228">
        <v>0</v>
      </c>
      <c r="AD139" s="228">
        <v>0</v>
      </c>
      <c r="AE139" s="228">
        <v>0</v>
      </c>
      <c r="AF139" s="228">
        <v>0</v>
      </c>
      <c r="AG139" s="228">
        <v>0</v>
      </c>
      <c r="AH139" s="228">
        <v>0</v>
      </c>
      <c r="AI139" s="228">
        <v>0</v>
      </c>
      <c r="AJ139" s="228">
        <v>0</v>
      </c>
      <c r="AK139" s="228">
        <v>0</v>
      </c>
      <c r="AL139" s="228">
        <v>0</v>
      </c>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c r="CA139" s="45"/>
      <c r="CB139" s="45"/>
      <c r="CC139" s="45"/>
      <c r="CD139" s="45"/>
      <c r="CE139" s="45"/>
      <c r="CF139" s="45"/>
      <c r="CG139" s="45"/>
      <c r="CH139" s="45"/>
      <c r="CI139" s="45"/>
      <c r="CJ139" s="45"/>
      <c r="CK139" s="45"/>
      <c r="CL139" s="45"/>
      <c r="CM139" s="45"/>
      <c r="CN139" s="45"/>
      <c r="CO139" s="45"/>
      <c r="CP139" s="45"/>
      <c r="CQ139" s="45"/>
      <c r="CR139" s="45"/>
      <c r="CS139" s="45"/>
      <c r="CT139" s="45"/>
      <c r="CU139" s="45"/>
      <c r="CV139" s="45"/>
      <c r="CW139" s="45"/>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row>
    <row r="140" spans="1:131">
      <c r="A140" s="24"/>
      <c r="B140" s="24" t="s">
        <v>662</v>
      </c>
      <c r="C140" s="228">
        <v>0</v>
      </c>
      <c r="D140" s="228">
        <v>0</v>
      </c>
      <c r="E140" s="228">
        <v>0</v>
      </c>
      <c r="F140" s="228">
        <v>0</v>
      </c>
      <c r="G140" s="228">
        <v>0</v>
      </c>
      <c r="H140" s="228">
        <v>0</v>
      </c>
      <c r="I140" s="228">
        <v>0</v>
      </c>
      <c r="J140" s="228">
        <v>0</v>
      </c>
      <c r="K140" s="228">
        <v>0</v>
      </c>
      <c r="L140" s="229">
        <v>0</v>
      </c>
      <c r="M140" s="228">
        <v>0</v>
      </c>
      <c r="N140" s="228">
        <v>0</v>
      </c>
      <c r="O140" s="228">
        <v>0</v>
      </c>
      <c r="P140" s="228">
        <v>0</v>
      </c>
      <c r="Q140" s="228">
        <v>0</v>
      </c>
      <c r="R140" s="228">
        <v>0</v>
      </c>
      <c r="S140" s="228">
        <v>0</v>
      </c>
      <c r="T140" s="228">
        <v>0</v>
      </c>
      <c r="U140" s="228">
        <v>0</v>
      </c>
      <c r="V140" s="228">
        <v>0</v>
      </c>
      <c r="W140" s="228">
        <v>0</v>
      </c>
      <c r="X140" s="228">
        <v>0</v>
      </c>
      <c r="Y140" s="228">
        <v>0</v>
      </c>
      <c r="Z140" s="228"/>
      <c r="AA140" s="228">
        <v>0</v>
      </c>
      <c r="AB140" s="228">
        <v>0</v>
      </c>
      <c r="AC140" s="228">
        <v>0</v>
      </c>
      <c r="AD140" s="228">
        <v>0</v>
      </c>
      <c r="AE140" s="228">
        <v>0</v>
      </c>
      <c r="AF140" s="228">
        <v>0</v>
      </c>
      <c r="AG140" s="228">
        <v>0</v>
      </c>
      <c r="AH140" s="228">
        <v>0</v>
      </c>
      <c r="AI140" s="228">
        <v>0</v>
      </c>
      <c r="AJ140" s="228">
        <v>0</v>
      </c>
      <c r="AK140" s="228">
        <v>0</v>
      </c>
      <c r="AL140" s="228">
        <v>0</v>
      </c>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row>
    <row r="141" spans="1:131">
      <c r="A141" s="24"/>
      <c r="B141" s="24" t="s">
        <v>663</v>
      </c>
      <c r="C141" s="228">
        <v>0</v>
      </c>
      <c r="D141" s="228">
        <v>0</v>
      </c>
      <c r="E141" s="228">
        <v>0</v>
      </c>
      <c r="F141" s="228">
        <v>0</v>
      </c>
      <c r="G141" s="228">
        <v>0</v>
      </c>
      <c r="H141" s="228">
        <v>0</v>
      </c>
      <c r="I141" s="228">
        <v>0</v>
      </c>
      <c r="J141" s="228">
        <v>0</v>
      </c>
      <c r="K141" s="228">
        <v>0</v>
      </c>
      <c r="L141" s="229">
        <v>0</v>
      </c>
      <c r="M141" s="228">
        <v>0</v>
      </c>
      <c r="N141" s="228">
        <v>0</v>
      </c>
      <c r="O141" s="228">
        <v>0</v>
      </c>
      <c r="P141" s="228">
        <v>0</v>
      </c>
      <c r="Q141" s="228">
        <v>0</v>
      </c>
      <c r="R141" s="228">
        <v>0</v>
      </c>
      <c r="S141" s="228">
        <v>0</v>
      </c>
      <c r="T141" s="228">
        <v>0</v>
      </c>
      <c r="U141" s="228">
        <v>0</v>
      </c>
      <c r="V141" s="228">
        <v>0</v>
      </c>
      <c r="W141" s="228">
        <v>0</v>
      </c>
      <c r="X141" s="228">
        <v>0</v>
      </c>
      <c r="Y141" s="228">
        <v>0</v>
      </c>
      <c r="Z141" s="228"/>
      <c r="AA141" s="228">
        <v>0</v>
      </c>
      <c r="AB141" s="228">
        <v>0</v>
      </c>
      <c r="AC141" s="228">
        <v>0</v>
      </c>
      <c r="AD141" s="228">
        <v>0</v>
      </c>
      <c r="AE141" s="228">
        <v>0</v>
      </c>
      <c r="AF141" s="228">
        <v>0</v>
      </c>
      <c r="AG141" s="228">
        <v>0</v>
      </c>
      <c r="AH141" s="228">
        <v>0</v>
      </c>
      <c r="AI141" s="228">
        <v>0</v>
      </c>
      <c r="AJ141" s="228">
        <v>0</v>
      </c>
      <c r="AK141" s="228">
        <v>0</v>
      </c>
      <c r="AL141" s="228">
        <v>0</v>
      </c>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row>
    <row r="142" spans="1:131">
      <c r="A142" s="24"/>
      <c r="B142" s="24" t="s">
        <v>664</v>
      </c>
      <c r="C142" s="228">
        <v>0</v>
      </c>
      <c r="D142" s="228">
        <v>0</v>
      </c>
      <c r="E142" s="228">
        <v>0</v>
      </c>
      <c r="F142" s="228">
        <v>0</v>
      </c>
      <c r="G142" s="228">
        <v>0</v>
      </c>
      <c r="H142" s="228">
        <v>0</v>
      </c>
      <c r="I142" s="228">
        <v>0</v>
      </c>
      <c r="J142" s="228">
        <v>0</v>
      </c>
      <c r="K142" s="228">
        <v>0</v>
      </c>
      <c r="L142" s="229">
        <v>0</v>
      </c>
      <c r="M142" s="228">
        <v>0</v>
      </c>
      <c r="N142" s="228">
        <v>0</v>
      </c>
      <c r="O142" s="228">
        <v>0</v>
      </c>
      <c r="P142" s="228">
        <v>0</v>
      </c>
      <c r="Q142" s="228">
        <v>0</v>
      </c>
      <c r="R142" s="228">
        <v>0</v>
      </c>
      <c r="S142" s="228">
        <v>0</v>
      </c>
      <c r="T142" s="228">
        <v>0</v>
      </c>
      <c r="U142" s="228">
        <v>0</v>
      </c>
      <c r="V142" s="228">
        <v>0</v>
      </c>
      <c r="W142" s="228">
        <v>0</v>
      </c>
      <c r="X142" s="228">
        <v>0</v>
      </c>
      <c r="Y142" s="228">
        <v>0</v>
      </c>
      <c r="Z142" s="228"/>
      <c r="AA142" s="228">
        <v>0</v>
      </c>
      <c r="AB142" s="228">
        <v>0</v>
      </c>
      <c r="AC142" s="228">
        <v>0</v>
      </c>
      <c r="AD142" s="228">
        <v>0</v>
      </c>
      <c r="AE142" s="228">
        <v>0</v>
      </c>
      <c r="AF142" s="228">
        <v>0</v>
      </c>
      <c r="AG142" s="228">
        <v>0</v>
      </c>
      <c r="AH142" s="228">
        <v>0</v>
      </c>
      <c r="AI142" s="228">
        <v>0</v>
      </c>
      <c r="AJ142" s="228">
        <v>0</v>
      </c>
      <c r="AK142" s="228">
        <v>0</v>
      </c>
      <c r="AL142" s="228">
        <v>0</v>
      </c>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row>
    <row r="143" spans="1:131">
      <c r="A143" s="24"/>
      <c r="B143" s="24"/>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row>
    <row r="144" spans="1:131">
      <c r="A144" s="24"/>
      <c r="B144" s="24"/>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row>
    <row r="145" spans="1:131" ht="13.5" thickBot="1">
      <c r="A145" s="187" t="s">
        <v>385</v>
      </c>
      <c r="B145" s="188"/>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row>
    <row r="146" spans="1:131" ht="13.5" thickBot="1">
      <c r="A146" s="189"/>
      <c r="B146" s="190"/>
      <c r="C146" s="191"/>
      <c r="D146" s="191"/>
      <c r="E146" s="191"/>
      <c r="F146" s="191"/>
      <c r="G146" s="191"/>
      <c r="H146" s="191"/>
      <c r="I146" s="191"/>
      <c r="J146" s="191"/>
      <c r="K146" s="191"/>
      <c r="L146" s="191"/>
      <c r="M146" s="191"/>
      <c r="N146" s="191"/>
      <c r="O146" s="192" t="s">
        <v>386</v>
      </c>
      <c r="P146" s="193"/>
      <c r="Q146" s="193"/>
      <c r="R146" s="193"/>
      <c r="S146" s="193"/>
      <c r="T146" s="193"/>
      <c r="U146" s="193"/>
      <c r="V146" s="193"/>
      <c r="W146" s="193"/>
      <c r="X146" s="193"/>
      <c r="Y146" s="193"/>
      <c r="Z146" s="194"/>
      <c r="AA146" s="191"/>
      <c r="AB146" s="192" t="s">
        <v>387</v>
      </c>
      <c r="AC146" s="193"/>
      <c r="AD146" s="193"/>
      <c r="AE146" s="193"/>
      <c r="AF146" s="193"/>
      <c r="AG146" s="193"/>
      <c r="AH146" s="193"/>
      <c r="AI146" s="193"/>
      <c r="AJ146" s="193"/>
      <c r="AK146" s="193"/>
      <c r="AL146" s="193"/>
      <c r="AM146" s="194"/>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row>
    <row r="147" spans="1:131" ht="102">
      <c r="A147" s="195" t="s">
        <v>388</v>
      </c>
      <c r="B147" s="196" t="s">
        <v>389</v>
      </c>
      <c r="C147" s="197" t="s">
        <v>390</v>
      </c>
      <c r="D147" s="197" t="s">
        <v>391</v>
      </c>
      <c r="E147" s="197" t="s">
        <v>392</v>
      </c>
      <c r="F147" s="197" t="s">
        <v>393</v>
      </c>
      <c r="G147" s="197" t="s">
        <v>394</v>
      </c>
      <c r="H147" s="197" t="s">
        <v>395</v>
      </c>
      <c r="I147" s="197" t="s">
        <v>396</v>
      </c>
      <c r="J147" s="197" t="s">
        <v>397</v>
      </c>
      <c r="K147" s="197" t="s">
        <v>398</v>
      </c>
      <c r="L147" s="197" t="s">
        <v>399</v>
      </c>
      <c r="M147" s="197" t="s">
        <v>400</v>
      </c>
      <c r="N147" s="197" t="s">
        <v>401</v>
      </c>
      <c r="O147" s="197" t="s">
        <v>402</v>
      </c>
      <c r="P147" s="197" t="s">
        <v>403</v>
      </c>
      <c r="Q147" s="197" t="s">
        <v>404</v>
      </c>
      <c r="R147" s="197" t="s">
        <v>405</v>
      </c>
      <c r="S147" s="197" t="s">
        <v>406</v>
      </c>
      <c r="T147" s="197" t="s">
        <v>407</v>
      </c>
      <c r="U147" s="197" t="s">
        <v>408</v>
      </c>
      <c r="V147" s="197" t="s">
        <v>409</v>
      </c>
      <c r="W147" s="197" t="s">
        <v>410</v>
      </c>
      <c r="X147" s="197" t="s">
        <v>411</v>
      </c>
      <c r="Y147" s="197" t="s">
        <v>412</v>
      </c>
      <c r="Z147" s="197" t="s">
        <v>413</v>
      </c>
      <c r="AA147" s="197"/>
      <c r="AB147" s="197" t="s">
        <v>402</v>
      </c>
      <c r="AC147" s="197" t="s">
        <v>403</v>
      </c>
      <c r="AD147" s="197" t="s">
        <v>404</v>
      </c>
      <c r="AE147" s="197" t="s">
        <v>405</v>
      </c>
      <c r="AF147" s="197" t="s">
        <v>406</v>
      </c>
      <c r="AG147" s="197" t="s">
        <v>407</v>
      </c>
      <c r="AH147" s="197" t="s">
        <v>408</v>
      </c>
      <c r="AI147" s="197" t="s">
        <v>409</v>
      </c>
      <c r="AJ147" s="197" t="s">
        <v>410</v>
      </c>
      <c r="AK147" s="197" t="s">
        <v>411</v>
      </c>
      <c r="AL147" s="197" t="s">
        <v>412</v>
      </c>
      <c r="AM147" s="197" t="s">
        <v>413</v>
      </c>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row>
    <row r="148" spans="1:131">
      <c r="A148" s="24" t="s">
        <v>414</v>
      </c>
      <c r="B148" s="24"/>
      <c r="C148" s="198">
        <v>147.30939530738755</v>
      </c>
      <c r="D148" s="198">
        <v>0.35225089298694362</v>
      </c>
      <c r="E148" s="198">
        <v>7.0450178597388724E-2</v>
      </c>
      <c r="F148" s="198">
        <v>0.42270107158433234</v>
      </c>
      <c r="G148" s="198">
        <v>-5.7532624000254087</v>
      </c>
      <c r="H148" s="198">
        <v>106.2410391537172</v>
      </c>
      <c r="I148" s="198">
        <v>25.136627432025399</v>
      </c>
      <c r="J148" s="198">
        <v>-17.719494446739027</v>
      </c>
      <c r="K148" s="198">
        <v>-20.650247166381963</v>
      </c>
      <c r="L148" s="199">
        <v>220.64102437953059</v>
      </c>
      <c r="M148" s="198">
        <v>1.3994457324500227</v>
      </c>
      <c r="N148" s="198">
        <v>3.4432533259467366E-2</v>
      </c>
      <c r="O148" s="198">
        <v>6.1214275281786348</v>
      </c>
      <c r="P148" s="198">
        <v>4.5012253649611278</v>
      </c>
      <c r="Q148" s="198">
        <v>4.1671281536517206</v>
      </c>
      <c r="R148" s="198">
        <v>2.3829983843623639</v>
      </c>
      <c r="S148" s="198">
        <v>1.914118422159945</v>
      </c>
      <c r="T148" s="198">
        <v>1.4855513534589628</v>
      </c>
      <c r="U148" s="198">
        <v>1.5559194638995804</v>
      </c>
      <c r="V148" s="198">
        <v>2.2593752178613391</v>
      </c>
      <c r="W148" s="198">
        <v>2.8494539364356686</v>
      </c>
      <c r="X148" s="198">
        <v>4.6441338465490487</v>
      </c>
      <c r="Y148" s="198">
        <v>5.4143844104985908</v>
      </c>
      <c r="Z148" s="198">
        <v>6.4230876376300188</v>
      </c>
      <c r="AA148" s="198"/>
      <c r="AB148" s="198">
        <v>10.051032197863719</v>
      </c>
      <c r="AC148" s="198">
        <v>8.6948980365836448</v>
      </c>
      <c r="AD148" s="198">
        <v>8.7374957486895504</v>
      </c>
      <c r="AE148" s="198">
        <v>8.279007135819942</v>
      </c>
      <c r="AF148" s="198">
        <v>7.6241768312418259</v>
      </c>
      <c r="AG148" s="198">
        <v>6.925143416401017</v>
      </c>
      <c r="AH148" s="198">
        <v>7.5709521345430195</v>
      </c>
      <c r="AI148" s="198">
        <v>8.1823140592106416</v>
      </c>
      <c r="AJ148" s="198">
        <v>8.7840949411056624</v>
      </c>
      <c r="AK148" s="198">
        <v>9.0923742042230877</v>
      </c>
      <c r="AL148" s="198">
        <v>9.5858396301302093</v>
      </c>
      <c r="AM148" s="45">
        <v>10.063263251928216</v>
      </c>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row>
    <row r="149" spans="1:131">
      <c r="A149" s="24" t="s">
        <v>415</v>
      </c>
      <c r="B149" s="24"/>
      <c r="C149" s="198">
        <v>75.559721767198283</v>
      </c>
      <c r="D149" s="198">
        <v>0.68761315445724391</v>
      </c>
      <c r="E149" s="198">
        <v>0.13752263089144878</v>
      </c>
      <c r="F149" s="198">
        <v>0.8251357853486927</v>
      </c>
      <c r="G149" s="198">
        <v>-4.6363112598750797</v>
      </c>
      <c r="H149" s="198">
        <v>54.494442407844943</v>
      </c>
      <c r="I149" s="198">
        <v>95.661938802856</v>
      </c>
      <c r="J149" s="198">
        <v>-17.559653435812891</v>
      </c>
      <c r="K149" s="198">
        <v>-22.291408773955858</v>
      </c>
      <c r="L149" s="199">
        <v>61.523709146656621</v>
      </c>
      <c r="M149" s="198">
        <v>0.71782067906508984</v>
      </c>
      <c r="N149" s="198">
        <v>1.7661552594090916E-2</v>
      </c>
      <c r="O149" s="198">
        <v>3.1398768549832607</v>
      </c>
      <c r="P149" s="198">
        <v>2.3088231098784622</v>
      </c>
      <c r="Q149" s="198">
        <v>2.1374539159648025</v>
      </c>
      <c r="R149" s="198">
        <v>1.2223164348640381</v>
      </c>
      <c r="S149" s="198">
        <v>0.98181283757276283</v>
      </c>
      <c r="T149" s="198">
        <v>0.76198701857419704</v>
      </c>
      <c r="U149" s="198">
        <v>0.79808108328121508</v>
      </c>
      <c r="V149" s="198">
        <v>1.1589061408681534</v>
      </c>
      <c r="W149" s="198">
        <v>1.4615764743060453</v>
      </c>
      <c r="X149" s="198">
        <v>2.3821254616016763</v>
      </c>
      <c r="Y149" s="198">
        <v>2.7772117232865496</v>
      </c>
      <c r="Z149" s="198">
        <v>3.2946080171799874</v>
      </c>
      <c r="AA149" s="198"/>
      <c r="AB149" s="198">
        <v>5.1554973446126651</v>
      </c>
      <c r="AC149" s="198">
        <v>4.4598925619611922</v>
      </c>
      <c r="AD149" s="198">
        <v>4.4817422971252334</v>
      </c>
      <c r="AE149" s="198">
        <v>4.2465687567711585</v>
      </c>
      <c r="AF149" s="198">
        <v>3.9106852544636124</v>
      </c>
      <c r="AG149" s="198">
        <v>3.5521285566974572</v>
      </c>
      <c r="AH149" s="198">
        <v>3.8833845974667289</v>
      </c>
      <c r="AI149" s="198">
        <v>4.1969717711195127</v>
      </c>
      <c r="AJ149" s="198">
        <v>4.5056445201042248</v>
      </c>
      <c r="AK149" s="198">
        <v>4.6637708588835229</v>
      </c>
      <c r="AL149" s="198">
        <v>4.916885130417052</v>
      </c>
      <c r="AM149" s="45">
        <v>5.1617710452147518</v>
      </c>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row>
    <row r="150" spans="1:131">
      <c r="A150" s="24" t="s">
        <v>416</v>
      </c>
      <c r="B150" s="24"/>
      <c r="C150" s="198">
        <v>75.7337104936271</v>
      </c>
      <c r="D150" s="198">
        <v>0.75267609869364605</v>
      </c>
      <c r="E150" s="198">
        <v>0.15053521973872921</v>
      </c>
      <c r="F150" s="198">
        <v>0.90321131843237523</v>
      </c>
      <c r="G150" s="198">
        <v>-4.9006523403808151</v>
      </c>
      <c r="H150" s="198">
        <v>54.619924852859768</v>
      </c>
      <c r="I150" s="198">
        <v>104.47304242584818</v>
      </c>
      <c r="J150" s="198">
        <v>-17.539683645065441</v>
      </c>
      <c r="K150" s="198">
        <v>-22.537866130177878</v>
      </c>
      <c r="L150" s="199">
        <v>56.656424961588336</v>
      </c>
      <c r="M150" s="198">
        <v>0.71947357961625447</v>
      </c>
      <c r="N150" s="198">
        <v>1.770222123302621E-2</v>
      </c>
      <c r="O150" s="198">
        <v>3.1471069395093139</v>
      </c>
      <c r="P150" s="198">
        <v>2.31413955603578</v>
      </c>
      <c r="Q150" s="198">
        <v>2.1423757562778842</v>
      </c>
      <c r="R150" s="198">
        <v>1.2251310201327645</v>
      </c>
      <c r="S150" s="198">
        <v>0.98407362362656903</v>
      </c>
      <c r="T150" s="198">
        <v>0.76374161940935492</v>
      </c>
      <c r="U150" s="198">
        <v>0.79991879665574095</v>
      </c>
      <c r="V150" s="198">
        <v>1.1615747134725027</v>
      </c>
      <c r="W150" s="198">
        <v>1.4649419952925617</v>
      </c>
      <c r="X150" s="198">
        <v>2.3876106985184391</v>
      </c>
      <c r="Y150" s="198">
        <v>2.7836067115085368</v>
      </c>
      <c r="Z150" s="198">
        <v>3.3021943957370379</v>
      </c>
      <c r="AA150" s="198"/>
      <c r="AB150" s="198">
        <v>5.1673687278856217</v>
      </c>
      <c r="AC150" s="198">
        <v>4.4701622004500132</v>
      </c>
      <c r="AD150" s="198">
        <v>4.492062248234391</v>
      </c>
      <c r="AE150" s="198">
        <v>4.2563471820009324</v>
      </c>
      <c r="AF150" s="198">
        <v>3.9196902525098531</v>
      </c>
      <c r="AG150" s="198">
        <v>3.5603079187866329</v>
      </c>
      <c r="AH150" s="198">
        <v>3.8923267312457321</v>
      </c>
      <c r="AI150" s="198">
        <v>4.2066359911065145</v>
      </c>
      <c r="AJ150" s="198">
        <v>4.5160195100255649</v>
      </c>
      <c r="AK150" s="198">
        <v>4.6745099607901333</v>
      </c>
      <c r="AL150" s="198">
        <v>4.9282070696967377</v>
      </c>
      <c r="AM150" s="45">
        <v>5.173656874718481</v>
      </c>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row>
    <row r="151" spans="1:131">
      <c r="A151" s="24" t="s">
        <v>417</v>
      </c>
      <c r="B151" s="24"/>
      <c r="C151" s="198">
        <v>1.9411307694657556</v>
      </c>
      <c r="D151" s="198">
        <v>2.9394812076628273E-2</v>
      </c>
      <c r="E151" s="198">
        <v>5.8789624153256547E-3</v>
      </c>
      <c r="F151" s="198">
        <v>3.527377449195393E-2</v>
      </c>
      <c r="G151" s="198">
        <v>-2.8647632859860557</v>
      </c>
      <c r="H151" s="198">
        <v>1.3999633197255716</v>
      </c>
      <c r="I151" s="198">
        <v>159.18467184699767</v>
      </c>
      <c r="J151" s="198">
        <v>-17.415683311197927</v>
      </c>
      <c r="K151" s="198">
        <v>-126.37002300184083</v>
      </c>
      <c r="L151" s="199">
        <v>51.736777996568122</v>
      </c>
      <c r="M151" s="198">
        <v>1.844082765927995E-2</v>
      </c>
      <c r="N151" s="198">
        <v>4.5372564079253387E-4</v>
      </c>
      <c r="O151" s="198">
        <v>8.0663499454378285E-2</v>
      </c>
      <c r="P151" s="198">
        <v>5.9313712054777444E-2</v>
      </c>
      <c r="Q151" s="198">
        <v>5.4911234021980379E-2</v>
      </c>
      <c r="R151" s="198">
        <v>3.1401333756211465E-2</v>
      </c>
      <c r="S151" s="198">
        <v>2.5222791512399732E-2</v>
      </c>
      <c r="T151" s="198">
        <v>1.9575461808144946E-2</v>
      </c>
      <c r="U151" s="198">
        <v>2.0502719055250057E-2</v>
      </c>
      <c r="V151" s="198">
        <v>2.9772322030155639E-2</v>
      </c>
      <c r="W151" s="198">
        <v>3.754792897390441E-2</v>
      </c>
      <c r="X151" s="198">
        <v>6.1196850942484442E-2</v>
      </c>
      <c r="Y151" s="198">
        <v>7.1346624938643285E-2</v>
      </c>
      <c r="Z151" s="198">
        <v>8.4638546118269667E-2</v>
      </c>
      <c r="AA151" s="198"/>
      <c r="AB151" s="198">
        <v>0.13244483030734319</v>
      </c>
      <c r="AC151" s="198">
        <v>0.11457472947303225</v>
      </c>
      <c r="AD151" s="198">
        <v>0.11513604960814702</v>
      </c>
      <c r="AE151" s="198">
        <v>0.10909443663408144</v>
      </c>
      <c r="AF151" s="198">
        <v>0.10046558271513885</v>
      </c>
      <c r="AG151" s="198">
        <v>9.1254253949578673E-2</v>
      </c>
      <c r="AH151" s="198">
        <v>9.976422828868188E-2</v>
      </c>
      <c r="AI151" s="198">
        <v>0.1078202890767653</v>
      </c>
      <c r="AJ151" s="198">
        <v>0.11575009819644255</v>
      </c>
      <c r="AK151" s="198">
        <v>0.11981236701491657</v>
      </c>
      <c r="AL151" s="198">
        <v>0.12631487773323868</v>
      </c>
      <c r="AM151" s="45">
        <v>0.13260600180178897</v>
      </c>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row>
    <row r="152" spans="1:131">
      <c r="A152" s="24" t="s">
        <v>418</v>
      </c>
      <c r="B152" s="24"/>
      <c r="C152" s="198">
        <v>1.9411307694657556</v>
      </c>
      <c r="D152" s="198">
        <v>2.9394812076628273E-2</v>
      </c>
      <c r="E152" s="198">
        <v>5.8789624153256547E-3</v>
      </c>
      <c r="F152" s="198">
        <v>3.527377449195393E-2</v>
      </c>
      <c r="G152" s="198">
        <v>-2.8647632859860557</v>
      </c>
      <c r="H152" s="198">
        <v>1.3999633197255716</v>
      </c>
      <c r="I152" s="198">
        <v>159.18467184699767</v>
      </c>
      <c r="J152" s="198">
        <v>-17.415683311197927</v>
      </c>
      <c r="K152" s="198">
        <v>-126.37002300184083</v>
      </c>
      <c r="L152" s="199">
        <v>51.736777996568122</v>
      </c>
      <c r="M152" s="198">
        <v>1.844082765927995E-2</v>
      </c>
      <c r="N152" s="198">
        <v>4.5372564079253387E-4</v>
      </c>
      <c r="O152" s="198">
        <v>8.0663499454378285E-2</v>
      </c>
      <c r="P152" s="198">
        <v>5.9313712054777444E-2</v>
      </c>
      <c r="Q152" s="198">
        <v>5.4911234021980379E-2</v>
      </c>
      <c r="R152" s="198">
        <v>3.1401333756211465E-2</v>
      </c>
      <c r="S152" s="198">
        <v>2.5222791512399732E-2</v>
      </c>
      <c r="T152" s="198">
        <v>1.9575461808144946E-2</v>
      </c>
      <c r="U152" s="198">
        <v>2.0502719055250057E-2</v>
      </c>
      <c r="V152" s="198">
        <v>2.9772322030155639E-2</v>
      </c>
      <c r="W152" s="198">
        <v>3.754792897390441E-2</v>
      </c>
      <c r="X152" s="198">
        <v>6.1196850942484442E-2</v>
      </c>
      <c r="Y152" s="198">
        <v>7.1346624938643285E-2</v>
      </c>
      <c r="Z152" s="198">
        <v>8.4638546118269667E-2</v>
      </c>
      <c r="AA152" s="198"/>
      <c r="AB152" s="198">
        <v>0.13244483030734319</v>
      </c>
      <c r="AC152" s="198">
        <v>0.11457472947303225</v>
      </c>
      <c r="AD152" s="198">
        <v>0.11513604960814702</v>
      </c>
      <c r="AE152" s="198">
        <v>0.10909443663408144</v>
      </c>
      <c r="AF152" s="198">
        <v>0.10046558271513885</v>
      </c>
      <c r="AG152" s="198">
        <v>9.1254253949578673E-2</v>
      </c>
      <c r="AH152" s="198">
        <v>9.976422828868188E-2</v>
      </c>
      <c r="AI152" s="198">
        <v>0.1078202890767653</v>
      </c>
      <c r="AJ152" s="198">
        <v>0.11575009819644255</v>
      </c>
      <c r="AK152" s="198">
        <v>0.11981236701491657</v>
      </c>
      <c r="AL152" s="198">
        <v>0.12631487773323868</v>
      </c>
      <c r="AM152" s="45">
        <v>0.13260600180178897</v>
      </c>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row>
    <row r="153" spans="1:131">
      <c r="A153" s="24" t="s">
        <v>419</v>
      </c>
      <c r="B153" s="24"/>
      <c r="C153" s="198">
        <v>32.677068971184418</v>
      </c>
      <c r="D153" s="198">
        <v>0.93212841418794667</v>
      </c>
      <c r="E153" s="198">
        <v>0.18642568283758934</v>
      </c>
      <c r="F153" s="198">
        <v>1.1185540970255361</v>
      </c>
      <c r="G153" s="198">
        <v>-0.58882269104469975</v>
      </c>
      <c r="H153" s="198">
        <v>23.567035603887383</v>
      </c>
      <c r="I153" s="198">
        <v>299.85963241024848</v>
      </c>
      <c r="J153" s="198">
        <v>-17.096852703131635</v>
      </c>
      <c r="K153" s="198">
        <v>-19.102367372714323</v>
      </c>
      <c r="L153" s="199">
        <v>19.239084018786379</v>
      </c>
      <c r="M153" s="198">
        <v>0.310433592000535</v>
      </c>
      <c r="N153" s="198">
        <v>7.6380346401149751E-3</v>
      </c>
      <c r="O153" s="198">
        <v>1.3578924081726151</v>
      </c>
      <c r="P153" s="198">
        <v>0.99848927761027284</v>
      </c>
      <c r="Q153" s="198">
        <v>0.92437779548615628</v>
      </c>
      <c r="R153" s="198">
        <v>0.52861124303403384</v>
      </c>
      <c r="S153" s="198">
        <v>0.42460142864219907</v>
      </c>
      <c r="T153" s="198">
        <v>0.32953406628219623</v>
      </c>
      <c r="U153" s="198">
        <v>0.34514354993693402</v>
      </c>
      <c r="V153" s="198">
        <v>0.50118839787360969</v>
      </c>
      <c r="W153" s="198">
        <v>0.63208325997691295</v>
      </c>
      <c r="X153" s="198">
        <v>1.0301901090451673</v>
      </c>
      <c r="Y153" s="198">
        <v>1.2010517893253161</v>
      </c>
      <c r="Z153" s="198">
        <v>1.4248084944265076</v>
      </c>
      <c r="AA153" s="198"/>
      <c r="AB153" s="198">
        <v>2.2295812950412466</v>
      </c>
      <c r="AC153" s="198">
        <v>1.9287553400513546</v>
      </c>
      <c r="AD153" s="198">
        <v>1.9382046244883369</v>
      </c>
      <c r="AE153" s="198">
        <v>1.8364998826150838</v>
      </c>
      <c r="AF153" s="198">
        <v>1.6912414285804978</v>
      </c>
      <c r="AG153" s="198">
        <v>1.5361775708934102</v>
      </c>
      <c r="AH153" s="198">
        <v>1.6794348015736593</v>
      </c>
      <c r="AI153" s="198">
        <v>1.8150508343259031</v>
      </c>
      <c r="AJ153" s="198">
        <v>1.948541541705364</v>
      </c>
      <c r="AK153" s="198">
        <v>2.0169259290165296</v>
      </c>
      <c r="AL153" s="198">
        <v>2.1263894409915411</v>
      </c>
      <c r="AM153" s="45">
        <v>2.2322944620895657</v>
      </c>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row>
    <row r="154" spans="1:131">
      <c r="A154" s="24" t="s">
        <v>421</v>
      </c>
      <c r="B154" s="24"/>
      <c r="C154" s="198">
        <v>2.6150142699850236</v>
      </c>
      <c r="D154" s="198">
        <v>0.13553311531055059</v>
      </c>
      <c r="E154" s="198">
        <v>2.7106623062110119E-2</v>
      </c>
      <c r="F154" s="198">
        <v>0.16263973837266071</v>
      </c>
      <c r="G154" s="198">
        <v>-0.92619873676686304</v>
      </c>
      <c r="H154" s="198">
        <v>1.8859749771240535</v>
      </c>
      <c r="I154" s="198">
        <v>544.82460172298306</v>
      </c>
      <c r="J154" s="198">
        <v>-16.541655603319388</v>
      </c>
      <c r="K154" s="198">
        <v>-43.838014609514389</v>
      </c>
      <c r="L154" s="199">
        <v>8.2560305106367622</v>
      </c>
      <c r="M154" s="198">
        <v>2.4842750544119063E-2</v>
      </c>
      <c r="N154" s="198">
        <v>6.1124116107701858E-4</v>
      </c>
      <c r="O154" s="198">
        <v>0.10866666247229853</v>
      </c>
      <c r="P154" s="198">
        <v>7.9905076911286385E-2</v>
      </c>
      <c r="Q154" s="198">
        <v>7.3974233374027726E-2</v>
      </c>
      <c r="R154" s="198">
        <v>4.2302629560426443E-2</v>
      </c>
      <c r="S154" s="198">
        <v>3.397914286420569E-2</v>
      </c>
      <c r="T154" s="198">
        <v>2.6371284601260828E-2</v>
      </c>
      <c r="U154" s="198">
        <v>2.7620448733461079E-2</v>
      </c>
      <c r="V154" s="198">
        <v>4.0108089668206129E-2</v>
      </c>
      <c r="W154" s="198">
        <v>5.0583078492011067E-2</v>
      </c>
      <c r="X154" s="198">
        <v>8.2441966821631199E-2</v>
      </c>
      <c r="Y154" s="198">
        <v>9.6115339195396221E-2</v>
      </c>
      <c r="Z154" s="198">
        <v>0.11402168744714514</v>
      </c>
      <c r="AA154" s="198"/>
      <c r="AB154" s="198">
        <v>0.1784244146182741</v>
      </c>
      <c r="AC154" s="198">
        <v>0.15435052458321183</v>
      </c>
      <c r="AD154" s="198">
        <v>0.15510671277333518</v>
      </c>
      <c r="AE154" s="198">
        <v>0.14696769175042057</v>
      </c>
      <c r="AF154" s="198">
        <v>0.135343242493011</v>
      </c>
      <c r="AG154" s="198">
        <v>0.12293410625841673</v>
      </c>
      <c r="AH154" s="198">
        <v>0.13439840566782024</v>
      </c>
      <c r="AI154" s="198">
        <v>0.14525121077095249</v>
      </c>
      <c r="AJ154" s="198">
        <v>0.15593393464118435</v>
      </c>
      <c r="AK154" s="198">
        <v>0.16140646183817914</v>
      </c>
      <c r="AL154" s="198">
        <v>0.17016638599507808</v>
      </c>
      <c r="AM154" s="45">
        <v>0.17864153845378286</v>
      </c>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row>
    <row r="155" spans="1:131">
      <c r="A155" s="24" t="s">
        <v>422</v>
      </c>
      <c r="B155" s="24"/>
      <c r="C155" s="198">
        <v>2.6150142699850236</v>
      </c>
      <c r="D155" s="198">
        <v>0.13553311531055059</v>
      </c>
      <c r="E155" s="198">
        <v>2.7106623062110119E-2</v>
      </c>
      <c r="F155" s="198">
        <v>0.16263973837266071</v>
      </c>
      <c r="G155" s="198">
        <v>-0.92619873676686304</v>
      </c>
      <c r="H155" s="198">
        <v>1.8859749771240535</v>
      </c>
      <c r="I155" s="198">
        <v>544.82460172298306</v>
      </c>
      <c r="J155" s="198">
        <v>-16.541655603319388</v>
      </c>
      <c r="K155" s="198">
        <v>-43.838014609514389</v>
      </c>
      <c r="L155" s="199">
        <v>8.2560305106367622</v>
      </c>
      <c r="M155" s="198">
        <v>2.4842750544119063E-2</v>
      </c>
      <c r="N155" s="198">
        <v>6.1124116107701858E-4</v>
      </c>
      <c r="O155" s="198">
        <v>0.10866666247229853</v>
      </c>
      <c r="P155" s="198">
        <v>7.9905076911286385E-2</v>
      </c>
      <c r="Q155" s="198">
        <v>7.3974233374027726E-2</v>
      </c>
      <c r="R155" s="198">
        <v>4.2302629560426443E-2</v>
      </c>
      <c r="S155" s="198">
        <v>3.397914286420569E-2</v>
      </c>
      <c r="T155" s="198">
        <v>2.6371284601260828E-2</v>
      </c>
      <c r="U155" s="198">
        <v>2.7620448733461079E-2</v>
      </c>
      <c r="V155" s="198">
        <v>4.0108089668206129E-2</v>
      </c>
      <c r="W155" s="198">
        <v>5.0583078492011067E-2</v>
      </c>
      <c r="X155" s="198">
        <v>8.2441966821631199E-2</v>
      </c>
      <c r="Y155" s="198">
        <v>9.6115339195396221E-2</v>
      </c>
      <c r="Z155" s="198">
        <v>0.11402168744714514</v>
      </c>
      <c r="AA155" s="198"/>
      <c r="AB155" s="198">
        <v>0.1784244146182741</v>
      </c>
      <c r="AC155" s="198">
        <v>0.15435052458321183</v>
      </c>
      <c r="AD155" s="198">
        <v>0.15510671277333518</v>
      </c>
      <c r="AE155" s="198">
        <v>0.14696769175042057</v>
      </c>
      <c r="AF155" s="198">
        <v>0.135343242493011</v>
      </c>
      <c r="AG155" s="198">
        <v>0.12293410625841673</v>
      </c>
      <c r="AH155" s="198">
        <v>0.13439840566782024</v>
      </c>
      <c r="AI155" s="198">
        <v>0.14525121077095249</v>
      </c>
      <c r="AJ155" s="198">
        <v>0.15593393464118435</v>
      </c>
      <c r="AK155" s="198">
        <v>0.16140646183817914</v>
      </c>
      <c r="AL155" s="198">
        <v>0.17016638599507808</v>
      </c>
      <c r="AM155" s="45">
        <v>0.17864153845378286</v>
      </c>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45"/>
      <c r="CB155" s="45"/>
      <c r="CC155" s="45"/>
      <c r="CD155" s="45"/>
      <c r="CE155" s="45"/>
      <c r="CF155" s="45"/>
      <c r="CG155" s="45"/>
      <c r="CH155" s="45"/>
      <c r="CI155" s="45"/>
      <c r="CJ155" s="45"/>
      <c r="CK155" s="45"/>
      <c r="CL155" s="45"/>
      <c r="CM155" s="45"/>
      <c r="CN155" s="45"/>
      <c r="CO155" s="45"/>
      <c r="CP155" s="45"/>
      <c r="CQ155" s="45"/>
      <c r="CR155" s="45"/>
      <c r="CS155" s="45"/>
      <c r="CT155" s="45"/>
      <c r="CU155" s="45"/>
      <c r="CV155" s="45"/>
      <c r="CW155" s="45"/>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row>
    <row r="156" spans="1:131">
      <c r="A156" s="24" t="s">
        <v>423</v>
      </c>
      <c r="B156" s="24"/>
      <c r="C156" s="198">
        <v>1.9411307694657556</v>
      </c>
      <c r="D156" s="198">
        <v>0.18729926518091722</v>
      </c>
      <c r="E156" s="198">
        <v>3.7459853036183446E-2</v>
      </c>
      <c r="F156" s="198">
        <v>0.22475911821710065</v>
      </c>
      <c r="G156" s="198">
        <v>-2.4132276813599534</v>
      </c>
      <c r="H156" s="198">
        <v>1.3999633197255716</v>
      </c>
      <c r="I156" s="198">
        <v>1014.3004822512222</v>
      </c>
      <c r="J156" s="198">
        <v>-15.477619190144264</v>
      </c>
      <c r="K156" s="198">
        <v>-109.25382421363217</v>
      </c>
      <c r="L156" s="199">
        <v>8.119588003670934</v>
      </c>
      <c r="M156" s="198">
        <v>1.844082765927995E-2</v>
      </c>
      <c r="N156" s="198">
        <v>4.5372564079253387E-4</v>
      </c>
      <c r="O156" s="198">
        <v>8.0663499454378285E-2</v>
      </c>
      <c r="P156" s="198">
        <v>5.9313712054777444E-2</v>
      </c>
      <c r="Q156" s="198">
        <v>5.4911234021980379E-2</v>
      </c>
      <c r="R156" s="198">
        <v>3.1401333756211465E-2</v>
      </c>
      <c r="S156" s="198">
        <v>2.5222791512399732E-2</v>
      </c>
      <c r="T156" s="198">
        <v>1.9575461808144946E-2</v>
      </c>
      <c r="U156" s="198">
        <v>2.0502719055250057E-2</v>
      </c>
      <c r="V156" s="198">
        <v>2.9772322030155639E-2</v>
      </c>
      <c r="W156" s="198">
        <v>3.754792897390441E-2</v>
      </c>
      <c r="X156" s="198">
        <v>6.1196850942484442E-2</v>
      </c>
      <c r="Y156" s="198">
        <v>7.1346624938643285E-2</v>
      </c>
      <c r="Z156" s="198">
        <v>8.4638546118269667E-2</v>
      </c>
      <c r="AA156" s="198"/>
      <c r="AB156" s="198">
        <v>0.13244483030734319</v>
      </c>
      <c r="AC156" s="198">
        <v>0.11457472947303225</v>
      </c>
      <c r="AD156" s="198">
        <v>0.11513604960814702</v>
      </c>
      <c r="AE156" s="198">
        <v>0.10909443663408144</v>
      </c>
      <c r="AF156" s="198">
        <v>0.10046558271513885</v>
      </c>
      <c r="AG156" s="198">
        <v>9.1254253949578673E-2</v>
      </c>
      <c r="AH156" s="198">
        <v>9.976422828868188E-2</v>
      </c>
      <c r="AI156" s="198">
        <v>0.1078202890767653</v>
      </c>
      <c r="AJ156" s="198">
        <v>0.11575009819644255</v>
      </c>
      <c r="AK156" s="198">
        <v>0.11981236701491657</v>
      </c>
      <c r="AL156" s="198">
        <v>0.12631487773323868</v>
      </c>
      <c r="AM156" s="45">
        <v>0.13260600180178897</v>
      </c>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row>
    <row r="157" spans="1:131">
      <c r="A157" s="24" t="s">
        <v>424</v>
      </c>
      <c r="B157" s="24"/>
      <c r="C157" s="198">
        <v>58.159445328717929</v>
      </c>
      <c r="D157" s="198">
        <v>5.3072521232113603</v>
      </c>
      <c r="E157" s="198">
        <v>1.061450424642272</v>
      </c>
      <c r="F157" s="198">
        <v>6.3687025478536325</v>
      </c>
      <c r="G157" s="198">
        <v>4.5869340819345172</v>
      </c>
      <c r="H157" s="198">
        <v>41.9451854746493</v>
      </c>
      <c r="I157" s="198">
        <v>959.25664359199027</v>
      </c>
      <c r="J157" s="198">
        <v>-15.602372454547233</v>
      </c>
      <c r="K157" s="198">
        <v>-11.973200574277088</v>
      </c>
      <c r="L157" s="199">
        <v>5.8628005645095023</v>
      </c>
      <c r="M157" s="198">
        <v>0.55251728782877529</v>
      </c>
      <c r="N157" s="198">
        <v>1.3594360573231034E-2</v>
      </c>
      <c r="O157" s="198">
        <v>2.4168100677890703</v>
      </c>
      <c r="P157" s="198">
        <v>1.7771355993921891</v>
      </c>
      <c r="Q157" s="198">
        <v>1.6452301737057928</v>
      </c>
      <c r="R157" s="198">
        <v>0.94083519903496327</v>
      </c>
      <c r="S157" s="198">
        <v>0.75571599146140989</v>
      </c>
      <c r="T157" s="198">
        <v>0.58651277838872906</v>
      </c>
      <c r="U157" s="198">
        <v>0.614294918580917</v>
      </c>
      <c r="V157" s="198">
        <v>0.89202734955274654</v>
      </c>
      <c r="W157" s="198">
        <v>1.1249972215758555</v>
      </c>
      <c r="X157" s="198">
        <v>1.8335575133141042</v>
      </c>
      <c r="Y157" s="198">
        <v>2.1376613043177928</v>
      </c>
      <c r="Z157" s="198">
        <v>2.5359089521941232</v>
      </c>
      <c r="AA157" s="198"/>
      <c r="AB157" s="198">
        <v>3.9682632352745988</v>
      </c>
      <c r="AC157" s="198">
        <v>3.4328458544157976</v>
      </c>
      <c r="AD157" s="198">
        <v>3.449663921608201</v>
      </c>
      <c r="AE157" s="198">
        <v>3.2686473383930745</v>
      </c>
      <c r="AF157" s="198">
        <v>3.01011279469185</v>
      </c>
      <c r="AG157" s="198">
        <v>2.7341263541220129</v>
      </c>
      <c r="AH157" s="198">
        <v>2.9890990716273271</v>
      </c>
      <c r="AI157" s="198">
        <v>3.2304717984623759</v>
      </c>
      <c r="AJ157" s="198">
        <v>3.468061819298514</v>
      </c>
      <c r="AK157" s="198">
        <v>3.5897740217812037</v>
      </c>
      <c r="AL157" s="198">
        <v>3.7845998534925536</v>
      </c>
      <c r="AM157" s="45">
        <v>3.9730921962427188</v>
      </c>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row>
    <row r="158" spans="1:131">
      <c r="A158" s="24" t="s">
        <v>425</v>
      </c>
      <c r="B158" s="24"/>
      <c r="C158" s="198">
        <v>7.0735978583603307</v>
      </c>
      <c r="D158" s="198">
        <v>1.0527185054529571</v>
      </c>
      <c r="E158" s="198">
        <v>0.21054370109059142</v>
      </c>
      <c r="F158" s="198">
        <v>1.2632622065435486</v>
      </c>
      <c r="G158" s="198">
        <v>1.3584597667175526</v>
      </c>
      <c r="H158" s="198">
        <v>5.1015509598661914</v>
      </c>
      <c r="I158" s="198">
        <v>1564.4339911467118</v>
      </c>
      <c r="J158" s="198">
        <v>-14.230777531497228</v>
      </c>
      <c r="K158" s="198">
        <v>-3.6453467777018531</v>
      </c>
      <c r="L158" s="199">
        <v>3.456336084860181</v>
      </c>
      <c r="M158" s="198">
        <v>6.7199490672632839E-2</v>
      </c>
      <c r="N158" s="198">
        <v>1.6534036611436324E-3</v>
      </c>
      <c r="O158" s="198">
        <v>0.29394266783240841</v>
      </c>
      <c r="P158" s="198">
        <v>0.21614275202981206</v>
      </c>
      <c r="Q158" s="198">
        <v>0.20009985596421492</v>
      </c>
      <c r="R158" s="198">
        <v>0.11442835830618876</v>
      </c>
      <c r="S158" s="198">
        <v>9.1913376898911395E-2</v>
      </c>
      <c r="T158" s="198">
        <v>7.1334166095681648E-2</v>
      </c>
      <c r="U158" s="198">
        <v>7.4713147553523887E-2</v>
      </c>
      <c r="V158" s="198">
        <v>0.10849214110849645</v>
      </c>
      <c r="W158" s="198">
        <v>0.13682692281920555</v>
      </c>
      <c r="X158" s="198">
        <v>0.2230050239656412</v>
      </c>
      <c r="Y158" s="198">
        <v>0.2599914139252576</v>
      </c>
      <c r="Z158" s="198">
        <v>0.30842797815301254</v>
      </c>
      <c r="AA158" s="198"/>
      <c r="AB158" s="198">
        <v>0.48263696745725504</v>
      </c>
      <c r="AC158" s="198">
        <v>0.41751723983320893</v>
      </c>
      <c r="AD158" s="198">
        <v>0.41956272433536601</v>
      </c>
      <c r="AE158" s="198">
        <v>0.39754672146392922</v>
      </c>
      <c r="AF158" s="198">
        <v>0.36610265619987936</v>
      </c>
      <c r="AG158" s="198">
        <v>0.33253601738622945</v>
      </c>
      <c r="AH158" s="198">
        <v>0.36354687827549825</v>
      </c>
      <c r="AI158" s="198">
        <v>0.3929036507473968</v>
      </c>
      <c r="AJ158" s="198">
        <v>0.4218003545081605</v>
      </c>
      <c r="AK158" s="198">
        <v>0.43660350763233169</v>
      </c>
      <c r="AL158" s="198">
        <v>0.46029904974346292</v>
      </c>
      <c r="AM158" s="45">
        <v>0.48322428612525709</v>
      </c>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row>
    <row r="159" spans="1:131">
      <c r="A159" s="24" t="s">
        <v>426</v>
      </c>
      <c r="B159" s="24"/>
      <c r="C159" s="198">
        <v>32.677068971184418</v>
      </c>
      <c r="D159" s="198">
        <v>5.9720678877064044</v>
      </c>
      <c r="E159" s="198">
        <v>1.194413577541281</v>
      </c>
      <c r="F159" s="198">
        <v>7.1664814652476849</v>
      </c>
      <c r="G159" s="198">
        <v>6.5721006304698761</v>
      </c>
      <c r="H159" s="198">
        <v>23.567035603887383</v>
      </c>
      <c r="I159" s="198">
        <v>1921.1752954626838</v>
      </c>
      <c r="J159" s="198">
        <v>-13.422246670553562</v>
      </c>
      <c r="K159" s="198">
        <v>-2.977504018819626</v>
      </c>
      <c r="L159" s="199">
        <v>3.0028621934750586</v>
      </c>
      <c r="M159" s="198">
        <v>0.310433592000535</v>
      </c>
      <c r="N159" s="198">
        <v>7.6380346401149751E-3</v>
      </c>
      <c r="O159" s="198">
        <v>1.3578924081726151</v>
      </c>
      <c r="P159" s="198">
        <v>0.99848927761027284</v>
      </c>
      <c r="Q159" s="198">
        <v>0.92437779548615628</v>
      </c>
      <c r="R159" s="198">
        <v>0.52861124303403384</v>
      </c>
      <c r="S159" s="198">
        <v>0.42460142864219907</v>
      </c>
      <c r="T159" s="198">
        <v>0.32953406628219623</v>
      </c>
      <c r="U159" s="198">
        <v>0.34514354993693402</v>
      </c>
      <c r="V159" s="198">
        <v>0.50118839787360969</v>
      </c>
      <c r="W159" s="198">
        <v>0.63208325997691295</v>
      </c>
      <c r="X159" s="198">
        <v>1.0301901090451673</v>
      </c>
      <c r="Y159" s="198">
        <v>1.2010517893253161</v>
      </c>
      <c r="Z159" s="198">
        <v>1.4248084944265076</v>
      </c>
      <c r="AA159" s="198"/>
      <c r="AB159" s="198">
        <v>2.2295812950412466</v>
      </c>
      <c r="AC159" s="198">
        <v>1.9287553400513546</v>
      </c>
      <c r="AD159" s="198">
        <v>1.9382046244883369</v>
      </c>
      <c r="AE159" s="198">
        <v>1.8364998826150838</v>
      </c>
      <c r="AF159" s="198">
        <v>1.6912414285804978</v>
      </c>
      <c r="AG159" s="198">
        <v>1.5361775708934102</v>
      </c>
      <c r="AH159" s="198">
        <v>1.6794348015736593</v>
      </c>
      <c r="AI159" s="198">
        <v>1.8150508343259031</v>
      </c>
      <c r="AJ159" s="198">
        <v>1.948541541705364</v>
      </c>
      <c r="AK159" s="198">
        <v>2.0169259290165296</v>
      </c>
      <c r="AL159" s="198">
        <v>2.1263894409915411</v>
      </c>
      <c r="AM159" s="45">
        <v>2.2322944620895657</v>
      </c>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row>
    <row r="160" spans="1:131">
      <c r="A160" s="24" t="s">
        <v>427</v>
      </c>
      <c r="B160" s="24"/>
      <c r="C160" s="198">
        <v>32.677068971184418</v>
      </c>
      <c r="D160" s="198">
        <v>6.677762119662626</v>
      </c>
      <c r="E160" s="198">
        <v>1.3355524239325254</v>
      </c>
      <c r="F160" s="198">
        <v>8.0133145435951505</v>
      </c>
      <c r="G160" s="198">
        <v>7.5747758233022511</v>
      </c>
      <c r="H160" s="198">
        <v>23.567035603887383</v>
      </c>
      <c r="I160" s="198">
        <v>2148.1925280322707</v>
      </c>
      <c r="J160" s="198">
        <v>-12.907726943575259</v>
      </c>
      <c r="K160" s="198">
        <v>-0.71969455112343739</v>
      </c>
      <c r="L160" s="199">
        <v>2.6855249641276595</v>
      </c>
      <c r="M160" s="198">
        <v>0.310433592000535</v>
      </c>
      <c r="N160" s="198">
        <v>7.6380346401149751E-3</v>
      </c>
      <c r="O160" s="198">
        <v>1.3578924081726151</v>
      </c>
      <c r="P160" s="198">
        <v>0.99848927761027284</v>
      </c>
      <c r="Q160" s="198">
        <v>0.92437779548615628</v>
      </c>
      <c r="R160" s="198">
        <v>0.52861124303403384</v>
      </c>
      <c r="S160" s="198">
        <v>0.42460142864219907</v>
      </c>
      <c r="T160" s="198">
        <v>0.32953406628219623</v>
      </c>
      <c r="U160" s="198">
        <v>0.34514354993693402</v>
      </c>
      <c r="V160" s="198">
        <v>0.50118839787360969</v>
      </c>
      <c r="W160" s="198">
        <v>0.63208325997691295</v>
      </c>
      <c r="X160" s="198">
        <v>1.0301901090451673</v>
      </c>
      <c r="Y160" s="198">
        <v>1.2010517893253161</v>
      </c>
      <c r="Z160" s="198">
        <v>1.4248084944265076</v>
      </c>
      <c r="AA160" s="198"/>
      <c r="AB160" s="198">
        <v>2.2295812950412466</v>
      </c>
      <c r="AC160" s="198">
        <v>1.9287553400513546</v>
      </c>
      <c r="AD160" s="198">
        <v>1.9382046244883369</v>
      </c>
      <c r="AE160" s="198">
        <v>1.8364998826150838</v>
      </c>
      <c r="AF160" s="198">
        <v>1.6912414285804978</v>
      </c>
      <c r="AG160" s="198">
        <v>1.5361775708934102</v>
      </c>
      <c r="AH160" s="198">
        <v>1.6794348015736593</v>
      </c>
      <c r="AI160" s="198">
        <v>1.8150508343259031</v>
      </c>
      <c r="AJ160" s="198">
        <v>1.948541541705364</v>
      </c>
      <c r="AK160" s="198">
        <v>2.0169259290165296</v>
      </c>
      <c r="AL160" s="198">
        <v>2.1263894409915411</v>
      </c>
      <c r="AM160" s="45">
        <v>2.2322944620895657</v>
      </c>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row>
    <row r="161" spans="1:131">
      <c r="A161" s="24" t="s">
        <v>428</v>
      </c>
      <c r="B161" s="24"/>
      <c r="C161" s="198">
        <v>147.30939530738755</v>
      </c>
      <c r="D161" s="198">
        <v>31.358712414728529</v>
      </c>
      <c r="E161" s="198">
        <v>6.2717424829457062</v>
      </c>
      <c r="F161" s="198">
        <v>37.630454897674234</v>
      </c>
      <c r="G161" s="198">
        <v>39.129809093117451</v>
      </c>
      <c r="H161" s="198">
        <v>106.2410391537172</v>
      </c>
      <c r="I161" s="198">
        <v>2237.7580480577449</v>
      </c>
      <c r="J161" s="198">
        <v>-12.704732543597039</v>
      </c>
      <c r="K161" s="198">
        <v>1.7690625707805541</v>
      </c>
      <c r="L161" s="199">
        <v>2.478449906978315</v>
      </c>
      <c r="M161" s="198">
        <v>1.3994457324500227</v>
      </c>
      <c r="N161" s="198">
        <v>3.4432533259467366E-2</v>
      </c>
      <c r="O161" s="198">
        <v>6.1214275281786348</v>
      </c>
      <c r="P161" s="198">
        <v>4.5012253649611278</v>
      </c>
      <c r="Q161" s="198">
        <v>4.1671281536517206</v>
      </c>
      <c r="R161" s="198">
        <v>2.3829983843623639</v>
      </c>
      <c r="S161" s="198">
        <v>1.914118422159945</v>
      </c>
      <c r="T161" s="198">
        <v>1.4855513534589628</v>
      </c>
      <c r="U161" s="198">
        <v>1.5559194638995804</v>
      </c>
      <c r="V161" s="198">
        <v>2.2593752178613391</v>
      </c>
      <c r="W161" s="198">
        <v>2.8494539364356686</v>
      </c>
      <c r="X161" s="198">
        <v>4.6441338465490487</v>
      </c>
      <c r="Y161" s="198">
        <v>5.4143844104985908</v>
      </c>
      <c r="Z161" s="198">
        <v>6.4230876376300188</v>
      </c>
      <c r="AA161" s="198"/>
      <c r="AB161" s="198">
        <v>10.051032197863719</v>
      </c>
      <c r="AC161" s="198">
        <v>8.6948980365836448</v>
      </c>
      <c r="AD161" s="198">
        <v>8.7374957486895504</v>
      </c>
      <c r="AE161" s="198">
        <v>8.279007135819942</v>
      </c>
      <c r="AF161" s="198">
        <v>7.6241768312418259</v>
      </c>
      <c r="AG161" s="198">
        <v>6.925143416401017</v>
      </c>
      <c r="AH161" s="198">
        <v>7.5709521345430195</v>
      </c>
      <c r="AI161" s="198">
        <v>8.1823140592106416</v>
      </c>
      <c r="AJ161" s="198">
        <v>8.7840949411056624</v>
      </c>
      <c r="AK161" s="198">
        <v>9.0923742042230877</v>
      </c>
      <c r="AL161" s="198">
        <v>9.5858396301302093</v>
      </c>
      <c r="AM161" s="45">
        <v>10.063263251928216</v>
      </c>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row>
    <row r="162" spans="1:131">
      <c r="A162" s="24" t="s">
        <v>429</v>
      </c>
      <c r="B162" s="24"/>
      <c r="C162" s="198">
        <v>74.660780013982716</v>
      </c>
      <c r="D162" s="198">
        <v>15.900946569337281</v>
      </c>
      <c r="E162" s="198">
        <v>3.1801893138674564</v>
      </c>
      <c r="F162" s="198">
        <v>19.081135883204738</v>
      </c>
      <c r="G162" s="198">
        <v>19.671312737140749</v>
      </c>
      <c r="H162" s="198">
        <v>53.846116441934939</v>
      </c>
      <c r="I162" s="198">
        <v>2238.8026257637403</v>
      </c>
      <c r="J162" s="198">
        <v>-12.702365076466847</v>
      </c>
      <c r="K162" s="198">
        <v>1.6105494991589777</v>
      </c>
      <c r="L162" s="199">
        <v>2.3516049926055604</v>
      </c>
      <c r="M162" s="198">
        <v>0.70928069288407625</v>
      </c>
      <c r="N162" s="198">
        <v>1.7451431292925229E-2</v>
      </c>
      <c r="O162" s="198">
        <v>3.1025214182653222</v>
      </c>
      <c r="P162" s="198">
        <v>2.2813548047323233</v>
      </c>
      <c r="Q162" s="198">
        <v>2.1120244076805492</v>
      </c>
      <c r="R162" s="198">
        <v>1.2077744109756194</v>
      </c>
      <c r="S162" s="198">
        <v>0.97013210962809815</v>
      </c>
      <c r="T162" s="198">
        <v>0.75292158092588179</v>
      </c>
      <c r="U162" s="198">
        <v>0.78858623084616497</v>
      </c>
      <c r="V162" s="198">
        <v>1.1451185157456829</v>
      </c>
      <c r="W162" s="198">
        <v>1.4441879492090448</v>
      </c>
      <c r="X162" s="198">
        <v>2.3537850708650705</v>
      </c>
      <c r="Y162" s="198">
        <v>2.7441709508062861</v>
      </c>
      <c r="Z162" s="198">
        <v>3.2554117279685637</v>
      </c>
      <c r="AA162" s="198"/>
      <c r="AB162" s="198">
        <v>5.0941618643690605</v>
      </c>
      <c r="AC162" s="198">
        <v>4.4068327631022868</v>
      </c>
      <c r="AD162" s="198">
        <v>4.428422549727923</v>
      </c>
      <c r="AE162" s="198">
        <v>4.1960468930839969</v>
      </c>
      <c r="AF162" s="198">
        <v>3.8641594312247038</v>
      </c>
      <c r="AG162" s="198">
        <v>3.5098685192367203</v>
      </c>
      <c r="AH162" s="198">
        <v>3.8371835729418806</v>
      </c>
      <c r="AI162" s="198">
        <v>4.1470399678533409</v>
      </c>
      <c r="AJ162" s="198">
        <v>4.452040405510636</v>
      </c>
      <c r="AK162" s="198">
        <v>4.6082854990327089</v>
      </c>
      <c r="AL162" s="198">
        <v>4.8583884441386838</v>
      </c>
      <c r="AM162" s="45">
        <v>5.1003609261121561</v>
      </c>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row>
    <row r="163" spans="1:131">
      <c r="A163" s="24" t="s">
        <v>430</v>
      </c>
      <c r="B163" s="24"/>
      <c r="C163" s="198">
        <v>58.159445328717929</v>
      </c>
      <c r="D163" s="198">
        <v>13.388193469372712</v>
      </c>
      <c r="E163" s="198">
        <v>2.6776386938745427</v>
      </c>
      <c r="F163" s="198">
        <v>16.065832163247254</v>
      </c>
      <c r="G163" s="198">
        <v>16.284414231913335</v>
      </c>
      <c r="H163" s="198">
        <v>41.9451854746493</v>
      </c>
      <c r="I163" s="198">
        <v>2419.8423653217528</v>
      </c>
      <c r="J163" s="198">
        <v>-12.292050333769687</v>
      </c>
      <c r="K163" s="198">
        <v>2.8261335494413684</v>
      </c>
      <c r="L163" s="199">
        <v>2.3240895655667342</v>
      </c>
      <c r="M163" s="198">
        <v>0.55251728782877529</v>
      </c>
      <c r="N163" s="198">
        <v>1.3594360573231034E-2</v>
      </c>
      <c r="O163" s="198">
        <v>2.4168100677890703</v>
      </c>
      <c r="P163" s="198">
        <v>1.7771355993921891</v>
      </c>
      <c r="Q163" s="198">
        <v>1.6452301737057928</v>
      </c>
      <c r="R163" s="198">
        <v>0.94083519903496327</v>
      </c>
      <c r="S163" s="198">
        <v>0.75571599146140989</v>
      </c>
      <c r="T163" s="198">
        <v>0.58651277838872906</v>
      </c>
      <c r="U163" s="198">
        <v>0.614294918580917</v>
      </c>
      <c r="V163" s="198">
        <v>0.89202734955274654</v>
      </c>
      <c r="W163" s="198">
        <v>1.1249972215758555</v>
      </c>
      <c r="X163" s="198">
        <v>1.8335575133141042</v>
      </c>
      <c r="Y163" s="198">
        <v>2.1376613043177928</v>
      </c>
      <c r="Z163" s="198">
        <v>2.5359089521941232</v>
      </c>
      <c r="AA163" s="198"/>
      <c r="AB163" s="198">
        <v>3.9682632352745988</v>
      </c>
      <c r="AC163" s="198">
        <v>3.4328458544157976</v>
      </c>
      <c r="AD163" s="198">
        <v>3.449663921608201</v>
      </c>
      <c r="AE163" s="198">
        <v>3.2686473383930745</v>
      </c>
      <c r="AF163" s="198">
        <v>3.01011279469185</v>
      </c>
      <c r="AG163" s="198">
        <v>2.7341263541220129</v>
      </c>
      <c r="AH163" s="198">
        <v>2.9890990716273271</v>
      </c>
      <c r="AI163" s="198">
        <v>3.2304717984623759</v>
      </c>
      <c r="AJ163" s="198">
        <v>3.468061819298514</v>
      </c>
      <c r="AK163" s="198">
        <v>3.5897740217812037</v>
      </c>
      <c r="AL163" s="198">
        <v>3.7845998534925536</v>
      </c>
      <c r="AM163" s="45">
        <v>3.9730921962427188</v>
      </c>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row>
    <row r="164" spans="1:131">
      <c r="A164" s="24" t="s">
        <v>431</v>
      </c>
      <c r="B164" s="24"/>
      <c r="C164" s="198">
        <v>75.7337104936271</v>
      </c>
      <c r="D164" s="198">
        <v>19.271398161973615</v>
      </c>
      <c r="E164" s="198">
        <v>3.8542796323947233</v>
      </c>
      <c r="F164" s="198">
        <v>23.125677794368336</v>
      </c>
      <c r="G164" s="198">
        <v>21.411399501585095</v>
      </c>
      <c r="H164" s="198">
        <v>54.619924852859768</v>
      </c>
      <c r="I164" s="198">
        <v>2674.9110291607008</v>
      </c>
      <c r="J164" s="198">
        <v>-11.71395387037056</v>
      </c>
      <c r="K164" s="198">
        <v>3.0265333512445136</v>
      </c>
      <c r="L164" s="199">
        <v>2.2128097062600665</v>
      </c>
      <c r="M164" s="198">
        <v>0.71947357961625447</v>
      </c>
      <c r="N164" s="198">
        <v>1.770222123302621E-2</v>
      </c>
      <c r="O164" s="198">
        <v>3.1471069395093139</v>
      </c>
      <c r="P164" s="198">
        <v>2.31413955603578</v>
      </c>
      <c r="Q164" s="198">
        <v>2.1423757562778842</v>
      </c>
      <c r="R164" s="198">
        <v>1.2251310201327645</v>
      </c>
      <c r="S164" s="198">
        <v>0.98407362362656903</v>
      </c>
      <c r="T164" s="198">
        <v>0.76374161940935492</v>
      </c>
      <c r="U164" s="198">
        <v>0.79991879665574095</v>
      </c>
      <c r="V164" s="198">
        <v>1.1615747134725027</v>
      </c>
      <c r="W164" s="198">
        <v>1.4649419952925617</v>
      </c>
      <c r="X164" s="198">
        <v>2.3876106985184391</v>
      </c>
      <c r="Y164" s="198">
        <v>2.7836067115085368</v>
      </c>
      <c r="Z164" s="198">
        <v>3.3021943957370379</v>
      </c>
      <c r="AA164" s="198"/>
      <c r="AB164" s="198">
        <v>5.1673687278856217</v>
      </c>
      <c r="AC164" s="198">
        <v>4.4701622004500132</v>
      </c>
      <c r="AD164" s="198">
        <v>4.492062248234391</v>
      </c>
      <c r="AE164" s="198">
        <v>4.2563471820009324</v>
      </c>
      <c r="AF164" s="198">
        <v>3.9196902525098531</v>
      </c>
      <c r="AG164" s="198">
        <v>3.5603079187866329</v>
      </c>
      <c r="AH164" s="198">
        <v>3.8923267312457321</v>
      </c>
      <c r="AI164" s="198">
        <v>4.2066359911065145</v>
      </c>
      <c r="AJ164" s="198">
        <v>4.5160195100255649</v>
      </c>
      <c r="AK164" s="198">
        <v>4.6745099607901333</v>
      </c>
      <c r="AL164" s="198">
        <v>4.9282070696967377</v>
      </c>
      <c r="AM164" s="45">
        <v>5.173656874718481</v>
      </c>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row>
    <row r="165" spans="1:131">
      <c r="A165" s="24" t="s">
        <v>432</v>
      </c>
      <c r="B165" s="24"/>
      <c r="C165" s="198">
        <v>147.30939530738755</v>
      </c>
      <c r="D165" s="198">
        <v>35.88243373990732</v>
      </c>
      <c r="E165" s="198">
        <v>7.176486747981464</v>
      </c>
      <c r="F165" s="198">
        <v>43.058920487888784</v>
      </c>
      <c r="G165" s="198">
        <v>45.678073477000304</v>
      </c>
      <c r="H165" s="198">
        <v>106.2410391537172</v>
      </c>
      <c r="I165" s="198">
        <v>2560.5708494479809</v>
      </c>
      <c r="J165" s="198">
        <v>-11.973098418044508</v>
      </c>
      <c r="K165" s="198">
        <v>5.0399520749787783</v>
      </c>
      <c r="L165" s="199">
        <v>2.1659901452226413</v>
      </c>
      <c r="M165" s="198">
        <v>1.3994457324500227</v>
      </c>
      <c r="N165" s="198">
        <v>3.4432533259467366E-2</v>
      </c>
      <c r="O165" s="198">
        <v>6.1214275281786348</v>
      </c>
      <c r="P165" s="198">
        <v>4.5012253649611278</v>
      </c>
      <c r="Q165" s="198">
        <v>4.1671281536517206</v>
      </c>
      <c r="R165" s="198">
        <v>2.3829983843623639</v>
      </c>
      <c r="S165" s="198">
        <v>1.914118422159945</v>
      </c>
      <c r="T165" s="198">
        <v>1.4855513534589628</v>
      </c>
      <c r="U165" s="198">
        <v>1.5559194638995804</v>
      </c>
      <c r="V165" s="198">
        <v>2.2593752178613391</v>
      </c>
      <c r="W165" s="198">
        <v>2.8494539364356686</v>
      </c>
      <c r="X165" s="198">
        <v>4.6441338465490487</v>
      </c>
      <c r="Y165" s="198">
        <v>5.4143844104985908</v>
      </c>
      <c r="Z165" s="198">
        <v>6.4230876376300188</v>
      </c>
      <c r="AA165" s="198"/>
      <c r="AB165" s="198">
        <v>10.051032197863719</v>
      </c>
      <c r="AC165" s="198">
        <v>8.6948980365836448</v>
      </c>
      <c r="AD165" s="198">
        <v>8.7374957486895504</v>
      </c>
      <c r="AE165" s="198">
        <v>8.279007135819942</v>
      </c>
      <c r="AF165" s="198">
        <v>7.6241768312418259</v>
      </c>
      <c r="AG165" s="198">
        <v>6.925143416401017</v>
      </c>
      <c r="AH165" s="198">
        <v>7.5709521345430195</v>
      </c>
      <c r="AI165" s="198">
        <v>8.1823140592106416</v>
      </c>
      <c r="AJ165" s="198">
        <v>8.7840949411056624</v>
      </c>
      <c r="AK165" s="198">
        <v>9.0923742042230877</v>
      </c>
      <c r="AL165" s="198">
        <v>9.5858396301302093</v>
      </c>
      <c r="AM165" s="45">
        <v>10.063263251928216</v>
      </c>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row>
    <row r="166" spans="1:131">
      <c r="A166" s="24" t="s">
        <v>433</v>
      </c>
      <c r="B166" s="24"/>
      <c r="C166" s="198">
        <v>58.159445328717929</v>
      </c>
      <c r="D166" s="198">
        <v>14.529979530207335</v>
      </c>
      <c r="E166" s="198">
        <v>2.9059959060414671</v>
      </c>
      <c r="F166" s="198">
        <v>17.435975436248803</v>
      </c>
      <c r="G166" s="198">
        <v>17.937194422983517</v>
      </c>
      <c r="H166" s="198">
        <v>41.9451854746493</v>
      </c>
      <c r="I166" s="198">
        <v>2626.2139186207141</v>
      </c>
      <c r="J166" s="198">
        <v>-11.824322690111964</v>
      </c>
      <c r="K166" s="198">
        <v>4.9171861494113838</v>
      </c>
      <c r="L166" s="199">
        <v>2.1414593653948395</v>
      </c>
      <c r="M166" s="198">
        <v>0.55251728782877529</v>
      </c>
      <c r="N166" s="198">
        <v>1.3594360573231034E-2</v>
      </c>
      <c r="O166" s="198">
        <v>2.4168100677890703</v>
      </c>
      <c r="P166" s="198">
        <v>1.7771355993921891</v>
      </c>
      <c r="Q166" s="198">
        <v>1.6452301737057928</v>
      </c>
      <c r="R166" s="198">
        <v>0.94083519903496327</v>
      </c>
      <c r="S166" s="198">
        <v>0.75571599146140989</v>
      </c>
      <c r="T166" s="198">
        <v>0.58651277838872906</v>
      </c>
      <c r="U166" s="198">
        <v>0.614294918580917</v>
      </c>
      <c r="V166" s="198">
        <v>0.89202734955274654</v>
      </c>
      <c r="W166" s="198">
        <v>1.1249972215758555</v>
      </c>
      <c r="X166" s="198">
        <v>1.8335575133141042</v>
      </c>
      <c r="Y166" s="198">
        <v>2.1376613043177928</v>
      </c>
      <c r="Z166" s="198">
        <v>2.5359089521941232</v>
      </c>
      <c r="AA166" s="198"/>
      <c r="AB166" s="198">
        <v>3.9682632352745988</v>
      </c>
      <c r="AC166" s="198">
        <v>3.4328458544157976</v>
      </c>
      <c r="AD166" s="198">
        <v>3.449663921608201</v>
      </c>
      <c r="AE166" s="198">
        <v>3.2686473383930745</v>
      </c>
      <c r="AF166" s="198">
        <v>3.01011279469185</v>
      </c>
      <c r="AG166" s="198">
        <v>2.7341263541220129</v>
      </c>
      <c r="AH166" s="198">
        <v>2.9890990716273271</v>
      </c>
      <c r="AI166" s="198">
        <v>3.2304717984623759</v>
      </c>
      <c r="AJ166" s="198">
        <v>3.468061819298514</v>
      </c>
      <c r="AK166" s="198">
        <v>3.5897740217812037</v>
      </c>
      <c r="AL166" s="198">
        <v>3.7845998534925536</v>
      </c>
      <c r="AM166" s="45">
        <v>3.9730921962427188</v>
      </c>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row>
    <row r="167" spans="1:131">
      <c r="A167" s="24" t="s">
        <v>434</v>
      </c>
      <c r="B167" s="24"/>
      <c r="C167" s="198">
        <v>7.0735978583603307</v>
      </c>
      <c r="D167" s="198">
        <v>1.947148610061336</v>
      </c>
      <c r="E167" s="198">
        <v>0.38942972201226722</v>
      </c>
      <c r="F167" s="198">
        <v>2.3365783320736031</v>
      </c>
      <c r="G167" s="198">
        <v>2.6531824909667474</v>
      </c>
      <c r="H167" s="198">
        <v>5.1015509598661914</v>
      </c>
      <c r="I167" s="198">
        <v>2893.6372407392369</v>
      </c>
      <c r="J167" s="198">
        <v>-11.218225200830503</v>
      </c>
      <c r="K167" s="198">
        <v>9.8227590078014355</v>
      </c>
      <c r="L167" s="199">
        <v>1.8686549854469094</v>
      </c>
      <c r="M167" s="198">
        <v>6.7199490672632839E-2</v>
      </c>
      <c r="N167" s="198">
        <v>1.6534036611436324E-3</v>
      </c>
      <c r="O167" s="198">
        <v>0.29394266783240841</v>
      </c>
      <c r="P167" s="198">
        <v>0.21614275202981206</v>
      </c>
      <c r="Q167" s="198">
        <v>0.20009985596421492</v>
      </c>
      <c r="R167" s="198">
        <v>0.11442835830618876</v>
      </c>
      <c r="S167" s="198">
        <v>9.1913376898911395E-2</v>
      </c>
      <c r="T167" s="198">
        <v>7.1334166095681648E-2</v>
      </c>
      <c r="U167" s="198">
        <v>7.4713147553523887E-2</v>
      </c>
      <c r="V167" s="198">
        <v>0.10849214110849645</v>
      </c>
      <c r="W167" s="198">
        <v>0.13682692281920555</v>
      </c>
      <c r="X167" s="198">
        <v>0.2230050239656412</v>
      </c>
      <c r="Y167" s="198">
        <v>0.2599914139252576</v>
      </c>
      <c r="Z167" s="198">
        <v>0.30842797815301254</v>
      </c>
      <c r="AA167" s="198"/>
      <c r="AB167" s="198">
        <v>0.48263696745725504</v>
      </c>
      <c r="AC167" s="198">
        <v>0.41751723983320893</v>
      </c>
      <c r="AD167" s="198">
        <v>0.41956272433536601</v>
      </c>
      <c r="AE167" s="198">
        <v>0.39754672146392922</v>
      </c>
      <c r="AF167" s="198">
        <v>0.36610265619987936</v>
      </c>
      <c r="AG167" s="198">
        <v>0.33253601738622945</v>
      </c>
      <c r="AH167" s="198">
        <v>0.36354687827549825</v>
      </c>
      <c r="AI167" s="198">
        <v>0.3929036507473968</v>
      </c>
      <c r="AJ167" s="198">
        <v>0.4218003545081605</v>
      </c>
      <c r="AK167" s="198">
        <v>0.43660350763233169</v>
      </c>
      <c r="AL167" s="198">
        <v>0.46029904974346292</v>
      </c>
      <c r="AM167" s="45">
        <v>0.48322428612525709</v>
      </c>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row>
    <row r="168" spans="1:131">
      <c r="A168" s="24" t="s">
        <v>435</v>
      </c>
      <c r="B168" s="24"/>
      <c r="C168" s="198">
        <v>7.0735978583603307</v>
      </c>
      <c r="D168" s="198">
        <v>2.008153465301179</v>
      </c>
      <c r="E168" s="198">
        <v>0.4016306930602358</v>
      </c>
      <c r="F168" s="198">
        <v>2.4097841583614148</v>
      </c>
      <c r="G168" s="198">
        <v>2.7414894161938901</v>
      </c>
      <c r="H168" s="198">
        <v>5.1015509598661914</v>
      </c>
      <c r="I168" s="198">
        <v>2984.295919833256</v>
      </c>
      <c r="J168" s="198">
        <v>-11.012753227237624</v>
      </c>
      <c r="K168" s="198">
        <v>10.741354926662265</v>
      </c>
      <c r="L168" s="199">
        <v>1.8118878962527063</v>
      </c>
      <c r="M168" s="198">
        <v>6.7199490672632839E-2</v>
      </c>
      <c r="N168" s="198">
        <v>1.6534036611436324E-3</v>
      </c>
      <c r="O168" s="198">
        <v>0.29394266783240841</v>
      </c>
      <c r="P168" s="198">
        <v>0.21614275202981206</v>
      </c>
      <c r="Q168" s="198">
        <v>0.20009985596421492</v>
      </c>
      <c r="R168" s="198">
        <v>0.11442835830618876</v>
      </c>
      <c r="S168" s="198">
        <v>9.1913376898911395E-2</v>
      </c>
      <c r="T168" s="198">
        <v>7.1334166095681648E-2</v>
      </c>
      <c r="U168" s="198">
        <v>7.4713147553523887E-2</v>
      </c>
      <c r="V168" s="198">
        <v>0.10849214110849645</v>
      </c>
      <c r="W168" s="198">
        <v>0.13682692281920555</v>
      </c>
      <c r="X168" s="198">
        <v>0.2230050239656412</v>
      </c>
      <c r="Y168" s="198">
        <v>0.2599914139252576</v>
      </c>
      <c r="Z168" s="198">
        <v>0.30842797815301254</v>
      </c>
      <c r="AA168" s="198"/>
      <c r="AB168" s="198">
        <v>0.48263696745725504</v>
      </c>
      <c r="AC168" s="198">
        <v>0.41751723983320893</v>
      </c>
      <c r="AD168" s="198">
        <v>0.41956272433536601</v>
      </c>
      <c r="AE168" s="198">
        <v>0.39754672146392922</v>
      </c>
      <c r="AF168" s="198">
        <v>0.36610265619987936</v>
      </c>
      <c r="AG168" s="198">
        <v>0.33253601738622945</v>
      </c>
      <c r="AH168" s="198">
        <v>0.36354687827549825</v>
      </c>
      <c r="AI168" s="198">
        <v>0.3929036507473968</v>
      </c>
      <c r="AJ168" s="198">
        <v>0.4218003545081605</v>
      </c>
      <c r="AK168" s="198">
        <v>0.43660350763233169</v>
      </c>
      <c r="AL168" s="198">
        <v>0.46029904974346292</v>
      </c>
      <c r="AM168" s="45">
        <v>0.48322428612525709</v>
      </c>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c r="BO168" s="45"/>
      <c r="BP168" s="45"/>
      <c r="BQ168" s="45"/>
      <c r="BR168" s="45"/>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row>
    <row r="169" spans="1:131">
      <c r="A169" s="24" t="s">
        <v>436</v>
      </c>
      <c r="B169" s="24"/>
      <c r="C169" s="198">
        <v>75.7337104936271</v>
      </c>
      <c r="D169" s="198">
        <v>23.583436394929375</v>
      </c>
      <c r="E169" s="198">
        <v>4.7166872789858756</v>
      </c>
      <c r="F169" s="198">
        <v>28.300123673915252</v>
      </c>
      <c r="G169" s="198">
        <v>27.538095131141713</v>
      </c>
      <c r="H169" s="198">
        <v>54.619924852859768</v>
      </c>
      <c r="I169" s="198">
        <v>3273.431101786025</v>
      </c>
      <c r="J169" s="198">
        <v>-10.357447226039847</v>
      </c>
      <c r="K169" s="198">
        <v>8.9791399938501453</v>
      </c>
      <c r="L169" s="199">
        <v>1.8082155709583696</v>
      </c>
      <c r="M169" s="198">
        <v>0.71947357961625447</v>
      </c>
      <c r="N169" s="198">
        <v>1.770222123302621E-2</v>
      </c>
      <c r="O169" s="198">
        <v>3.1471069395093139</v>
      </c>
      <c r="P169" s="198">
        <v>2.31413955603578</v>
      </c>
      <c r="Q169" s="198">
        <v>2.1423757562778842</v>
      </c>
      <c r="R169" s="198">
        <v>1.2251310201327645</v>
      </c>
      <c r="S169" s="198">
        <v>0.98407362362656903</v>
      </c>
      <c r="T169" s="198">
        <v>0.76374161940935492</v>
      </c>
      <c r="U169" s="198">
        <v>0.79991879665574095</v>
      </c>
      <c r="V169" s="198">
        <v>1.1615747134725027</v>
      </c>
      <c r="W169" s="198">
        <v>1.4649419952925617</v>
      </c>
      <c r="X169" s="198">
        <v>2.3876106985184391</v>
      </c>
      <c r="Y169" s="198">
        <v>2.7836067115085368</v>
      </c>
      <c r="Z169" s="198">
        <v>3.3021943957370379</v>
      </c>
      <c r="AA169" s="198"/>
      <c r="AB169" s="198">
        <v>5.1673687278856217</v>
      </c>
      <c r="AC169" s="198">
        <v>4.4701622004500132</v>
      </c>
      <c r="AD169" s="198">
        <v>4.492062248234391</v>
      </c>
      <c r="AE169" s="198">
        <v>4.2563471820009324</v>
      </c>
      <c r="AF169" s="198">
        <v>3.9196902525098531</v>
      </c>
      <c r="AG169" s="198">
        <v>3.5603079187866329</v>
      </c>
      <c r="AH169" s="198">
        <v>3.8923267312457321</v>
      </c>
      <c r="AI169" s="198">
        <v>4.2066359911065145</v>
      </c>
      <c r="AJ169" s="198">
        <v>4.5160195100255649</v>
      </c>
      <c r="AK169" s="198">
        <v>4.6745099607901333</v>
      </c>
      <c r="AL169" s="198">
        <v>4.9282070696967377</v>
      </c>
      <c r="AM169" s="45">
        <v>5.173656874718481</v>
      </c>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c r="BO169" s="45"/>
      <c r="BP169" s="45"/>
      <c r="BQ169" s="45"/>
      <c r="BR169" s="45"/>
      <c r="BS169" s="45"/>
      <c r="BT169" s="45"/>
      <c r="BU169" s="45"/>
      <c r="BV169" s="45"/>
      <c r="BW169" s="45"/>
      <c r="BX169" s="45"/>
      <c r="BY169" s="45"/>
      <c r="BZ169" s="45"/>
      <c r="CA169" s="45"/>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row>
    <row r="170" spans="1:131">
      <c r="A170" s="24" t="s">
        <v>420</v>
      </c>
      <c r="B170" s="24"/>
      <c r="C170" s="198">
        <v>74.660780013982716</v>
      </c>
      <c r="D170" s="198">
        <v>21.673265650078871</v>
      </c>
      <c r="E170" s="198">
        <v>4.3346531300157745</v>
      </c>
      <c r="F170" s="198">
        <v>26.007918780094645</v>
      </c>
      <c r="G170" s="198">
        <v>28.850063832589374</v>
      </c>
      <c r="H170" s="198">
        <v>53.846116441934939</v>
      </c>
      <c r="I170" s="198">
        <v>3051.5267650694309</v>
      </c>
      <c r="J170" s="198">
        <v>-10.860378908583932</v>
      </c>
      <c r="K170" s="198">
        <v>10.656645338332369</v>
      </c>
      <c r="L170" s="199">
        <v>1.7252935456670198</v>
      </c>
      <c r="M170" s="198">
        <v>0.70928069288407625</v>
      </c>
      <c r="N170" s="198">
        <v>1.7451431292925229E-2</v>
      </c>
      <c r="O170" s="198">
        <v>3.1025214182653222</v>
      </c>
      <c r="P170" s="198">
        <v>2.2813548047323233</v>
      </c>
      <c r="Q170" s="198">
        <v>2.1120244076805492</v>
      </c>
      <c r="R170" s="198">
        <v>1.2077744109756194</v>
      </c>
      <c r="S170" s="198">
        <v>0.97013210962809815</v>
      </c>
      <c r="T170" s="198">
        <v>0.75292158092588179</v>
      </c>
      <c r="U170" s="198">
        <v>0.78858623084616497</v>
      </c>
      <c r="V170" s="198">
        <v>1.1451185157456829</v>
      </c>
      <c r="W170" s="198">
        <v>1.4441879492090448</v>
      </c>
      <c r="X170" s="198">
        <v>2.3537850708650705</v>
      </c>
      <c r="Y170" s="198">
        <v>2.7441709508062861</v>
      </c>
      <c r="Z170" s="198">
        <v>3.2554117279685637</v>
      </c>
      <c r="AA170" s="198"/>
      <c r="AB170" s="198">
        <v>5.0941618643690605</v>
      </c>
      <c r="AC170" s="198">
        <v>4.4068327631022868</v>
      </c>
      <c r="AD170" s="198">
        <v>4.428422549727923</v>
      </c>
      <c r="AE170" s="198">
        <v>4.1960468930839969</v>
      </c>
      <c r="AF170" s="198">
        <v>3.8641594312247038</v>
      </c>
      <c r="AG170" s="198">
        <v>3.5098685192367203</v>
      </c>
      <c r="AH170" s="198">
        <v>3.8371835729418806</v>
      </c>
      <c r="AI170" s="198">
        <v>4.1470399678533409</v>
      </c>
      <c r="AJ170" s="198">
        <v>4.452040405510636</v>
      </c>
      <c r="AK170" s="198">
        <v>4.6082854990327089</v>
      </c>
      <c r="AL170" s="198">
        <v>4.8583884441386838</v>
      </c>
      <c r="AM170" s="45">
        <v>5.1003609261121561</v>
      </c>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row>
    <row r="171" spans="1:131">
      <c r="A171" s="24" t="s">
        <v>437</v>
      </c>
      <c r="B171" s="24"/>
      <c r="C171" s="198">
        <v>2.6150142699850236</v>
      </c>
      <c r="D171" s="198">
        <v>1.0315522391340137</v>
      </c>
      <c r="E171" s="198">
        <v>0.20631044782680275</v>
      </c>
      <c r="F171" s="198">
        <v>1.2378626869608165</v>
      </c>
      <c r="G171" s="198">
        <v>1.6360123274452882</v>
      </c>
      <c r="H171" s="198">
        <v>1.8859749771240535</v>
      </c>
      <c r="I171" s="198">
        <v>4146.6990303799967</v>
      </c>
      <c r="J171" s="198">
        <v>-8.378242514955403</v>
      </c>
      <c r="K171" s="198">
        <v>28.257949446998648</v>
      </c>
      <c r="L171" s="199">
        <v>1.0847395728062454</v>
      </c>
      <c r="M171" s="198">
        <v>2.4842750544119063E-2</v>
      </c>
      <c r="N171" s="198">
        <v>6.1124116107701858E-4</v>
      </c>
      <c r="O171" s="198">
        <v>0.10866666247229853</v>
      </c>
      <c r="P171" s="198">
        <v>7.9905076911286385E-2</v>
      </c>
      <c r="Q171" s="198">
        <v>7.3974233374027726E-2</v>
      </c>
      <c r="R171" s="198">
        <v>4.2302629560426443E-2</v>
      </c>
      <c r="S171" s="198">
        <v>3.397914286420569E-2</v>
      </c>
      <c r="T171" s="198">
        <v>2.6371284601260828E-2</v>
      </c>
      <c r="U171" s="198">
        <v>2.7620448733461079E-2</v>
      </c>
      <c r="V171" s="198">
        <v>4.0108089668206129E-2</v>
      </c>
      <c r="W171" s="198">
        <v>5.0583078492011067E-2</v>
      </c>
      <c r="X171" s="198">
        <v>8.2441966821631199E-2</v>
      </c>
      <c r="Y171" s="198">
        <v>9.6115339195396221E-2</v>
      </c>
      <c r="Z171" s="198">
        <v>0.11402168744714514</v>
      </c>
      <c r="AA171" s="198"/>
      <c r="AB171" s="198">
        <v>0.1784244146182741</v>
      </c>
      <c r="AC171" s="198">
        <v>0.15435052458321183</v>
      </c>
      <c r="AD171" s="198">
        <v>0.15510671277333518</v>
      </c>
      <c r="AE171" s="198">
        <v>0.14696769175042057</v>
      </c>
      <c r="AF171" s="198">
        <v>0.135343242493011</v>
      </c>
      <c r="AG171" s="198">
        <v>0.12293410625841673</v>
      </c>
      <c r="AH171" s="198">
        <v>0.13439840566782024</v>
      </c>
      <c r="AI171" s="198">
        <v>0.14525121077095249</v>
      </c>
      <c r="AJ171" s="198">
        <v>0.15593393464118435</v>
      </c>
      <c r="AK171" s="198">
        <v>0.16140646183817914</v>
      </c>
      <c r="AL171" s="198">
        <v>0.17016638599507808</v>
      </c>
      <c r="AM171" s="45">
        <v>0.17864153845378286</v>
      </c>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row>
    <row r="172" spans="1:131">
      <c r="A172" s="24"/>
      <c r="B172" s="24"/>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row>
  </sheetData>
  <mergeCells count="3">
    <mergeCell ref="I6:N6"/>
    <mergeCell ref="O6:P6"/>
    <mergeCell ref="R6:T6"/>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sheetPr>
    <tabColor rgb="FFFFFF00"/>
  </sheetPr>
  <dimension ref="A1:EA28"/>
  <sheetViews>
    <sheetView zoomScale="90" zoomScaleNormal="90" workbookViewId="0">
      <pane xSplit="2" ySplit="3" topLeftCell="C4" activePane="bottomRight" state="frozen"/>
      <selection pane="topRight" activeCell="C1" sqref="C1"/>
      <selection pane="bottomLeft" activeCell="A4" sqref="A4"/>
      <selection pane="bottomRight" activeCell="C4" sqref="C4:C27"/>
    </sheetView>
  </sheetViews>
  <sheetFormatPr defaultRowHeight="12.75"/>
  <cols>
    <col min="1" max="1" width="43.28515625" customWidth="1"/>
    <col min="9" max="9" width="20.85546875" customWidth="1"/>
    <col min="10" max="10" width="17.28515625" customWidth="1"/>
    <col min="11" max="11" width="10.85546875" customWidth="1"/>
    <col min="13" max="13" width="9.5703125" customWidth="1"/>
    <col min="14" max="14" width="11.5703125" customWidth="1"/>
  </cols>
  <sheetData>
    <row r="1" spans="1:131" ht="13.5" thickBot="1">
      <c r="A1" s="187" t="s">
        <v>385</v>
      </c>
      <c r="B1" s="188"/>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row>
    <row r="2" spans="1:131" ht="13.5" thickBot="1">
      <c r="A2" s="189"/>
      <c r="B2" s="190"/>
      <c r="C2" s="191"/>
      <c r="D2" s="191"/>
      <c r="E2" s="191"/>
      <c r="F2" s="191"/>
      <c r="G2" s="191"/>
      <c r="H2" s="191"/>
      <c r="I2" s="191"/>
      <c r="J2" s="191"/>
      <c r="K2" s="191"/>
      <c r="L2" s="191"/>
      <c r="M2" s="191"/>
      <c r="N2" s="191"/>
      <c r="O2" s="192" t="s">
        <v>386</v>
      </c>
      <c r="P2" s="193"/>
      <c r="Q2" s="193"/>
      <c r="R2" s="193"/>
      <c r="S2" s="193"/>
      <c r="T2" s="193"/>
      <c r="U2" s="193"/>
      <c r="V2" s="193"/>
      <c r="W2" s="193"/>
      <c r="X2" s="193"/>
      <c r="Y2" s="193"/>
      <c r="Z2" s="194"/>
      <c r="AA2" s="191"/>
      <c r="AB2" s="192" t="s">
        <v>387</v>
      </c>
      <c r="AC2" s="193"/>
      <c r="AD2" s="193"/>
      <c r="AE2" s="193"/>
      <c r="AF2" s="193"/>
      <c r="AG2" s="193"/>
      <c r="AH2" s="193"/>
      <c r="AI2" s="193"/>
      <c r="AJ2" s="193"/>
      <c r="AK2" s="193"/>
      <c r="AL2" s="193"/>
      <c r="AM2" s="194"/>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row>
    <row r="3" spans="1:131" ht="135.75" customHeight="1">
      <c r="A3" s="195" t="s">
        <v>388</v>
      </c>
      <c r="B3" s="196" t="s">
        <v>389</v>
      </c>
      <c r="C3" s="197" t="s">
        <v>390</v>
      </c>
      <c r="D3" s="197" t="s">
        <v>391</v>
      </c>
      <c r="E3" s="197" t="s">
        <v>392</v>
      </c>
      <c r="F3" s="197" t="s">
        <v>393</v>
      </c>
      <c r="G3" s="197" t="s">
        <v>394</v>
      </c>
      <c r="H3" s="197" t="s">
        <v>395</v>
      </c>
      <c r="I3" s="197" t="s">
        <v>396</v>
      </c>
      <c r="J3" s="197" t="s">
        <v>397</v>
      </c>
      <c r="K3" s="197" t="s">
        <v>398</v>
      </c>
      <c r="L3" s="197" t="s">
        <v>399</v>
      </c>
      <c r="M3" s="197" t="s">
        <v>400</v>
      </c>
      <c r="N3" s="197" t="s">
        <v>401</v>
      </c>
      <c r="O3" s="197" t="s">
        <v>402</v>
      </c>
      <c r="P3" s="197" t="s">
        <v>403</v>
      </c>
      <c r="Q3" s="197" t="s">
        <v>404</v>
      </c>
      <c r="R3" s="197" t="s">
        <v>405</v>
      </c>
      <c r="S3" s="197" t="s">
        <v>406</v>
      </c>
      <c r="T3" s="197" t="s">
        <v>407</v>
      </c>
      <c r="U3" s="197" t="s">
        <v>408</v>
      </c>
      <c r="V3" s="197" t="s">
        <v>409</v>
      </c>
      <c r="W3" s="197" t="s">
        <v>410</v>
      </c>
      <c r="X3" s="197" t="s">
        <v>411</v>
      </c>
      <c r="Y3" s="197" t="s">
        <v>412</v>
      </c>
      <c r="Z3" s="197" t="s">
        <v>413</v>
      </c>
      <c r="AA3" s="197"/>
      <c r="AB3" s="197" t="s">
        <v>402</v>
      </c>
      <c r="AC3" s="197" t="s">
        <v>403</v>
      </c>
      <c r="AD3" s="197" t="s">
        <v>404</v>
      </c>
      <c r="AE3" s="197" t="s">
        <v>405</v>
      </c>
      <c r="AF3" s="197" t="s">
        <v>406</v>
      </c>
      <c r="AG3" s="197" t="s">
        <v>407</v>
      </c>
      <c r="AH3" s="197" t="s">
        <v>408</v>
      </c>
      <c r="AI3" s="197" t="s">
        <v>409</v>
      </c>
      <c r="AJ3" s="197" t="s">
        <v>410</v>
      </c>
      <c r="AK3" s="197" t="s">
        <v>411</v>
      </c>
      <c r="AL3" s="197" t="s">
        <v>412</v>
      </c>
      <c r="AM3" s="197" t="s">
        <v>413</v>
      </c>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row>
    <row r="4" spans="1:131">
      <c r="A4" s="24" t="s">
        <v>414</v>
      </c>
      <c r="B4" s="24"/>
      <c r="C4" s="198">
        <v>841.23057955103127</v>
      </c>
      <c r="D4" s="198">
        <v>2.0115772129567233</v>
      </c>
      <c r="E4" s="198">
        <v>0.40231544259134466</v>
      </c>
      <c r="F4" s="198">
        <v>2.413892655548068</v>
      </c>
      <c r="G4" s="198">
        <v>-32.854796891830127</v>
      </c>
      <c r="H4" s="198">
        <v>606.70407853410973</v>
      </c>
      <c r="I4" s="198">
        <v>25.136627432025396</v>
      </c>
      <c r="J4" s="198">
        <v>-17.719494446739034</v>
      </c>
      <c r="K4" s="198">
        <v>-20.65024716638197</v>
      </c>
      <c r="L4" s="199">
        <v>220.64102437953096</v>
      </c>
      <c r="M4" s="198">
        <v>7.991727493705282</v>
      </c>
      <c r="N4" s="198">
        <v>0.1966317209355842</v>
      </c>
      <c r="O4" s="198">
        <v>34.957254535353464</v>
      </c>
      <c r="P4" s="198">
        <v>25.704867055863577</v>
      </c>
      <c r="Q4" s="198">
        <v>23.796958941043552</v>
      </c>
      <c r="R4" s="198">
        <v>13.608440301877943</v>
      </c>
      <c r="S4" s="198">
        <v>10.930836734771145</v>
      </c>
      <c r="T4" s="198">
        <v>8.4834454952136387</v>
      </c>
      <c r="U4" s="198">
        <v>8.8852922762987756</v>
      </c>
      <c r="V4" s="198">
        <v>12.902473192417036</v>
      </c>
      <c r="W4" s="198">
        <v>16.27219894121399</v>
      </c>
      <c r="X4" s="198">
        <v>26.520965611818589</v>
      </c>
      <c r="Y4" s="198">
        <v>30.919587484908899</v>
      </c>
      <c r="Z4" s="198">
        <v>36.679926114933892</v>
      </c>
      <c r="AA4" s="198"/>
      <c r="AB4" s="198">
        <v>57.397802925275748</v>
      </c>
      <c r="AC4" s="198">
        <v>49.653412120724148</v>
      </c>
      <c r="AD4" s="198">
        <v>49.896672219427458</v>
      </c>
      <c r="AE4" s="198">
        <v>47.27840988309088</v>
      </c>
      <c r="AF4" s="198">
        <v>43.538911289139342</v>
      </c>
      <c r="AG4" s="198">
        <v>39.546984749321552</v>
      </c>
      <c r="AH4" s="198">
        <v>43.234964332077062</v>
      </c>
      <c r="AI4" s="198">
        <v>46.726230758976754</v>
      </c>
      <c r="AJ4" s="198">
        <v>50.162783322259806</v>
      </c>
      <c r="AK4" s="198">
        <v>51.923254489999579</v>
      </c>
      <c r="AL4" s="198">
        <v>54.741256731866265</v>
      </c>
      <c r="AM4" s="45">
        <v>57.467650043157988</v>
      </c>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row>
    <row r="5" spans="1:131">
      <c r="A5" s="24" t="s">
        <v>415</v>
      </c>
      <c r="B5" s="24"/>
      <c r="C5" s="198">
        <v>733.02980952261714</v>
      </c>
      <c r="D5" s="198">
        <v>6.6707622506870052</v>
      </c>
      <c r="E5" s="198">
        <v>1.3341524501374011</v>
      </c>
      <c r="F5" s="198">
        <v>8.0049147008244059</v>
      </c>
      <c r="G5" s="198">
        <v>-44.978386370781529</v>
      </c>
      <c r="H5" s="198">
        <v>528.66857902598895</v>
      </c>
      <c r="I5" s="198">
        <v>95.661938802856014</v>
      </c>
      <c r="J5" s="198">
        <v>-17.559653435812884</v>
      </c>
      <c r="K5" s="198">
        <v>-22.291408773955855</v>
      </c>
      <c r="L5" s="199">
        <v>61.5237091466566</v>
      </c>
      <c r="M5" s="198">
        <v>6.9638154209681566</v>
      </c>
      <c r="N5" s="198">
        <v>0.17134055328854339</v>
      </c>
      <c r="O5" s="198">
        <v>30.460982109280696</v>
      </c>
      <c r="P5" s="198">
        <v>22.398655326842935</v>
      </c>
      <c r="Q5" s="198">
        <v>20.736146193212065</v>
      </c>
      <c r="R5" s="198">
        <v>11.858095324719899</v>
      </c>
      <c r="S5" s="198">
        <v>9.5248905168051508</v>
      </c>
      <c r="T5" s="198">
        <v>7.3922876635926205</v>
      </c>
      <c r="U5" s="198">
        <v>7.7424481030209229</v>
      </c>
      <c r="V5" s="198">
        <v>11.242931125561149</v>
      </c>
      <c r="W5" s="198">
        <v>14.179235967335206</v>
      </c>
      <c r="X5" s="198">
        <v>23.109785644219961</v>
      </c>
      <c r="Y5" s="198">
        <v>26.94264792023737</v>
      </c>
      <c r="Z5" s="198">
        <v>31.962080203603197</v>
      </c>
      <c r="AA5" s="198"/>
      <c r="AB5" s="198">
        <v>50.015182006087862</v>
      </c>
      <c r="AC5" s="198">
        <v>43.266890331575816</v>
      </c>
      <c r="AD5" s="198">
        <v>43.478861826848977</v>
      </c>
      <c r="AE5" s="198">
        <v>41.197365661184904</v>
      </c>
      <c r="AF5" s="198">
        <v>37.938848901728342</v>
      </c>
      <c r="AG5" s="198">
        <v>34.460371986787088</v>
      </c>
      <c r="AH5" s="198">
        <v>37.67399621394415</v>
      </c>
      <c r="AI5" s="198">
        <v>40.71620892721576</v>
      </c>
      <c r="AJ5" s="198">
        <v>43.710745184114899</v>
      </c>
      <c r="AK5" s="198">
        <v>45.244781007500059</v>
      </c>
      <c r="AL5" s="198">
        <v>47.700326130089771</v>
      </c>
      <c r="AM5" s="45">
        <v>50.076045247108233</v>
      </c>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row>
    <row r="6" spans="1:131">
      <c r="A6" s="24" t="s">
        <v>416</v>
      </c>
      <c r="B6" s="24"/>
      <c r="C6" s="198">
        <v>734.71773160610712</v>
      </c>
      <c r="D6" s="198">
        <v>7.3019593555087283</v>
      </c>
      <c r="E6" s="198">
        <v>1.4603918711017458</v>
      </c>
      <c r="F6" s="198">
        <v>8.7623512266104733</v>
      </c>
      <c r="G6" s="198">
        <v>-47.542846474130414</v>
      </c>
      <c r="H6" s="198">
        <v>529.88592565745375</v>
      </c>
      <c r="I6" s="198">
        <v>104.47304242584816</v>
      </c>
      <c r="J6" s="198">
        <v>-17.539683645065445</v>
      </c>
      <c r="K6" s="198">
        <v>-22.537866130177889</v>
      </c>
      <c r="L6" s="199">
        <v>56.656424961588399</v>
      </c>
      <c r="M6" s="198">
        <v>6.9798507549773587</v>
      </c>
      <c r="N6" s="198">
        <v>0.17173509318301433</v>
      </c>
      <c r="O6" s="198">
        <v>30.531123546530743</v>
      </c>
      <c r="P6" s="198">
        <v>22.4502319264239</v>
      </c>
      <c r="Q6" s="198">
        <v>20.783894591205311</v>
      </c>
      <c r="R6" s="198">
        <v>11.88540054574462</v>
      </c>
      <c r="S6" s="198">
        <v>9.5468231487899384</v>
      </c>
      <c r="T6" s="198">
        <v>7.4093096256367206</v>
      </c>
      <c r="U6" s="198">
        <v>7.7602763672519153</v>
      </c>
      <c r="V6" s="198">
        <v>11.268819829517609</v>
      </c>
      <c r="W6" s="198">
        <v>14.211885997668714</v>
      </c>
      <c r="X6" s="198">
        <v>23.162999738690417</v>
      </c>
      <c r="Y6" s="198">
        <v>27.004687812505704</v>
      </c>
      <c r="Z6" s="198">
        <v>32.035678166890762</v>
      </c>
      <c r="AA6" s="198"/>
      <c r="AB6" s="198">
        <v>50.130350214967144</v>
      </c>
      <c r="AC6" s="198">
        <v>43.36651948543269</v>
      </c>
      <c r="AD6" s="198">
        <v>43.578979080048185</v>
      </c>
      <c r="AE6" s="198">
        <v>41.292229393024691</v>
      </c>
      <c r="AF6" s="198">
        <v>38.026209361086899</v>
      </c>
      <c r="AG6" s="198">
        <v>34.539722679113851</v>
      </c>
      <c r="AH6" s="198">
        <v>37.760746806289426</v>
      </c>
      <c r="AI6" s="198">
        <v>40.809964716286594</v>
      </c>
      <c r="AJ6" s="198">
        <v>43.811396387004066</v>
      </c>
      <c r="AK6" s="198">
        <v>45.348964580982511</v>
      </c>
      <c r="AL6" s="198">
        <v>47.810164001372364</v>
      </c>
      <c r="AM6" s="45">
        <v>50.19135360364217</v>
      </c>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row>
    <row r="7" spans="1:131">
      <c r="A7" s="24" t="s">
        <v>417</v>
      </c>
      <c r="B7" s="24"/>
      <c r="C7" s="198">
        <v>315.58847519429145</v>
      </c>
      <c r="D7" s="198">
        <v>4.7789999869194872</v>
      </c>
      <c r="E7" s="198">
        <v>0.95579999738389754</v>
      </c>
      <c r="F7" s="198">
        <v>5.7347999843033843</v>
      </c>
      <c r="G7" s="198">
        <v>-465.75238074545223</v>
      </c>
      <c r="H7" s="198">
        <v>227.60562881692306</v>
      </c>
      <c r="I7" s="198">
        <v>159.18467184699767</v>
      </c>
      <c r="J7" s="198">
        <v>-17.415683311197924</v>
      </c>
      <c r="K7" s="198">
        <v>-126.37002300184083</v>
      </c>
      <c r="L7" s="199">
        <v>51.736777996568115</v>
      </c>
      <c r="M7" s="198">
        <v>2.9981043904191012</v>
      </c>
      <c r="N7" s="198">
        <v>7.3766582543883921E-2</v>
      </c>
      <c r="O7" s="198">
        <v>13.114248250080038</v>
      </c>
      <c r="P7" s="198">
        <v>9.6432060322408404</v>
      </c>
      <c r="Q7" s="198">
        <v>8.9274524357795482</v>
      </c>
      <c r="R7" s="198">
        <v>5.1052196972372155</v>
      </c>
      <c r="S7" s="198">
        <v>4.1007140985831319</v>
      </c>
      <c r="T7" s="198">
        <v>3.1825728799079429</v>
      </c>
      <c r="U7" s="198">
        <v>3.333326093101971</v>
      </c>
      <c r="V7" s="198">
        <v>4.8403754452237004</v>
      </c>
      <c r="W7" s="198">
        <v>6.1045313576886739</v>
      </c>
      <c r="X7" s="198">
        <v>9.9493662041874682</v>
      </c>
      <c r="Y7" s="198">
        <v>11.59951350461691</v>
      </c>
      <c r="Z7" s="198">
        <v>13.760510179063267</v>
      </c>
      <c r="AA7" s="198"/>
      <c r="AB7" s="198">
        <v>21.532841940146529</v>
      </c>
      <c r="AC7" s="198">
        <v>18.627526150721078</v>
      </c>
      <c r="AD7" s="198">
        <v>18.718785414817688</v>
      </c>
      <c r="AE7" s="198">
        <v>17.73654173696173</v>
      </c>
      <c r="AF7" s="198">
        <v>16.333665179756437</v>
      </c>
      <c r="AG7" s="198">
        <v>14.836090031619189</v>
      </c>
      <c r="AH7" s="198">
        <v>16.219639181354879</v>
      </c>
      <c r="AI7" s="198">
        <v>17.529391198156659</v>
      </c>
      <c r="AJ7" s="198">
        <v>18.818617255476585</v>
      </c>
      <c r="AK7" s="198">
        <v>19.479059736950603</v>
      </c>
      <c r="AL7" s="198">
        <v>20.536236035842926</v>
      </c>
      <c r="AM7" s="45">
        <v>21.559045154776381</v>
      </c>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row>
    <row r="8" spans="1:131">
      <c r="A8" s="24" t="s">
        <v>418</v>
      </c>
      <c r="B8" s="24"/>
      <c r="C8" s="198">
        <v>315.58847519429145</v>
      </c>
      <c r="D8" s="198">
        <v>4.7789999869194872</v>
      </c>
      <c r="E8" s="198">
        <v>0.95579999738389754</v>
      </c>
      <c r="F8" s="198">
        <v>5.7347999843033843</v>
      </c>
      <c r="G8" s="198">
        <v>-465.75238074545223</v>
      </c>
      <c r="H8" s="198">
        <v>227.60562881692306</v>
      </c>
      <c r="I8" s="198">
        <v>159.18467184699767</v>
      </c>
      <c r="J8" s="198">
        <v>-17.415683311197924</v>
      </c>
      <c r="K8" s="198">
        <v>-126.37002300184083</v>
      </c>
      <c r="L8" s="199">
        <v>51.736777996568115</v>
      </c>
      <c r="M8" s="198">
        <v>2.9981043904191012</v>
      </c>
      <c r="N8" s="198">
        <v>7.3766582543883921E-2</v>
      </c>
      <c r="O8" s="198">
        <v>13.114248250080038</v>
      </c>
      <c r="P8" s="198">
        <v>9.6432060322408404</v>
      </c>
      <c r="Q8" s="198">
        <v>8.9274524357795482</v>
      </c>
      <c r="R8" s="198">
        <v>5.1052196972372155</v>
      </c>
      <c r="S8" s="198">
        <v>4.1007140985831319</v>
      </c>
      <c r="T8" s="198">
        <v>3.1825728799079429</v>
      </c>
      <c r="U8" s="198">
        <v>3.333326093101971</v>
      </c>
      <c r="V8" s="198">
        <v>4.8403754452237004</v>
      </c>
      <c r="W8" s="198">
        <v>6.1045313576886739</v>
      </c>
      <c r="X8" s="198">
        <v>9.9493662041874682</v>
      </c>
      <c r="Y8" s="198">
        <v>11.59951350461691</v>
      </c>
      <c r="Z8" s="198">
        <v>13.760510179063267</v>
      </c>
      <c r="AA8" s="198"/>
      <c r="AB8" s="198">
        <v>21.532841940146529</v>
      </c>
      <c r="AC8" s="198">
        <v>18.627526150721078</v>
      </c>
      <c r="AD8" s="198">
        <v>18.718785414817688</v>
      </c>
      <c r="AE8" s="198">
        <v>17.73654173696173</v>
      </c>
      <c r="AF8" s="198">
        <v>16.333665179756437</v>
      </c>
      <c r="AG8" s="198">
        <v>14.836090031619189</v>
      </c>
      <c r="AH8" s="198">
        <v>16.219639181354879</v>
      </c>
      <c r="AI8" s="198">
        <v>17.529391198156659</v>
      </c>
      <c r="AJ8" s="198">
        <v>18.818617255476585</v>
      </c>
      <c r="AK8" s="198">
        <v>19.479059736950603</v>
      </c>
      <c r="AL8" s="198">
        <v>20.536236035842926</v>
      </c>
      <c r="AM8" s="45">
        <v>21.559045154776381</v>
      </c>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row>
    <row r="9" spans="1:131">
      <c r="A9" s="24" t="s">
        <v>419</v>
      </c>
      <c r="B9" s="24"/>
      <c r="C9" s="198">
        <v>1818.1320336264869</v>
      </c>
      <c r="D9" s="198">
        <v>51.863052062075326</v>
      </c>
      <c r="E9" s="198">
        <v>10.372610412415066</v>
      </c>
      <c r="F9" s="198">
        <v>62.23566247449039</v>
      </c>
      <c r="G9" s="198">
        <v>-32.761732628424213</v>
      </c>
      <c r="H9" s="198">
        <v>1311.255376264872</v>
      </c>
      <c r="I9" s="198">
        <v>299.85963241024842</v>
      </c>
      <c r="J9" s="198">
        <v>-17.096852703131638</v>
      </c>
      <c r="K9" s="198">
        <v>-19.102367372714326</v>
      </c>
      <c r="L9" s="199">
        <v>19.239084018786379</v>
      </c>
      <c r="M9" s="198">
        <v>17.27233426068965</v>
      </c>
      <c r="N9" s="198">
        <v>0.42497555289881439</v>
      </c>
      <c r="O9" s="198">
        <v>75.552299004966684</v>
      </c>
      <c r="P9" s="198">
        <v>55.555329716281044</v>
      </c>
      <c r="Q9" s="198">
        <v>51.431812401181134</v>
      </c>
      <c r="R9" s="198">
        <v>29.411604668178942</v>
      </c>
      <c r="S9" s="198">
        <v>23.624562521770496</v>
      </c>
      <c r="T9" s="198">
        <v>18.335072910216969</v>
      </c>
      <c r="U9" s="198">
        <v>19.203574986889581</v>
      </c>
      <c r="V9" s="198">
        <v>27.885814418040145</v>
      </c>
      <c r="W9" s="198">
        <v>35.168724095067745</v>
      </c>
      <c r="X9" s="198">
        <v>57.319144493401986</v>
      </c>
      <c r="Y9" s="198">
        <v>66.825783369444537</v>
      </c>
      <c r="Z9" s="198">
        <v>79.275468916270555</v>
      </c>
      <c r="AA9" s="198"/>
      <c r="AB9" s="198">
        <v>124.05253291424525</v>
      </c>
      <c r="AC9" s="198">
        <v>107.3147616717966</v>
      </c>
      <c r="AD9" s="198">
        <v>107.84051405016552</v>
      </c>
      <c r="AE9" s="198">
        <v>102.18172472195081</v>
      </c>
      <c r="AF9" s="198">
        <v>94.099633617995565</v>
      </c>
      <c r="AG9" s="198">
        <v>85.471975881397356</v>
      </c>
      <c r="AH9" s="198">
        <v>93.44272014790613</v>
      </c>
      <c r="AI9" s="198">
        <v>100.98831285812209</v>
      </c>
      <c r="AJ9" s="198">
        <v>108.41565377086063</v>
      </c>
      <c r="AK9" s="198">
        <v>112.22051905054623</v>
      </c>
      <c r="AL9" s="198">
        <v>118.31100157853935</v>
      </c>
      <c r="AM9" s="45">
        <v>124.20349186125115</v>
      </c>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row>
    <row r="10" spans="1:131">
      <c r="A10" s="24" t="s">
        <v>421</v>
      </c>
      <c r="B10" s="24"/>
      <c r="C10" s="198">
        <v>77.194303284934591</v>
      </c>
      <c r="D10" s="198">
        <v>4.0008899869194874</v>
      </c>
      <c r="E10" s="198">
        <v>0.8001779973838975</v>
      </c>
      <c r="F10" s="198">
        <v>4.8010679843033852</v>
      </c>
      <c r="G10" s="198">
        <v>-27.341061579948462</v>
      </c>
      <c r="H10" s="198">
        <v>55.673319278959603</v>
      </c>
      <c r="I10" s="198">
        <v>544.82460172298306</v>
      </c>
      <c r="J10" s="198">
        <v>-16.541655603319395</v>
      </c>
      <c r="K10" s="198">
        <v>-43.838014609514374</v>
      </c>
      <c r="L10" s="199">
        <v>8.2560305106367604</v>
      </c>
      <c r="M10" s="198">
        <v>0.73334927535431171</v>
      </c>
      <c r="N10" s="198">
        <v>1.8043624507137073E-2</v>
      </c>
      <c r="O10" s="198">
        <v>3.2078017302354049</v>
      </c>
      <c r="P10" s="198">
        <v>2.3587698208358887</v>
      </c>
      <c r="Q10" s="198">
        <v>2.1836934015575871</v>
      </c>
      <c r="R10" s="198">
        <v>1.2487587748637792</v>
      </c>
      <c r="S10" s="198">
        <v>1.0030523694376006</v>
      </c>
      <c r="T10" s="198">
        <v>0.77847106415014411</v>
      </c>
      <c r="U10" s="198">
        <v>0.81534595083069783</v>
      </c>
      <c r="V10" s="198">
        <v>1.1839767276086746</v>
      </c>
      <c r="W10" s="198">
        <v>1.4931947205857186</v>
      </c>
      <c r="X10" s="198">
        <v>2.433657920448733</v>
      </c>
      <c r="Y10" s="198">
        <v>2.8372910730717615</v>
      </c>
      <c r="Z10" s="198">
        <v>3.3658801876845397</v>
      </c>
      <c r="AA10" s="198"/>
      <c r="AB10" s="198">
        <v>5.2670260860790057</v>
      </c>
      <c r="AC10" s="198">
        <v>4.5563733030540767</v>
      </c>
      <c r="AD10" s="198">
        <v>4.5786957129769874</v>
      </c>
      <c r="AE10" s="198">
        <v>4.3384346694726528</v>
      </c>
      <c r="AF10" s="198">
        <v>3.9952850079979769</v>
      </c>
      <c r="AG10" s="198">
        <v>3.6289716624104487</v>
      </c>
      <c r="AH10" s="198">
        <v>3.9673937565904014</v>
      </c>
      <c r="AI10" s="198">
        <v>4.2877647535059449</v>
      </c>
      <c r="AJ10" s="198">
        <v>4.6031150121309627</v>
      </c>
      <c r="AK10" s="198">
        <v>4.7646620939303626</v>
      </c>
      <c r="AL10" s="198">
        <v>5.0232519799903557</v>
      </c>
      <c r="AM10" s="45">
        <v>5.2734355054848692</v>
      </c>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row>
    <row r="11" spans="1:131">
      <c r="A11" s="24" t="s">
        <v>422</v>
      </c>
      <c r="B11" s="24"/>
      <c r="C11" s="198">
        <v>77.194303284934591</v>
      </c>
      <c r="D11" s="198">
        <v>4.0008899869194874</v>
      </c>
      <c r="E11" s="198">
        <v>0.8001779973838975</v>
      </c>
      <c r="F11" s="198">
        <v>4.8010679843033852</v>
      </c>
      <c r="G11" s="198">
        <v>-27.341061579948462</v>
      </c>
      <c r="H11" s="198">
        <v>55.673319278959603</v>
      </c>
      <c r="I11" s="198">
        <v>544.82460172298306</v>
      </c>
      <c r="J11" s="198">
        <v>-16.541655603319395</v>
      </c>
      <c r="K11" s="198">
        <v>-43.838014609514374</v>
      </c>
      <c r="L11" s="199">
        <v>8.2560305106367604</v>
      </c>
      <c r="M11" s="198">
        <v>0.73334927535431171</v>
      </c>
      <c r="N11" s="198">
        <v>1.8043624507137073E-2</v>
      </c>
      <c r="O11" s="198">
        <v>3.2078017302354049</v>
      </c>
      <c r="P11" s="198">
        <v>2.3587698208358887</v>
      </c>
      <c r="Q11" s="198">
        <v>2.1836934015575871</v>
      </c>
      <c r="R11" s="198">
        <v>1.2487587748637792</v>
      </c>
      <c r="S11" s="198">
        <v>1.0030523694376006</v>
      </c>
      <c r="T11" s="198">
        <v>0.77847106415014411</v>
      </c>
      <c r="U11" s="198">
        <v>0.81534595083069783</v>
      </c>
      <c r="V11" s="198">
        <v>1.1839767276086746</v>
      </c>
      <c r="W11" s="198">
        <v>1.4931947205857186</v>
      </c>
      <c r="X11" s="198">
        <v>2.433657920448733</v>
      </c>
      <c r="Y11" s="198">
        <v>2.8372910730717615</v>
      </c>
      <c r="Z11" s="198">
        <v>3.3658801876845397</v>
      </c>
      <c r="AA11" s="198"/>
      <c r="AB11" s="198">
        <v>5.2670260860790057</v>
      </c>
      <c r="AC11" s="198">
        <v>4.5563733030540767</v>
      </c>
      <c r="AD11" s="198">
        <v>4.5786957129769874</v>
      </c>
      <c r="AE11" s="198">
        <v>4.3384346694726528</v>
      </c>
      <c r="AF11" s="198">
        <v>3.9952850079979769</v>
      </c>
      <c r="AG11" s="198">
        <v>3.6289716624104487</v>
      </c>
      <c r="AH11" s="198">
        <v>3.9673937565904014</v>
      </c>
      <c r="AI11" s="198">
        <v>4.2877647535059449</v>
      </c>
      <c r="AJ11" s="198">
        <v>4.6031150121309627</v>
      </c>
      <c r="AK11" s="198">
        <v>4.7646620939303626</v>
      </c>
      <c r="AL11" s="198">
        <v>5.0232519799903557</v>
      </c>
      <c r="AM11" s="45">
        <v>5.2734355054848692</v>
      </c>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row>
    <row r="12" spans="1:131">
      <c r="A12" s="24" t="s">
        <v>423</v>
      </c>
      <c r="B12" s="24"/>
      <c r="C12" s="198">
        <v>315.58847519429145</v>
      </c>
      <c r="D12" s="198">
        <v>30.451059986919489</v>
      </c>
      <c r="E12" s="198">
        <v>6.0902119973838982</v>
      </c>
      <c r="F12" s="198">
        <v>36.541271984303386</v>
      </c>
      <c r="G12" s="198">
        <v>-392.34185364371388</v>
      </c>
      <c r="H12" s="198">
        <v>227.60562881692306</v>
      </c>
      <c r="I12" s="198">
        <v>1014.3004822512221</v>
      </c>
      <c r="J12" s="198">
        <v>-15.477619190144257</v>
      </c>
      <c r="K12" s="198">
        <v>-109.25382421363217</v>
      </c>
      <c r="L12" s="199">
        <v>8.1195880036709323</v>
      </c>
      <c r="M12" s="198">
        <v>2.9981043904191012</v>
      </c>
      <c r="N12" s="198">
        <v>7.3766582543883921E-2</v>
      </c>
      <c r="O12" s="198">
        <v>13.114248250080038</v>
      </c>
      <c r="P12" s="198">
        <v>9.6432060322408404</v>
      </c>
      <c r="Q12" s="198">
        <v>8.9274524357795482</v>
      </c>
      <c r="R12" s="198">
        <v>5.1052196972372155</v>
      </c>
      <c r="S12" s="198">
        <v>4.1007140985831319</v>
      </c>
      <c r="T12" s="198">
        <v>3.1825728799079429</v>
      </c>
      <c r="U12" s="198">
        <v>3.333326093101971</v>
      </c>
      <c r="V12" s="198">
        <v>4.8403754452237004</v>
      </c>
      <c r="W12" s="198">
        <v>6.1045313576886739</v>
      </c>
      <c r="X12" s="198">
        <v>9.9493662041874682</v>
      </c>
      <c r="Y12" s="198">
        <v>11.59951350461691</v>
      </c>
      <c r="Z12" s="198">
        <v>13.760510179063267</v>
      </c>
      <c r="AA12" s="198"/>
      <c r="AB12" s="198">
        <v>21.532841940146529</v>
      </c>
      <c r="AC12" s="198">
        <v>18.627526150721078</v>
      </c>
      <c r="AD12" s="198">
        <v>18.718785414817688</v>
      </c>
      <c r="AE12" s="198">
        <v>17.73654173696173</v>
      </c>
      <c r="AF12" s="198">
        <v>16.333665179756437</v>
      </c>
      <c r="AG12" s="198">
        <v>14.836090031619189</v>
      </c>
      <c r="AH12" s="198">
        <v>16.219639181354879</v>
      </c>
      <c r="AI12" s="198">
        <v>17.529391198156659</v>
      </c>
      <c r="AJ12" s="198">
        <v>18.818617255476585</v>
      </c>
      <c r="AK12" s="198">
        <v>19.479059736950603</v>
      </c>
      <c r="AL12" s="198">
        <v>20.536236035842926</v>
      </c>
      <c r="AM12" s="45">
        <v>21.559045154776381</v>
      </c>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row>
    <row r="13" spans="1:131">
      <c r="A13" s="24" t="s">
        <v>424</v>
      </c>
      <c r="B13" s="24"/>
      <c r="C13" s="198">
        <v>1468.6907917047924</v>
      </c>
      <c r="D13" s="198">
        <v>134.02315442591345</v>
      </c>
      <c r="E13" s="198">
        <v>26.804630885182689</v>
      </c>
      <c r="F13" s="198">
        <v>160.82778531109614</v>
      </c>
      <c r="G13" s="198">
        <v>115.83308283319576</v>
      </c>
      <c r="H13" s="198">
        <v>1059.2347866245555</v>
      </c>
      <c r="I13" s="198">
        <v>959.25664359199027</v>
      </c>
      <c r="J13" s="198">
        <v>-15.602372454547242</v>
      </c>
      <c r="K13" s="198">
        <v>-11.973200574277085</v>
      </c>
      <c r="L13" s="199">
        <v>5.8628005645095005</v>
      </c>
      <c r="M13" s="198">
        <v>13.952627097891837</v>
      </c>
      <c r="N13" s="198">
        <v>0.34329612464787984</v>
      </c>
      <c r="O13" s="198">
        <v>61.031302341333543</v>
      </c>
      <c r="P13" s="198">
        <v>44.87770947067974</v>
      </c>
      <c r="Q13" s="198">
        <v>41.546723712707731</v>
      </c>
      <c r="R13" s="198">
        <v>23.75875467044893</v>
      </c>
      <c r="S13" s="198">
        <v>19.083970136410123</v>
      </c>
      <c r="T13" s="198">
        <v>14.811109562136343</v>
      </c>
      <c r="U13" s="198">
        <v>15.512687323813692</v>
      </c>
      <c r="V13" s="198">
        <v>22.526218171995609</v>
      </c>
      <c r="W13" s="198">
        <v>28.409367570190302</v>
      </c>
      <c r="X13" s="198">
        <v>46.302522670996822</v>
      </c>
      <c r="Y13" s="198">
        <v>53.982005084304802</v>
      </c>
      <c r="Z13" s="198">
        <v>64.038886644095854</v>
      </c>
      <c r="AA13" s="198"/>
      <c r="AB13" s="198">
        <v>100.20989092601698</v>
      </c>
      <c r="AC13" s="198">
        <v>86.689084932399126</v>
      </c>
      <c r="AD13" s="198">
        <v>87.113788783684981</v>
      </c>
      <c r="AE13" s="198">
        <v>82.54260713964949</v>
      </c>
      <c r="AF13" s="198">
        <v>76.013877343045039</v>
      </c>
      <c r="AG13" s="198">
        <v>69.044437699848274</v>
      </c>
      <c r="AH13" s="198">
        <v>75.483221292426549</v>
      </c>
      <c r="AI13" s="198">
        <v>81.578566584453725</v>
      </c>
      <c r="AJ13" s="198">
        <v>87.578387831557052</v>
      </c>
      <c r="AK13" s="198">
        <v>90.651965820722793</v>
      </c>
      <c r="AL13" s="198">
        <v>95.571870118355363</v>
      </c>
      <c r="AM13" s="45">
        <v>100.3318358735194</v>
      </c>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row>
    <row r="14" spans="1:131">
      <c r="A14" s="24" t="s">
        <v>425</v>
      </c>
      <c r="B14" s="24"/>
      <c r="C14" s="198">
        <v>3575.1679071329308</v>
      </c>
      <c r="D14" s="198">
        <v>532.0694632777404</v>
      </c>
      <c r="E14" s="198">
        <v>106.41389265554808</v>
      </c>
      <c r="F14" s="198">
        <v>638.48335593328852</v>
      </c>
      <c r="G14" s="198">
        <v>686.59851158483514</v>
      </c>
      <c r="H14" s="198">
        <v>2578.4475783790995</v>
      </c>
      <c r="I14" s="198">
        <v>1564.4339911467116</v>
      </c>
      <c r="J14" s="198">
        <v>-14.230777531497223</v>
      </c>
      <c r="K14" s="198">
        <v>-3.645346777701838</v>
      </c>
      <c r="L14" s="199">
        <v>3.4563360848601774</v>
      </c>
      <c r="M14" s="198">
        <v>33.964252313908865</v>
      </c>
      <c r="N14" s="198">
        <v>0.83567030883305371</v>
      </c>
      <c r="O14" s="198">
        <v>148.56575304594153</v>
      </c>
      <c r="P14" s="198">
        <v>109.2437887889062</v>
      </c>
      <c r="Q14" s="198">
        <v>101.13532004362652</v>
      </c>
      <c r="R14" s="198">
        <v>57.834867414561231</v>
      </c>
      <c r="S14" s="198">
        <v>46.455249776013211</v>
      </c>
      <c r="T14" s="198">
        <v>36.054017547229876</v>
      </c>
      <c r="U14" s="198">
        <v>37.761836723378948</v>
      </c>
      <c r="V14" s="198">
        <v>54.834559277185761</v>
      </c>
      <c r="W14" s="198">
        <v>69.155645131397193</v>
      </c>
      <c r="X14" s="198">
        <v>112.712147449697</v>
      </c>
      <c r="Y14" s="198">
        <v>131.40596593247059</v>
      </c>
      <c r="Z14" s="198">
        <v>155.88698018099521</v>
      </c>
      <c r="AA14" s="198"/>
      <c r="AB14" s="198">
        <v>243.93642830709547</v>
      </c>
      <c r="AC14" s="198">
        <v>211.02333867653877</v>
      </c>
      <c r="AD14" s="198">
        <v>212.05717615119906</v>
      </c>
      <c r="AE14" s="198">
        <v>200.92975436593625</v>
      </c>
      <c r="AF14" s="198">
        <v>185.03716119724811</v>
      </c>
      <c r="AG14" s="198">
        <v>168.07176787975163</v>
      </c>
      <c r="AH14" s="198">
        <v>183.74540905131482</v>
      </c>
      <c r="AI14" s="198">
        <v>198.58303382164124</v>
      </c>
      <c r="AJ14" s="198">
        <v>213.18812870773323</v>
      </c>
      <c r="AK14" s="198">
        <v>220.67000130406134</v>
      </c>
      <c r="AL14" s="198">
        <v>232.64630295339919</v>
      </c>
      <c r="AM14" s="45">
        <v>244.23327340560769</v>
      </c>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row>
    <row r="15" spans="1:131">
      <c r="A15" s="24" t="s">
        <v>426</v>
      </c>
      <c r="B15" s="24"/>
      <c r="C15" s="198">
        <v>1818.1320336264869</v>
      </c>
      <c r="D15" s="198">
        <v>332.28218672874203</v>
      </c>
      <c r="E15" s="198">
        <v>66.456437345748412</v>
      </c>
      <c r="F15" s="198">
        <v>398.73862407449042</v>
      </c>
      <c r="G15" s="198">
        <v>365.66763974489379</v>
      </c>
      <c r="H15" s="198">
        <v>1311.255376264872</v>
      </c>
      <c r="I15" s="198">
        <v>1921.1752954626838</v>
      </c>
      <c r="J15" s="198">
        <v>-13.422246670553561</v>
      </c>
      <c r="K15" s="198">
        <v>-2.9775040188196331</v>
      </c>
      <c r="L15" s="199">
        <v>3.0028621934750586</v>
      </c>
      <c r="M15" s="198">
        <v>17.27233426068965</v>
      </c>
      <c r="N15" s="198">
        <v>0.42497555289881439</v>
      </c>
      <c r="O15" s="198">
        <v>75.552299004966684</v>
      </c>
      <c r="P15" s="198">
        <v>55.555329716281044</v>
      </c>
      <c r="Q15" s="198">
        <v>51.431812401181134</v>
      </c>
      <c r="R15" s="198">
        <v>29.411604668178942</v>
      </c>
      <c r="S15" s="198">
        <v>23.624562521770496</v>
      </c>
      <c r="T15" s="198">
        <v>18.335072910216969</v>
      </c>
      <c r="U15" s="198">
        <v>19.203574986889581</v>
      </c>
      <c r="V15" s="198">
        <v>27.885814418040145</v>
      </c>
      <c r="W15" s="198">
        <v>35.168724095067745</v>
      </c>
      <c r="X15" s="198">
        <v>57.319144493401986</v>
      </c>
      <c r="Y15" s="198">
        <v>66.825783369444537</v>
      </c>
      <c r="Z15" s="198">
        <v>79.275468916270555</v>
      </c>
      <c r="AA15" s="198"/>
      <c r="AB15" s="198">
        <v>124.05253291424525</v>
      </c>
      <c r="AC15" s="198">
        <v>107.3147616717966</v>
      </c>
      <c r="AD15" s="198">
        <v>107.84051405016552</v>
      </c>
      <c r="AE15" s="198">
        <v>102.18172472195081</v>
      </c>
      <c r="AF15" s="198">
        <v>94.099633617995565</v>
      </c>
      <c r="AG15" s="198">
        <v>85.471975881397356</v>
      </c>
      <c r="AH15" s="198">
        <v>93.44272014790613</v>
      </c>
      <c r="AI15" s="198">
        <v>100.98831285812209</v>
      </c>
      <c r="AJ15" s="198">
        <v>108.41565377086063</v>
      </c>
      <c r="AK15" s="198">
        <v>112.22051905054623</v>
      </c>
      <c r="AL15" s="198">
        <v>118.31100157853935</v>
      </c>
      <c r="AM15" s="45">
        <v>124.20349186125115</v>
      </c>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row>
    <row r="16" spans="1:131">
      <c r="A16" s="24" t="s">
        <v>427</v>
      </c>
      <c r="B16" s="24"/>
      <c r="C16" s="198">
        <v>1818.1320336264869</v>
      </c>
      <c r="D16" s="198">
        <v>371.54658006207535</v>
      </c>
      <c r="E16" s="198">
        <v>74.309316012415067</v>
      </c>
      <c r="F16" s="198">
        <v>445.85589607449043</v>
      </c>
      <c r="G16" s="198">
        <v>421.45587121139187</v>
      </c>
      <c r="H16" s="198">
        <v>1311.255376264872</v>
      </c>
      <c r="I16" s="198">
        <v>2148.1925280322707</v>
      </c>
      <c r="J16" s="198">
        <v>-12.907726943575256</v>
      </c>
      <c r="K16" s="198">
        <v>-0.71969455112343683</v>
      </c>
      <c r="L16" s="199">
        <v>2.6855249641276591</v>
      </c>
      <c r="M16" s="198">
        <v>17.27233426068965</v>
      </c>
      <c r="N16" s="198">
        <v>0.42497555289881439</v>
      </c>
      <c r="O16" s="198">
        <v>75.552299004966684</v>
      </c>
      <c r="P16" s="198">
        <v>55.555329716281044</v>
      </c>
      <c r="Q16" s="198">
        <v>51.431812401181134</v>
      </c>
      <c r="R16" s="198">
        <v>29.411604668178942</v>
      </c>
      <c r="S16" s="198">
        <v>23.624562521770496</v>
      </c>
      <c r="T16" s="198">
        <v>18.335072910216969</v>
      </c>
      <c r="U16" s="198">
        <v>19.203574986889581</v>
      </c>
      <c r="V16" s="198">
        <v>27.885814418040145</v>
      </c>
      <c r="W16" s="198">
        <v>35.168724095067745</v>
      </c>
      <c r="X16" s="198">
        <v>57.319144493401986</v>
      </c>
      <c r="Y16" s="198">
        <v>66.825783369444537</v>
      </c>
      <c r="Z16" s="198">
        <v>79.275468916270555</v>
      </c>
      <c r="AA16" s="198"/>
      <c r="AB16" s="198">
        <v>124.05253291424525</v>
      </c>
      <c r="AC16" s="198">
        <v>107.3147616717966</v>
      </c>
      <c r="AD16" s="198">
        <v>107.84051405016552</v>
      </c>
      <c r="AE16" s="198">
        <v>102.18172472195081</v>
      </c>
      <c r="AF16" s="198">
        <v>94.099633617995565</v>
      </c>
      <c r="AG16" s="198">
        <v>85.471975881397356</v>
      </c>
      <c r="AH16" s="198">
        <v>93.44272014790613</v>
      </c>
      <c r="AI16" s="198">
        <v>100.98831285812209</v>
      </c>
      <c r="AJ16" s="198">
        <v>108.41565377086063</v>
      </c>
      <c r="AK16" s="198">
        <v>112.22051905054623</v>
      </c>
      <c r="AL16" s="198">
        <v>118.31100157853935</v>
      </c>
      <c r="AM16" s="45">
        <v>124.20349186125115</v>
      </c>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row>
    <row r="17" spans="1:131">
      <c r="A17" s="24" t="s">
        <v>428</v>
      </c>
      <c r="B17" s="24"/>
      <c r="C17" s="198">
        <v>841.23057955103127</v>
      </c>
      <c r="D17" s="198">
        <v>179.07824387962339</v>
      </c>
      <c r="E17" s="198">
        <v>35.815648775924679</v>
      </c>
      <c r="F17" s="198">
        <v>214.89389265554806</v>
      </c>
      <c r="G17" s="198">
        <v>223.45616117992174</v>
      </c>
      <c r="H17" s="198">
        <v>606.70407853410973</v>
      </c>
      <c r="I17" s="198">
        <v>2237.7580480577449</v>
      </c>
      <c r="J17" s="198">
        <v>-12.70473254359705</v>
      </c>
      <c r="K17" s="198">
        <v>1.7690625707805467</v>
      </c>
      <c r="L17" s="199">
        <v>2.478449906978319</v>
      </c>
      <c r="M17" s="198">
        <v>7.991727493705282</v>
      </c>
      <c r="N17" s="198">
        <v>0.1966317209355842</v>
      </c>
      <c r="O17" s="198">
        <v>34.957254535353464</v>
      </c>
      <c r="P17" s="198">
        <v>25.704867055863577</v>
      </c>
      <c r="Q17" s="198">
        <v>23.796958941043552</v>
      </c>
      <c r="R17" s="198">
        <v>13.608440301877943</v>
      </c>
      <c r="S17" s="198">
        <v>10.930836734771145</v>
      </c>
      <c r="T17" s="198">
        <v>8.4834454952136387</v>
      </c>
      <c r="U17" s="198">
        <v>8.8852922762987756</v>
      </c>
      <c r="V17" s="198">
        <v>12.902473192417036</v>
      </c>
      <c r="W17" s="198">
        <v>16.27219894121399</v>
      </c>
      <c r="X17" s="198">
        <v>26.520965611818589</v>
      </c>
      <c r="Y17" s="198">
        <v>30.919587484908899</v>
      </c>
      <c r="Z17" s="198">
        <v>36.679926114933892</v>
      </c>
      <c r="AA17" s="198"/>
      <c r="AB17" s="198">
        <v>57.397802925275748</v>
      </c>
      <c r="AC17" s="198">
        <v>49.653412120724148</v>
      </c>
      <c r="AD17" s="198">
        <v>49.896672219427458</v>
      </c>
      <c r="AE17" s="198">
        <v>47.27840988309088</v>
      </c>
      <c r="AF17" s="198">
        <v>43.538911289139342</v>
      </c>
      <c r="AG17" s="198">
        <v>39.546984749321552</v>
      </c>
      <c r="AH17" s="198">
        <v>43.234964332077062</v>
      </c>
      <c r="AI17" s="198">
        <v>46.726230758976754</v>
      </c>
      <c r="AJ17" s="198">
        <v>50.162783322259806</v>
      </c>
      <c r="AK17" s="198">
        <v>51.923254489999579</v>
      </c>
      <c r="AL17" s="198">
        <v>54.741256731866265</v>
      </c>
      <c r="AM17" s="45">
        <v>57.467650043157988</v>
      </c>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row>
    <row r="18" spans="1:131">
      <c r="A18" s="24" t="s">
        <v>429</v>
      </c>
      <c r="B18" s="24"/>
      <c r="C18" s="198">
        <v>724.30887875791984</v>
      </c>
      <c r="D18" s="198">
        <v>154.26033291735365</v>
      </c>
      <c r="E18" s="198">
        <v>30.85206658347073</v>
      </c>
      <c r="F18" s="198">
        <v>185.11239950082438</v>
      </c>
      <c r="G18" s="198">
        <v>190.83790002818577</v>
      </c>
      <c r="H18" s="198">
        <v>522.37895476342499</v>
      </c>
      <c r="I18" s="198">
        <v>2238.8026257637403</v>
      </c>
      <c r="J18" s="198">
        <v>-12.70236507646686</v>
      </c>
      <c r="K18" s="198">
        <v>1.6105494991589702</v>
      </c>
      <c r="L18" s="199">
        <v>2.3516049926055604</v>
      </c>
      <c r="M18" s="198">
        <v>6.8809661952539356</v>
      </c>
      <c r="N18" s="198">
        <v>0.16930209716711028</v>
      </c>
      <c r="O18" s="198">
        <v>30.098584683488795</v>
      </c>
      <c r="P18" s="198">
        <v>22.132176229007978</v>
      </c>
      <c r="Q18" s="198">
        <v>20.489446136913653</v>
      </c>
      <c r="R18" s="198">
        <v>11.717018349425524</v>
      </c>
      <c r="S18" s="198">
        <v>9.4115719182170849</v>
      </c>
      <c r="T18" s="198">
        <v>7.3043408596981072</v>
      </c>
      <c r="U18" s="198">
        <v>7.6503354044941316</v>
      </c>
      <c r="V18" s="198">
        <v>11.109172821786117</v>
      </c>
      <c r="W18" s="198">
        <v>14.010544143945422</v>
      </c>
      <c r="X18" s="198">
        <v>22.834846156122623</v>
      </c>
      <c r="Y18" s="198">
        <v>26.622108476850983</v>
      </c>
      <c r="Z18" s="198">
        <v>31.581824059950794</v>
      </c>
      <c r="AA18" s="198"/>
      <c r="AB18" s="198">
        <v>49.420146260211595</v>
      </c>
      <c r="AC18" s="198">
        <v>42.752139703315336</v>
      </c>
      <c r="AD18" s="198">
        <v>42.961589351986419</v>
      </c>
      <c r="AE18" s="198">
        <v>40.707236380012702</v>
      </c>
      <c r="AF18" s="198">
        <v>37.487486528375804</v>
      </c>
      <c r="AG18" s="198">
        <v>34.050393409765505</v>
      </c>
      <c r="AH18" s="198">
        <v>37.225784820160257</v>
      </c>
      <c r="AI18" s="198">
        <v>40.231804017016479</v>
      </c>
      <c r="AJ18" s="198">
        <v>43.19071396918757</v>
      </c>
      <c r="AK18" s="198">
        <v>44.706499211174112</v>
      </c>
      <c r="AL18" s="198">
        <v>47.132830461796402</v>
      </c>
      <c r="AM18" s="45">
        <v>49.480285405016289</v>
      </c>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row>
    <row r="19" spans="1:131">
      <c r="A19" s="24" t="s">
        <v>430</v>
      </c>
      <c r="B19" s="24"/>
      <c r="C19" s="198">
        <v>1468.6907917047924</v>
      </c>
      <c r="D19" s="198">
        <v>338.08982109258011</v>
      </c>
      <c r="E19" s="198">
        <v>67.617964218516022</v>
      </c>
      <c r="F19" s="198">
        <v>405.70778531109613</v>
      </c>
      <c r="G19" s="198">
        <v>411.22760190609949</v>
      </c>
      <c r="H19" s="198">
        <v>1059.2347866245555</v>
      </c>
      <c r="I19" s="198">
        <v>2419.8423653217524</v>
      </c>
      <c r="J19" s="198">
        <v>-12.292050333769698</v>
      </c>
      <c r="K19" s="198">
        <v>2.8261335494413626</v>
      </c>
      <c r="L19" s="199">
        <v>2.3240895655667346</v>
      </c>
      <c r="M19" s="198">
        <v>13.952627097891837</v>
      </c>
      <c r="N19" s="198">
        <v>0.34329612464787984</v>
      </c>
      <c r="O19" s="198">
        <v>61.031302341333543</v>
      </c>
      <c r="P19" s="198">
        <v>44.87770947067974</v>
      </c>
      <c r="Q19" s="198">
        <v>41.546723712707731</v>
      </c>
      <c r="R19" s="198">
        <v>23.75875467044893</v>
      </c>
      <c r="S19" s="198">
        <v>19.083970136410123</v>
      </c>
      <c r="T19" s="198">
        <v>14.811109562136343</v>
      </c>
      <c r="U19" s="198">
        <v>15.512687323813692</v>
      </c>
      <c r="V19" s="198">
        <v>22.526218171995609</v>
      </c>
      <c r="W19" s="198">
        <v>28.409367570190302</v>
      </c>
      <c r="X19" s="198">
        <v>46.302522670996822</v>
      </c>
      <c r="Y19" s="198">
        <v>53.982005084304802</v>
      </c>
      <c r="Z19" s="198">
        <v>64.038886644095854</v>
      </c>
      <c r="AA19" s="198"/>
      <c r="AB19" s="198">
        <v>100.20989092601698</v>
      </c>
      <c r="AC19" s="198">
        <v>86.689084932399126</v>
      </c>
      <c r="AD19" s="198">
        <v>87.113788783684981</v>
      </c>
      <c r="AE19" s="198">
        <v>82.54260713964949</v>
      </c>
      <c r="AF19" s="198">
        <v>76.013877343045039</v>
      </c>
      <c r="AG19" s="198">
        <v>69.044437699848274</v>
      </c>
      <c r="AH19" s="198">
        <v>75.483221292426549</v>
      </c>
      <c r="AI19" s="198">
        <v>81.578566584453725</v>
      </c>
      <c r="AJ19" s="198">
        <v>87.578387831557052</v>
      </c>
      <c r="AK19" s="198">
        <v>90.651965820722793</v>
      </c>
      <c r="AL19" s="198">
        <v>95.571870118355363</v>
      </c>
      <c r="AM19" s="45">
        <v>100.3318358735194</v>
      </c>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row>
    <row r="20" spans="1:131">
      <c r="A20" s="24" t="s">
        <v>431</v>
      </c>
      <c r="B20" s="24"/>
      <c r="C20" s="198">
        <v>734.71773160610712</v>
      </c>
      <c r="D20" s="198">
        <v>186.95819668884204</v>
      </c>
      <c r="E20" s="198">
        <v>37.39163933776841</v>
      </c>
      <c r="F20" s="198">
        <v>224.34983602661043</v>
      </c>
      <c r="G20" s="198">
        <v>207.71905627997069</v>
      </c>
      <c r="H20" s="198">
        <v>529.88592565745375</v>
      </c>
      <c r="I20" s="198">
        <v>2674.9110291607008</v>
      </c>
      <c r="J20" s="198">
        <v>-11.713953870370561</v>
      </c>
      <c r="K20" s="198">
        <v>3.0265333512445065</v>
      </c>
      <c r="L20" s="199">
        <v>2.2128097062600687</v>
      </c>
      <c r="M20" s="198">
        <v>6.9798507549773587</v>
      </c>
      <c r="N20" s="198">
        <v>0.17173509318301433</v>
      </c>
      <c r="O20" s="198">
        <v>30.531123546530743</v>
      </c>
      <c r="P20" s="198">
        <v>22.4502319264239</v>
      </c>
      <c r="Q20" s="198">
        <v>20.783894591205311</v>
      </c>
      <c r="R20" s="198">
        <v>11.88540054574462</v>
      </c>
      <c r="S20" s="198">
        <v>9.5468231487899384</v>
      </c>
      <c r="T20" s="198">
        <v>7.4093096256367206</v>
      </c>
      <c r="U20" s="198">
        <v>7.7602763672519153</v>
      </c>
      <c r="V20" s="198">
        <v>11.268819829517609</v>
      </c>
      <c r="W20" s="198">
        <v>14.211885997668714</v>
      </c>
      <c r="X20" s="198">
        <v>23.162999738690417</v>
      </c>
      <c r="Y20" s="198">
        <v>27.004687812505704</v>
      </c>
      <c r="Z20" s="198">
        <v>32.035678166890762</v>
      </c>
      <c r="AA20" s="198"/>
      <c r="AB20" s="198">
        <v>50.130350214967144</v>
      </c>
      <c r="AC20" s="198">
        <v>43.36651948543269</v>
      </c>
      <c r="AD20" s="198">
        <v>43.578979080048185</v>
      </c>
      <c r="AE20" s="198">
        <v>41.292229393024691</v>
      </c>
      <c r="AF20" s="198">
        <v>38.026209361086899</v>
      </c>
      <c r="AG20" s="198">
        <v>34.539722679113851</v>
      </c>
      <c r="AH20" s="198">
        <v>37.760746806289426</v>
      </c>
      <c r="AI20" s="198">
        <v>40.809964716286594</v>
      </c>
      <c r="AJ20" s="198">
        <v>43.811396387004066</v>
      </c>
      <c r="AK20" s="198">
        <v>45.348964580982511</v>
      </c>
      <c r="AL20" s="198">
        <v>47.810164001372364</v>
      </c>
      <c r="AM20" s="45">
        <v>50.19135360364217</v>
      </c>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row>
    <row r="21" spans="1:131">
      <c r="A21" s="24" t="s">
        <v>432</v>
      </c>
      <c r="B21" s="24"/>
      <c r="C21" s="198">
        <v>841.23057955103127</v>
      </c>
      <c r="D21" s="198">
        <v>204.91157721295673</v>
      </c>
      <c r="E21" s="198">
        <v>40.98231544259135</v>
      </c>
      <c r="F21" s="198">
        <v>245.89389265554809</v>
      </c>
      <c r="G21" s="198">
        <v>260.85092633534487</v>
      </c>
      <c r="H21" s="198">
        <v>606.70407853410973</v>
      </c>
      <c r="I21" s="198">
        <v>2560.5708494479804</v>
      </c>
      <c r="J21" s="198">
        <v>-11.973098418044511</v>
      </c>
      <c r="K21" s="198">
        <v>5.0399520749787641</v>
      </c>
      <c r="L21" s="199">
        <v>2.1659901452226444</v>
      </c>
      <c r="M21" s="198">
        <v>7.991727493705282</v>
      </c>
      <c r="N21" s="198">
        <v>0.1966317209355842</v>
      </c>
      <c r="O21" s="198">
        <v>34.957254535353464</v>
      </c>
      <c r="P21" s="198">
        <v>25.704867055863577</v>
      </c>
      <c r="Q21" s="198">
        <v>23.796958941043552</v>
      </c>
      <c r="R21" s="198">
        <v>13.608440301877943</v>
      </c>
      <c r="S21" s="198">
        <v>10.930836734771145</v>
      </c>
      <c r="T21" s="198">
        <v>8.4834454952136387</v>
      </c>
      <c r="U21" s="198">
        <v>8.8852922762987756</v>
      </c>
      <c r="V21" s="198">
        <v>12.902473192417036</v>
      </c>
      <c r="W21" s="198">
        <v>16.27219894121399</v>
      </c>
      <c r="X21" s="198">
        <v>26.520965611818589</v>
      </c>
      <c r="Y21" s="198">
        <v>30.919587484908899</v>
      </c>
      <c r="Z21" s="198">
        <v>36.679926114933892</v>
      </c>
      <c r="AA21" s="198"/>
      <c r="AB21" s="198">
        <v>57.397802925275748</v>
      </c>
      <c r="AC21" s="198">
        <v>49.653412120724148</v>
      </c>
      <c r="AD21" s="198">
        <v>49.896672219427458</v>
      </c>
      <c r="AE21" s="198">
        <v>47.27840988309088</v>
      </c>
      <c r="AF21" s="198">
        <v>43.538911289139342</v>
      </c>
      <c r="AG21" s="198">
        <v>39.546984749321552</v>
      </c>
      <c r="AH21" s="198">
        <v>43.234964332077062</v>
      </c>
      <c r="AI21" s="198">
        <v>46.726230758976754</v>
      </c>
      <c r="AJ21" s="198">
        <v>50.162783322259806</v>
      </c>
      <c r="AK21" s="198">
        <v>51.923254489999579</v>
      </c>
      <c r="AL21" s="198">
        <v>54.741256731866265</v>
      </c>
      <c r="AM21" s="45">
        <v>57.467650043157988</v>
      </c>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row>
    <row r="22" spans="1:131">
      <c r="A22" s="24" t="s">
        <v>433</v>
      </c>
      <c r="B22" s="24"/>
      <c r="C22" s="198">
        <v>1468.6907917047924</v>
      </c>
      <c r="D22" s="198">
        <v>366.92315442591342</v>
      </c>
      <c r="E22" s="198">
        <v>73.384630885182688</v>
      </c>
      <c r="F22" s="198">
        <v>440.3077853110961</v>
      </c>
      <c r="G22" s="198">
        <v>452.96498495053947</v>
      </c>
      <c r="H22" s="198">
        <v>1059.2347866245555</v>
      </c>
      <c r="I22" s="198">
        <v>2626.2139186207141</v>
      </c>
      <c r="J22" s="198">
        <v>-11.824322690111977</v>
      </c>
      <c r="K22" s="198">
        <v>4.9171861494113802</v>
      </c>
      <c r="L22" s="199">
        <v>2.1414593653948404</v>
      </c>
      <c r="M22" s="198">
        <v>13.952627097891837</v>
      </c>
      <c r="N22" s="198">
        <v>0.34329612464787984</v>
      </c>
      <c r="O22" s="198">
        <v>61.031302341333543</v>
      </c>
      <c r="P22" s="198">
        <v>44.87770947067974</v>
      </c>
      <c r="Q22" s="198">
        <v>41.546723712707731</v>
      </c>
      <c r="R22" s="198">
        <v>23.75875467044893</v>
      </c>
      <c r="S22" s="198">
        <v>19.083970136410123</v>
      </c>
      <c r="T22" s="198">
        <v>14.811109562136343</v>
      </c>
      <c r="U22" s="198">
        <v>15.512687323813692</v>
      </c>
      <c r="V22" s="198">
        <v>22.526218171995609</v>
      </c>
      <c r="W22" s="198">
        <v>28.409367570190302</v>
      </c>
      <c r="X22" s="198">
        <v>46.302522670996822</v>
      </c>
      <c r="Y22" s="198">
        <v>53.982005084304802</v>
      </c>
      <c r="Z22" s="198">
        <v>64.038886644095854</v>
      </c>
      <c r="AA22" s="198"/>
      <c r="AB22" s="198">
        <v>100.20989092601698</v>
      </c>
      <c r="AC22" s="198">
        <v>86.689084932399126</v>
      </c>
      <c r="AD22" s="198">
        <v>87.113788783684981</v>
      </c>
      <c r="AE22" s="198">
        <v>82.54260713964949</v>
      </c>
      <c r="AF22" s="198">
        <v>76.013877343045039</v>
      </c>
      <c r="AG22" s="198">
        <v>69.044437699848274</v>
      </c>
      <c r="AH22" s="198">
        <v>75.483221292426549</v>
      </c>
      <c r="AI22" s="198">
        <v>81.578566584453725</v>
      </c>
      <c r="AJ22" s="198">
        <v>87.578387831557052</v>
      </c>
      <c r="AK22" s="198">
        <v>90.651965820722793</v>
      </c>
      <c r="AL22" s="198">
        <v>95.571870118355363</v>
      </c>
      <c r="AM22" s="45">
        <v>100.3318358735194</v>
      </c>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row>
    <row r="23" spans="1:131">
      <c r="A23" s="24" t="s">
        <v>434</v>
      </c>
      <c r="B23" s="24"/>
      <c r="C23" s="198">
        <v>3575.1679071329308</v>
      </c>
      <c r="D23" s="198">
        <v>984.136129944407</v>
      </c>
      <c r="E23" s="198">
        <v>196.82722598888142</v>
      </c>
      <c r="F23" s="198">
        <v>1180.9633559332883</v>
      </c>
      <c r="G23" s="198">
        <v>1340.9827761498009</v>
      </c>
      <c r="H23" s="198">
        <v>2578.4475783790995</v>
      </c>
      <c r="I23" s="198">
        <v>2893.6372407392369</v>
      </c>
      <c r="J23" s="198">
        <v>-11.218225200830501</v>
      </c>
      <c r="K23" s="198">
        <v>9.8227590078014497</v>
      </c>
      <c r="L23" s="199">
        <v>1.8686549854469063</v>
      </c>
      <c r="M23" s="198">
        <v>33.964252313908865</v>
      </c>
      <c r="N23" s="198">
        <v>0.83567030883305371</v>
      </c>
      <c r="O23" s="198">
        <v>148.56575304594153</v>
      </c>
      <c r="P23" s="198">
        <v>109.2437887889062</v>
      </c>
      <c r="Q23" s="198">
        <v>101.13532004362652</v>
      </c>
      <c r="R23" s="198">
        <v>57.834867414561231</v>
      </c>
      <c r="S23" s="198">
        <v>46.455249776013211</v>
      </c>
      <c r="T23" s="198">
        <v>36.054017547229876</v>
      </c>
      <c r="U23" s="198">
        <v>37.761836723378948</v>
      </c>
      <c r="V23" s="198">
        <v>54.834559277185761</v>
      </c>
      <c r="W23" s="198">
        <v>69.155645131397193</v>
      </c>
      <c r="X23" s="198">
        <v>112.712147449697</v>
      </c>
      <c r="Y23" s="198">
        <v>131.40596593247059</v>
      </c>
      <c r="Z23" s="198">
        <v>155.88698018099521</v>
      </c>
      <c r="AA23" s="198"/>
      <c r="AB23" s="198">
        <v>243.93642830709547</v>
      </c>
      <c r="AC23" s="198">
        <v>211.02333867653877</v>
      </c>
      <c r="AD23" s="198">
        <v>212.05717615119906</v>
      </c>
      <c r="AE23" s="198">
        <v>200.92975436593625</v>
      </c>
      <c r="AF23" s="198">
        <v>185.03716119724811</v>
      </c>
      <c r="AG23" s="198">
        <v>168.07176787975163</v>
      </c>
      <c r="AH23" s="198">
        <v>183.74540905131482</v>
      </c>
      <c r="AI23" s="198">
        <v>198.58303382164124</v>
      </c>
      <c r="AJ23" s="198">
        <v>213.18812870773323</v>
      </c>
      <c r="AK23" s="198">
        <v>220.67000130406134</v>
      </c>
      <c r="AL23" s="198">
        <v>232.64630295339919</v>
      </c>
      <c r="AM23" s="45">
        <v>244.23327340560769</v>
      </c>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row>
    <row r="24" spans="1:131">
      <c r="A24" s="24" t="s">
        <v>435</v>
      </c>
      <c r="B24" s="24"/>
      <c r="C24" s="198">
        <v>3575.1679071329308</v>
      </c>
      <c r="D24" s="198">
        <v>1014.9694632777404</v>
      </c>
      <c r="E24" s="198">
        <v>202.99389265554808</v>
      </c>
      <c r="F24" s="198">
        <v>1217.9633559332885</v>
      </c>
      <c r="G24" s="198">
        <v>1385.6152377869189</v>
      </c>
      <c r="H24" s="198">
        <v>2578.4475783790995</v>
      </c>
      <c r="I24" s="198">
        <v>2984.295919833256</v>
      </c>
      <c r="J24" s="198">
        <v>-11.01275322723761</v>
      </c>
      <c r="K24" s="198">
        <v>10.741354926662279</v>
      </c>
      <c r="L24" s="199">
        <v>1.8118878962527039</v>
      </c>
      <c r="M24" s="198">
        <v>33.964252313908865</v>
      </c>
      <c r="N24" s="198">
        <v>0.83567030883305371</v>
      </c>
      <c r="O24" s="198">
        <v>148.56575304594153</v>
      </c>
      <c r="P24" s="198">
        <v>109.2437887889062</v>
      </c>
      <c r="Q24" s="198">
        <v>101.13532004362652</v>
      </c>
      <c r="R24" s="198">
        <v>57.834867414561231</v>
      </c>
      <c r="S24" s="198">
        <v>46.455249776013211</v>
      </c>
      <c r="T24" s="198">
        <v>36.054017547229876</v>
      </c>
      <c r="U24" s="198">
        <v>37.761836723378948</v>
      </c>
      <c r="V24" s="198">
        <v>54.834559277185761</v>
      </c>
      <c r="W24" s="198">
        <v>69.155645131397193</v>
      </c>
      <c r="X24" s="198">
        <v>112.712147449697</v>
      </c>
      <c r="Y24" s="198">
        <v>131.40596593247059</v>
      </c>
      <c r="Z24" s="198">
        <v>155.88698018099521</v>
      </c>
      <c r="AA24" s="198"/>
      <c r="AB24" s="198">
        <v>243.93642830709547</v>
      </c>
      <c r="AC24" s="198">
        <v>211.02333867653877</v>
      </c>
      <c r="AD24" s="198">
        <v>212.05717615119906</v>
      </c>
      <c r="AE24" s="198">
        <v>200.92975436593625</v>
      </c>
      <c r="AF24" s="198">
        <v>185.03716119724811</v>
      </c>
      <c r="AG24" s="198">
        <v>168.07176787975163</v>
      </c>
      <c r="AH24" s="198">
        <v>183.74540905131482</v>
      </c>
      <c r="AI24" s="198">
        <v>198.58303382164124</v>
      </c>
      <c r="AJ24" s="198">
        <v>213.18812870773323</v>
      </c>
      <c r="AK24" s="198">
        <v>220.67000130406134</v>
      </c>
      <c r="AL24" s="198">
        <v>232.64630295339919</v>
      </c>
      <c r="AM24" s="45">
        <v>244.23327340560769</v>
      </c>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row>
    <row r="25" spans="1:131">
      <c r="A25" s="24" t="s">
        <v>436</v>
      </c>
      <c r="B25" s="24"/>
      <c r="C25" s="198">
        <v>734.71773160610712</v>
      </c>
      <c r="D25" s="198">
        <v>228.79070335550873</v>
      </c>
      <c r="E25" s="198">
        <v>45.758140671101749</v>
      </c>
      <c r="F25" s="198">
        <v>274.54884402661048</v>
      </c>
      <c r="G25" s="198">
        <v>267.1561535230494</v>
      </c>
      <c r="H25" s="198">
        <v>529.88592565745375</v>
      </c>
      <c r="I25" s="198">
        <v>3273.4311017860246</v>
      </c>
      <c r="J25" s="198">
        <v>-10.357447226039852</v>
      </c>
      <c r="K25" s="198">
        <v>8.9791399938501328</v>
      </c>
      <c r="L25" s="199">
        <v>1.8082155709583718</v>
      </c>
      <c r="M25" s="198">
        <v>6.9798507549773587</v>
      </c>
      <c r="N25" s="198">
        <v>0.17173509318301433</v>
      </c>
      <c r="O25" s="198">
        <v>30.531123546530743</v>
      </c>
      <c r="P25" s="198">
        <v>22.4502319264239</v>
      </c>
      <c r="Q25" s="198">
        <v>20.783894591205311</v>
      </c>
      <c r="R25" s="198">
        <v>11.88540054574462</v>
      </c>
      <c r="S25" s="198">
        <v>9.5468231487899384</v>
      </c>
      <c r="T25" s="198">
        <v>7.4093096256367206</v>
      </c>
      <c r="U25" s="198">
        <v>7.7602763672519153</v>
      </c>
      <c r="V25" s="198">
        <v>11.268819829517609</v>
      </c>
      <c r="W25" s="198">
        <v>14.211885997668714</v>
      </c>
      <c r="X25" s="198">
        <v>23.162999738690417</v>
      </c>
      <c r="Y25" s="198">
        <v>27.004687812505704</v>
      </c>
      <c r="Z25" s="198">
        <v>32.035678166890762</v>
      </c>
      <c r="AA25" s="198"/>
      <c r="AB25" s="198">
        <v>50.130350214967144</v>
      </c>
      <c r="AC25" s="198">
        <v>43.36651948543269</v>
      </c>
      <c r="AD25" s="198">
        <v>43.578979080048185</v>
      </c>
      <c r="AE25" s="198">
        <v>41.292229393024691</v>
      </c>
      <c r="AF25" s="198">
        <v>38.026209361086899</v>
      </c>
      <c r="AG25" s="198">
        <v>34.539722679113851</v>
      </c>
      <c r="AH25" s="198">
        <v>37.760746806289426</v>
      </c>
      <c r="AI25" s="198">
        <v>40.809964716286594</v>
      </c>
      <c r="AJ25" s="198">
        <v>43.811396387004066</v>
      </c>
      <c r="AK25" s="198">
        <v>45.348964580982511</v>
      </c>
      <c r="AL25" s="198">
        <v>47.810164001372364</v>
      </c>
      <c r="AM25" s="45">
        <v>50.19135360364217</v>
      </c>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row>
    <row r="26" spans="1:131">
      <c r="A26" s="24" t="s">
        <v>420</v>
      </c>
      <c r="B26" s="24"/>
      <c r="C26" s="198">
        <v>724.30887875791984</v>
      </c>
      <c r="D26" s="198">
        <v>210.259506250687</v>
      </c>
      <c r="E26" s="198">
        <v>42.051901250137405</v>
      </c>
      <c r="F26" s="198">
        <v>252.3114075008244</v>
      </c>
      <c r="G26" s="198">
        <v>279.88399508769783</v>
      </c>
      <c r="H26" s="198">
        <v>522.37895476342499</v>
      </c>
      <c r="I26" s="198">
        <v>3051.5267650694309</v>
      </c>
      <c r="J26" s="198">
        <v>-10.860378908583934</v>
      </c>
      <c r="K26" s="198">
        <v>10.656645338332362</v>
      </c>
      <c r="L26" s="199">
        <v>1.7252935456670202</v>
      </c>
      <c r="M26" s="198">
        <v>6.8809661952539356</v>
      </c>
      <c r="N26" s="198">
        <v>0.16930209716711028</v>
      </c>
      <c r="O26" s="198">
        <v>30.098584683488795</v>
      </c>
      <c r="P26" s="198">
        <v>22.132176229007978</v>
      </c>
      <c r="Q26" s="198">
        <v>20.489446136913653</v>
      </c>
      <c r="R26" s="198">
        <v>11.717018349425524</v>
      </c>
      <c r="S26" s="198">
        <v>9.4115719182170849</v>
      </c>
      <c r="T26" s="198">
        <v>7.3043408596981072</v>
      </c>
      <c r="U26" s="198">
        <v>7.6503354044941316</v>
      </c>
      <c r="V26" s="198">
        <v>11.109172821786117</v>
      </c>
      <c r="W26" s="198">
        <v>14.010544143945422</v>
      </c>
      <c r="X26" s="198">
        <v>22.834846156122623</v>
      </c>
      <c r="Y26" s="198">
        <v>26.622108476850983</v>
      </c>
      <c r="Z26" s="198">
        <v>31.581824059950794</v>
      </c>
      <c r="AA26" s="198"/>
      <c r="AB26" s="198">
        <v>49.420146260211595</v>
      </c>
      <c r="AC26" s="198">
        <v>42.752139703315336</v>
      </c>
      <c r="AD26" s="198">
        <v>42.961589351986419</v>
      </c>
      <c r="AE26" s="198">
        <v>40.707236380012702</v>
      </c>
      <c r="AF26" s="198">
        <v>37.487486528375804</v>
      </c>
      <c r="AG26" s="198">
        <v>34.050393409765505</v>
      </c>
      <c r="AH26" s="198">
        <v>37.225784820160257</v>
      </c>
      <c r="AI26" s="198">
        <v>40.231804017016479</v>
      </c>
      <c r="AJ26" s="198">
        <v>43.19071396918757</v>
      </c>
      <c r="AK26" s="198">
        <v>44.706499211174112</v>
      </c>
      <c r="AL26" s="198">
        <v>47.132830461796402</v>
      </c>
      <c r="AM26" s="45">
        <v>49.480285405016289</v>
      </c>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row>
    <row r="27" spans="1:131">
      <c r="A27" s="24" t="s">
        <v>437</v>
      </c>
      <c r="B27" s="24"/>
      <c r="C27" s="198">
        <v>77.194303284934591</v>
      </c>
      <c r="D27" s="198">
        <v>30.451059986919489</v>
      </c>
      <c r="E27" s="198">
        <v>6.0902119973838982</v>
      </c>
      <c r="F27" s="198">
        <v>36.541271984303386</v>
      </c>
      <c r="G27" s="198">
        <v>48.294509606414714</v>
      </c>
      <c r="H27" s="198">
        <v>55.673319278959603</v>
      </c>
      <c r="I27" s="198">
        <v>4146.6990303799967</v>
      </c>
      <c r="J27" s="198">
        <v>-8.3782425149554136</v>
      </c>
      <c r="K27" s="198">
        <v>28.257949446998651</v>
      </c>
      <c r="L27" s="199">
        <v>1.0847395728062452</v>
      </c>
      <c r="M27" s="198">
        <v>0.73334927535431171</v>
      </c>
      <c r="N27" s="198">
        <v>1.8043624507137073E-2</v>
      </c>
      <c r="O27" s="198">
        <v>3.2078017302354049</v>
      </c>
      <c r="P27" s="198">
        <v>2.3587698208358887</v>
      </c>
      <c r="Q27" s="198">
        <v>2.1836934015575871</v>
      </c>
      <c r="R27" s="198">
        <v>1.2487587748637792</v>
      </c>
      <c r="S27" s="198">
        <v>1.0030523694376006</v>
      </c>
      <c r="T27" s="198">
        <v>0.77847106415014411</v>
      </c>
      <c r="U27" s="198">
        <v>0.81534595083069783</v>
      </c>
      <c r="V27" s="198">
        <v>1.1839767276086746</v>
      </c>
      <c r="W27" s="198">
        <v>1.4931947205857186</v>
      </c>
      <c r="X27" s="198">
        <v>2.433657920448733</v>
      </c>
      <c r="Y27" s="198">
        <v>2.8372910730717615</v>
      </c>
      <c r="Z27" s="198">
        <v>3.3658801876845397</v>
      </c>
      <c r="AA27" s="198"/>
      <c r="AB27" s="198">
        <v>5.2670260860790057</v>
      </c>
      <c r="AC27" s="198">
        <v>4.5563733030540767</v>
      </c>
      <c r="AD27" s="198">
        <v>4.5786957129769874</v>
      </c>
      <c r="AE27" s="198">
        <v>4.3384346694726528</v>
      </c>
      <c r="AF27" s="198">
        <v>3.9952850079979769</v>
      </c>
      <c r="AG27" s="198">
        <v>3.6289716624104487</v>
      </c>
      <c r="AH27" s="198">
        <v>3.9673937565904014</v>
      </c>
      <c r="AI27" s="198">
        <v>4.2877647535059449</v>
      </c>
      <c r="AJ27" s="198">
        <v>4.6031150121309627</v>
      </c>
      <c r="AK27" s="198">
        <v>4.7646620939303626</v>
      </c>
      <c r="AL27" s="198">
        <v>5.0232519799903557</v>
      </c>
      <c r="AM27" s="45">
        <v>5.2734355054848692</v>
      </c>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row>
    <row r="28" spans="1:131">
      <c r="A28" s="24"/>
      <c r="B28" s="24"/>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4">
    <tabColor rgb="FFFFFF00"/>
  </sheetPr>
  <dimension ref="A1:EA172"/>
  <sheetViews>
    <sheetView topLeftCell="A4" workbookViewId="0">
      <selection activeCell="C8" sqref="C8:C31"/>
    </sheetView>
  </sheetViews>
  <sheetFormatPr defaultRowHeight="12.75"/>
  <cols>
    <col min="1" max="1" width="44.140625" customWidth="1"/>
    <col min="2" max="2" width="54.85546875" customWidth="1"/>
    <col min="3" max="3" width="17.42578125" bestFit="1" customWidth="1"/>
    <col min="4" max="4" width="12.140625" bestFit="1" customWidth="1"/>
    <col min="5" max="5" width="12.5703125" customWidth="1"/>
    <col min="6" max="6" width="13.7109375" customWidth="1"/>
    <col min="7" max="7" width="25.42578125" customWidth="1"/>
    <col min="8" max="8" width="15.7109375" bestFit="1" customWidth="1"/>
    <col min="9" max="9" width="15.42578125" bestFit="1" customWidth="1"/>
    <col min="10" max="10" width="14.42578125" bestFit="1" customWidth="1"/>
    <col min="11" max="11" width="14.28515625" customWidth="1"/>
    <col min="12" max="12" width="12.5703125" customWidth="1"/>
    <col min="13" max="13" width="13.28515625" bestFit="1" customWidth="1"/>
    <col min="14" max="14" width="12.140625" bestFit="1" customWidth="1"/>
    <col min="15" max="15" width="13.28515625" bestFit="1" customWidth="1"/>
    <col min="16" max="16" width="27.7109375" customWidth="1"/>
    <col min="17" max="18" width="13.28515625" bestFit="1" customWidth="1"/>
    <col min="19" max="19" width="14.42578125" bestFit="1" customWidth="1"/>
    <col min="20" max="20" width="10.7109375" customWidth="1"/>
    <col min="21" max="21" width="14" bestFit="1" customWidth="1"/>
    <col min="22" max="22" width="12.140625" bestFit="1" customWidth="1"/>
    <col min="23" max="23" width="15.42578125" bestFit="1" customWidth="1"/>
    <col min="24" max="24" width="12.42578125" bestFit="1" customWidth="1"/>
    <col min="25" max="25" width="13.28515625" bestFit="1" customWidth="1"/>
    <col min="26" max="26" width="12.28515625" bestFit="1" customWidth="1"/>
    <col min="27" max="27" width="12.5703125" bestFit="1" customWidth="1"/>
    <col min="28" max="30" width="14.28515625" bestFit="1" customWidth="1"/>
    <col min="31" max="31" width="13.7109375" bestFit="1" customWidth="1"/>
    <col min="32" max="32" width="14" bestFit="1" customWidth="1"/>
    <col min="33" max="33" width="12.85546875" bestFit="1" customWidth="1"/>
    <col min="34" max="34" width="15.28515625" bestFit="1" customWidth="1"/>
    <col min="35" max="35" width="12.28515625" bestFit="1" customWidth="1"/>
    <col min="36" max="36" width="10.85546875" bestFit="1" customWidth="1"/>
    <col min="37" max="37" width="12.28515625" bestFit="1" customWidth="1"/>
    <col min="38" max="38" width="12.5703125" bestFit="1" customWidth="1"/>
    <col min="39" max="43" width="12.85546875" customWidth="1"/>
    <col min="44" max="44" width="12.5703125" customWidth="1"/>
    <col min="45" max="45" width="12.28515625" customWidth="1"/>
    <col min="46" max="46" width="12.7109375" customWidth="1"/>
    <col min="47" max="47" width="11.85546875" customWidth="1"/>
    <col min="48" max="48" width="12.5703125" bestFit="1" customWidth="1"/>
    <col min="49" max="49" width="13.42578125" customWidth="1"/>
    <col min="50" max="50" width="15.7109375" bestFit="1" customWidth="1"/>
    <col min="51" max="51" width="11" bestFit="1" customWidth="1"/>
    <col min="52" max="52" width="16.140625" bestFit="1" customWidth="1"/>
    <col min="53" max="53" width="17.28515625" bestFit="1" customWidth="1"/>
    <col min="54" max="54" width="15" bestFit="1" customWidth="1"/>
    <col min="55" max="55" width="12.5703125" bestFit="1" customWidth="1"/>
    <col min="56" max="56" width="13.5703125" customWidth="1"/>
    <col min="57" max="58" width="14.5703125" bestFit="1" customWidth="1"/>
    <col min="59" max="59" width="14.85546875" bestFit="1" customWidth="1"/>
    <col min="60" max="60" width="15" bestFit="1" customWidth="1"/>
    <col min="61" max="61" width="13.28515625" bestFit="1" customWidth="1"/>
    <col min="62" max="62" width="14" bestFit="1" customWidth="1"/>
    <col min="63" max="63" width="13.28515625" bestFit="1" customWidth="1"/>
    <col min="64" max="64" width="11.140625" bestFit="1" customWidth="1"/>
    <col min="65" max="65" width="16.85546875" bestFit="1" customWidth="1"/>
    <col min="66" max="66" width="14.7109375" customWidth="1"/>
    <col min="67" max="67" width="12" customWidth="1"/>
    <col min="68" max="68" width="14" customWidth="1"/>
    <col min="69" max="69" width="12.5703125" customWidth="1"/>
    <col min="70" max="70" width="11.28515625" customWidth="1"/>
    <col min="71" max="71" width="14.42578125" customWidth="1"/>
    <col min="72" max="72" width="15.7109375" customWidth="1"/>
    <col min="73" max="73" width="12.85546875" customWidth="1"/>
    <col min="74" max="74" width="13" customWidth="1"/>
    <col min="75" max="75" width="11.7109375" customWidth="1"/>
    <col min="76" max="76" width="14" customWidth="1"/>
    <col min="77" max="77" width="14.85546875" customWidth="1"/>
    <col min="78" max="78" width="11.85546875" customWidth="1"/>
    <col min="79" max="79" width="13.85546875" customWidth="1"/>
    <col min="80" max="80" width="13.7109375" customWidth="1"/>
    <col min="81" max="81" width="13" customWidth="1"/>
    <col min="82" max="82" width="12.42578125" customWidth="1"/>
    <col min="83" max="83" width="13" customWidth="1"/>
    <col min="84" max="84" width="12.7109375" customWidth="1"/>
    <col min="85" max="85" width="12.42578125" customWidth="1"/>
    <col min="86" max="86" width="10.28515625" customWidth="1"/>
    <col min="87" max="91" width="9.85546875" customWidth="1"/>
    <col min="92" max="99" width="10.7109375" customWidth="1"/>
    <col min="100" max="100" width="16.5703125" customWidth="1"/>
    <col min="101" max="105" width="10.7109375" customWidth="1"/>
  </cols>
  <sheetData>
    <row r="1" spans="1:105">
      <c r="A1" s="15" t="s">
        <v>14</v>
      </c>
      <c r="B1" s="16"/>
      <c r="C1" s="16"/>
      <c r="D1" s="16"/>
      <c r="E1" s="16"/>
      <c r="F1" s="16"/>
      <c r="G1" s="16"/>
      <c r="H1" s="17"/>
      <c r="I1" s="18"/>
      <c r="J1" s="18"/>
      <c r="K1" s="18"/>
      <c r="L1" s="18"/>
      <c r="M1" s="18"/>
      <c r="N1" s="19"/>
      <c r="O1" s="20"/>
      <c r="P1" s="19"/>
      <c r="Q1" s="19"/>
      <c r="R1" s="19"/>
      <c r="S1" s="17"/>
      <c r="T1" s="17"/>
      <c r="U1" s="17"/>
      <c r="V1" s="19"/>
      <c r="W1" s="17"/>
      <c r="X1" s="17"/>
      <c r="Y1" s="17"/>
      <c r="Z1" s="17"/>
      <c r="AA1" s="17"/>
      <c r="AB1" s="17"/>
      <c r="AC1" s="17"/>
      <c r="AD1" s="17"/>
      <c r="AE1" s="17"/>
      <c r="AF1" s="17"/>
      <c r="AG1" s="17"/>
      <c r="AH1" s="17"/>
      <c r="AI1" s="17"/>
      <c r="AJ1" s="17"/>
      <c r="AK1" s="17"/>
      <c r="AL1" s="17"/>
      <c r="AM1" s="17"/>
      <c r="AN1" s="17"/>
      <c r="AO1" s="17"/>
      <c r="AP1" s="21"/>
      <c r="AQ1" s="17"/>
      <c r="AR1" s="17"/>
      <c r="AS1" s="17"/>
      <c r="AT1" s="17"/>
      <c r="AU1" s="17"/>
      <c r="AV1" s="21"/>
      <c r="AW1" s="17"/>
      <c r="AX1" s="17"/>
      <c r="AY1" s="17"/>
      <c r="AZ1" s="17"/>
      <c r="BA1" s="17"/>
      <c r="BB1" s="17"/>
      <c r="BC1" s="17"/>
      <c r="BD1" s="17"/>
      <c r="BE1" s="17"/>
      <c r="BF1" s="17"/>
      <c r="BG1" s="17"/>
      <c r="BH1" s="17"/>
      <c r="BI1" s="17"/>
      <c r="BJ1" s="17"/>
      <c r="BK1" s="17"/>
      <c r="BL1" s="17"/>
      <c r="BM1" s="22"/>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21"/>
      <c r="CQ1" s="17"/>
      <c r="CR1" s="17"/>
      <c r="CS1" s="17"/>
      <c r="CT1" s="17"/>
      <c r="CU1" s="17"/>
      <c r="CV1" s="17"/>
      <c r="CW1" s="17"/>
      <c r="CX1" s="17"/>
      <c r="CY1" s="17"/>
      <c r="CZ1" s="17"/>
      <c r="DA1" s="17"/>
    </row>
    <row r="2" spans="1:105">
      <c r="A2" s="23" t="s">
        <v>15</v>
      </c>
      <c r="B2" s="17" t="str">
        <f>'7PSourceSummary'!D2</f>
        <v>Exterior Building Lighting</v>
      </c>
      <c r="C2" s="17"/>
      <c r="D2" s="17"/>
      <c r="E2" s="17"/>
      <c r="F2" s="17"/>
      <c r="G2" s="17"/>
      <c r="H2" s="17"/>
      <c r="I2" s="18"/>
      <c r="J2" s="18"/>
      <c r="K2" s="18"/>
      <c r="L2" s="18"/>
      <c r="M2" s="18"/>
      <c r="N2" s="19"/>
      <c r="O2" s="19"/>
      <c r="P2" s="19"/>
      <c r="Q2" s="19"/>
      <c r="R2" s="19"/>
      <c r="S2" s="17"/>
      <c r="T2" s="17"/>
      <c r="U2" s="17"/>
      <c r="V2" s="19"/>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21"/>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row>
    <row r="3" spans="1:105">
      <c r="A3" s="23" t="s">
        <v>16</v>
      </c>
      <c r="B3" s="24"/>
      <c r="C3" s="23">
        <v>2012</v>
      </c>
      <c r="D3" s="24"/>
      <c r="E3" s="24"/>
      <c r="F3" s="24"/>
      <c r="G3" s="24"/>
      <c r="H3" s="24"/>
      <c r="I3" s="24"/>
      <c r="J3" s="25"/>
      <c r="K3" s="26"/>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6"/>
      <c r="CP3" s="26"/>
      <c r="CQ3" s="24"/>
      <c r="CR3" s="24"/>
      <c r="CS3" s="24"/>
      <c r="CT3" s="24"/>
      <c r="CU3" s="24"/>
      <c r="CV3" s="24"/>
      <c r="CW3" s="24"/>
      <c r="CX3" s="24"/>
      <c r="CY3" s="24"/>
      <c r="CZ3" s="24"/>
      <c r="DA3" s="24"/>
    </row>
    <row r="4" spans="1:105">
      <c r="A4" s="24"/>
      <c r="B4" s="27"/>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row>
    <row r="5" spans="1:105">
      <c r="A5" s="28">
        <v>1</v>
      </c>
      <c r="B5" s="28">
        <v>2</v>
      </c>
      <c r="C5" s="28">
        <v>3</v>
      </c>
      <c r="D5" s="28">
        <v>4</v>
      </c>
      <c r="E5" s="28">
        <v>5</v>
      </c>
      <c r="F5" s="28">
        <v>6</v>
      </c>
      <c r="G5" s="28">
        <v>7</v>
      </c>
      <c r="H5" s="28">
        <v>8</v>
      </c>
      <c r="I5" s="28">
        <v>9</v>
      </c>
      <c r="J5" s="28">
        <v>10</v>
      </c>
      <c r="K5" s="28">
        <v>11</v>
      </c>
      <c r="L5" s="28">
        <v>12</v>
      </c>
      <c r="M5" s="28">
        <v>13</v>
      </c>
      <c r="N5" s="28">
        <v>14</v>
      </c>
      <c r="O5" s="28">
        <v>15</v>
      </c>
      <c r="P5" s="28">
        <v>16</v>
      </c>
      <c r="Q5" s="28">
        <v>17</v>
      </c>
      <c r="R5" s="28">
        <v>18</v>
      </c>
      <c r="S5" s="28">
        <v>19</v>
      </c>
      <c r="T5" s="28">
        <v>20</v>
      </c>
      <c r="U5" s="28">
        <v>21</v>
      </c>
      <c r="V5" s="28">
        <v>22</v>
      </c>
      <c r="W5" s="28">
        <v>23</v>
      </c>
      <c r="X5" s="28">
        <v>24</v>
      </c>
      <c r="Y5" s="28">
        <v>25</v>
      </c>
      <c r="Z5" s="28">
        <v>26</v>
      </c>
      <c r="AA5" s="28">
        <v>27</v>
      </c>
      <c r="AB5" s="28">
        <v>28</v>
      </c>
      <c r="AC5" s="28">
        <v>29</v>
      </c>
      <c r="AD5" s="28">
        <v>30</v>
      </c>
      <c r="AE5" s="28">
        <v>31</v>
      </c>
      <c r="AF5" s="28">
        <v>32</v>
      </c>
      <c r="AG5" s="28">
        <v>33</v>
      </c>
      <c r="AH5" s="28">
        <v>34</v>
      </c>
      <c r="AI5" s="28">
        <v>35</v>
      </c>
      <c r="AJ5" s="28">
        <v>36</v>
      </c>
      <c r="AK5" s="28">
        <v>37</v>
      </c>
      <c r="AL5" s="28">
        <v>38</v>
      </c>
      <c r="AM5" s="28">
        <v>39</v>
      </c>
      <c r="AN5" s="28">
        <v>40</v>
      </c>
      <c r="AO5" s="28">
        <v>41</v>
      </c>
      <c r="AP5" s="28">
        <v>42</v>
      </c>
      <c r="AQ5" s="28">
        <v>43</v>
      </c>
      <c r="AR5" s="28">
        <v>44</v>
      </c>
      <c r="AS5" s="28">
        <v>45</v>
      </c>
      <c r="AT5" s="28">
        <v>46</v>
      </c>
      <c r="AU5" s="28">
        <v>47</v>
      </c>
      <c r="AV5" s="28">
        <v>48</v>
      </c>
      <c r="AW5" s="28">
        <v>49</v>
      </c>
      <c r="AX5" s="28">
        <v>50</v>
      </c>
      <c r="AY5" s="28">
        <v>51</v>
      </c>
      <c r="AZ5" s="28">
        <v>52</v>
      </c>
      <c r="BA5" s="28">
        <v>53</v>
      </c>
      <c r="BB5" s="28">
        <v>54</v>
      </c>
      <c r="BC5" s="28">
        <v>55</v>
      </c>
      <c r="BD5" s="28">
        <v>56</v>
      </c>
      <c r="BE5" s="28">
        <v>57</v>
      </c>
      <c r="BF5" s="28">
        <v>58</v>
      </c>
      <c r="BG5" s="28">
        <v>59</v>
      </c>
      <c r="BH5" s="28">
        <v>60</v>
      </c>
      <c r="BI5" s="28">
        <v>61</v>
      </c>
      <c r="BJ5" s="28">
        <v>62</v>
      </c>
      <c r="BK5" s="28">
        <v>63</v>
      </c>
      <c r="BL5" s="28">
        <v>64</v>
      </c>
      <c r="BM5" s="28">
        <v>65</v>
      </c>
      <c r="BN5" s="28">
        <v>66</v>
      </c>
      <c r="BO5" s="28">
        <v>67</v>
      </c>
      <c r="BP5" s="28">
        <v>68</v>
      </c>
      <c r="BQ5" s="28">
        <v>69</v>
      </c>
      <c r="BR5" s="28">
        <v>70</v>
      </c>
      <c r="BS5" s="28">
        <v>71</v>
      </c>
      <c r="BT5" s="28">
        <v>72</v>
      </c>
      <c r="BU5" s="28">
        <v>73</v>
      </c>
      <c r="BV5" s="28">
        <v>74</v>
      </c>
      <c r="BW5" s="28">
        <v>75</v>
      </c>
      <c r="BX5" s="28">
        <v>76</v>
      </c>
      <c r="BY5" s="28">
        <v>77</v>
      </c>
      <c r="BZ5" s="28">
        <v>78</v>
      </c>
      <c r="CA5" s="28">
        <v>79</v>
      </c>
      <c r="CB5" s="28">
        <v>80</v>
      </c>
      <c r="CC5" s="28">
        <v>81</v>
      </c>
      <c r="CD5" s="28">
        <v>82</v>
      </c>
      <c r="CE5" s="28">
        <v>83</v>
      </c>
      <c r="CF5" s="28">
        <v>84</v>
      </c>
      <c r="CG5" s="28">
        <v>85</v>
      </c>
      <c r="CH5" s="28">
        <v>86</v>
      </c>
      <c r="CI5" s="28">
        <v>87</v>
      </c>
      <c r="CJ5" s="28">
        <v>88</v>
      </c>
      <c r="CK5" s="28">
        <v>89</v>
      </c>
      <c r="CL5" s="28">
        <v>90</v>
      </c>
      <c r="CM5" s="28">
        <v>91</v>
      </c>
      <c r="CN5" s="28">
        <v>92</v>
      </c>
      <c r="CO5" s="28">
        <v>93</v>
      </c>
      <c r="CP5" s="28">
        <v>94</v>
      </c>
      <c r="CQ5" s="28">
        <v>95</v>
      </c>
      <c r="CR5" s="28">
        <v>96</v>
      </c>
      <c r="CS5" s="28">
        <v>97</v>
      </c>
      <c r="CT5" s="28">
        <v>98</v>
      </c>
      <c r="CU5" s="28">
        <v>99</v>
      </c>
      <c r="CV5" s="28">
        <v>100</v>
      </c>
      <c r="CW5" s="28">
        <v>101</v>
      </c>
      <c r="CX5" s="28">
        <v>102</v>
      </c>
      <c r="CY5" s="28">
        <v>103</v>
      </c>
      <c r="CZ5" s="28">
        <v>104</v>
      </c>
      <c r="DA5" s="28">
        <v>105</v>
      </c>
    </row>
    <row r="6" spans="1:105">
      <c r="A6" s="29" t="s">
        <v>17</v>
      </c>
      <c r="B6" s="30"/>
      <c r="C6" s="30"/>
      <c r="D6" s="30"/>
      <c r="E6" s="30"/>
      <c r="F6" s="30"/>
      <c r="G6" s="31"/>
      <c r="H6" s="32"/>
      <c r="I6" s="380" t="s">
        <v>18</v>
      </c>
      <c r="J6" s="381"/>
      <c r="K6" s="381"/>
      <c r="L6" s="381"/>
      <c r="M6" s="381"/>
      <c r="N6" s="382"/>
      <c r="O6" s="383" t="s">
        <v>19</v>
      </c>
      <c r="P6" s="384"/>
      <c r="Q6" s="33" t="s">
        <v>20</v>
      </c>
      <c r="R6" s="385" t="s">
        <v>21</v>
      </c>
      <c r="S6" s="385"/>
      <c r="T6" s="385"/>
      <c r="U6" s="34"/>
      <c r="V6" s="34"/>
      <c r="W6" s="34"/>
      <c r="X6" s="35"/>
      <c r="Y6" s="36"/>
      <c r="Z6" s="34"/>
      <c r="AA6" s="34"/>
      <c r="AB6" s="34"/>
      <c r="AC6" s="34"/>
      <c r="AD6" s="34"/>
      <c r="AE6" s="37"/>
      <c r="AF6" s="37"/>
      <c r="AG6" s="37"/>
      <c r="AH6" s="37"/>
      <c r="AI6" s="37"/>
      <c r="AJ6" s="37"/>
      <c r="AK6" s="37"/>
      <c r="AL6" s="37"/>
      <c r="AM6" s="37"/>
      <c r="AN6" s="37"/>
      <c r="AO6" s="3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row>
    <row r="7" spans="1:105" ht="25.5">
      <c r="A7" s="38" t="s">
        <v>22</v>
      </c>
      <c r="B7" s="38" t="s">
        <v>23</v>
      </c>
      <c r="C7" s="38" t="s">
        <v>24</v>
      </c>
      <c r="D7" s="38" t="s">
        <v>25</v>
      </c>
      <c r="E7" s="38" t="s">
        <v>26</v>
      </c>
      <c r="F7" s="39" t="s">
        <v>27</v>
      </c>
      <c r="G7" s="38" t="s">
        <v>28</v>
      </c>
      <c r="H7" s="40" t="s">
        <v>29</v>
      </c>
      <c r="I7" s="40" t="s">
        <v>30</v>
      </c>
      <c r="J7" s="40" t="s">
        <v>31</v>
      </c>
      <c r="K7" s="40" t="s">
        <v>32</v>
      </c>
      <c r="L7" s="40" t="s">
        <v>33</v>
      </c>
      <c r="M7" s="40" t="s">
        <v>34</v>
      </c>
      <c r="N7" s="40" t="s">
        <v>35</v>
      </c>
      <c r="O7" s="41" t="s">
        <v>36</v>
      </c>
      <c r="P7" s="40" t="s">
        <v>28</v>
      </c>
      <c r="Q7" s="42" t="s">
        <v>37</v>
      </c>
      <c r="R7" s="43" t="s">
        <v>38</v>
      </c>
      <c r="S7" s="43" t="s">
        <v>39</v>
      </c>
      <c r="T7" s="43" t="s">
        <v>40</v>
      </c>
      <c r="U7" s="44"/>
      <c r="V7" s="44"/>
      <c r="W7" s="44"/>
      <c r="X7" s="44"/>
      <c r="Y7" s="44"/>
      <c r="Z7" s="44"/>
      <c r="AA7" s="44"/>
      <c r="AB7" s="44"/>
      <c r="AC7" s="44"/>
      <c r="AD7" s="44"/>
      <c r="AE7" s="37"/>
      <c r="AF7" s="37"/>
      <c r="AG7" s="37"/>
      <c r="AH7" s="37"/>
      <c r="AI7" s="37"/>
      <c r="AJ7" s="37"/>
      <c r="AK7" s="37"/>
      <c r="AL7" s="37"/>
      <c r="AM7" s="37"/>
      <c r="AN7" s="37"/>
      <c r="AO7" s="3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row>
    <row r="8" spans="1:105">
      <c r="A8" s="45" t="str">
        <f>'Savings and Cost Analysis'!AQ13</f>
        <v>Exterior Lighting: Parking Lot - HPS 250W - New</v>
      </c>
      <c r="B8" s="45" t="str">
        <f>'Savings and Cost Analysis'!AT13</f>
        <v>Exterior Lighting: Parking Lot - HPS 250W to LED 135W - New</v>
      </c>
      <c r="C8" s="46">
        <f>'Savings and Cost Analysis'!BB13</f>
        <v>743.50510204081638</v>
      </c>
      <c r="D8" s="169">
        <f>'Savings and Cost Analysis'!BK13</f>
        <v>16.279069767441861</v>
      </c>
      <c r="E8" s="48">
        <f>'Savings and Cost Analysis'!BQ13</f>
        <v>2.0115772129567233</v>
      </c>
      <c r="F8" s="48"/>
      <c r="G8" s="49" t="str">
        <f>'Savings and Cost Analysis'!BV13</f>
        <v>S-All-Lgt-Streetlight-All-All-U</v>
      </c>
      <c r="H8" s="47"/>
      <c r="I8" s="170">
        <f>(-1)*'Savings and Cost Analysis'!BT13</f>
        <v>-25.833333333333332</v>
      </c>
      <c r="J8" s="169">
        <f>'Savings and Cost Analysis'!BU13</f>
        <v>5.5813953488372094</v>
      </c>
      <c r="K8" s="47"/>
      <c r="L8" s="47"/>
      <c r="M8" s="47"/>
      <c r="N8" s="47"/>
      <c r="O8" s="24"/>
      <c r="P8" s="50"/>
      <c r="Q8" s="51" t="str">
        <f>'Savings and Cost Analysis'!BW13</f>
        <v>L</v>
      </c>
      <c r="R8" s="47"/>
      <c r="S8" s="47"/>
      <c r="T8" s="47"/>
      <c r="U8" s="44"/>
      <c r="V8" s="44"/>
      <c r="W8" s="44"/>
      <c r="X8" s="44"/>
      <c r="Y8" s="44"/>
      <c r="Z8" s="44"/>
      <c r="AA8" s="44"/>
      <c r="AB8" s="44"/>
      <c r="AC8" s="44"/>
      <c r="AD8" s="44"/>
      <c r="AE8" s="37"/>
      <c r="AF8" s="37"/>
      <c r="AG8" s="37"/>
      <c r="AH8" s="37"/>
      <c r="AI8" s="37"/>
      <c r="AJ8" s="37"/>
      <c r="AK8" s="37"/>
      <c r="AL8" s="37"/>
      <c r="AM8" s="37"/>
      <c r="AN8" s="37"/>
      <c r="AO8" s="37"/>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row>
    <row r="9" spans="1:105">
      <c r="A9" s="45" t="str">
        <f>'Savings and Cost Analysis'!AQ14</f>
        <v>Exterior Lighting: Parking Lot - MH 400W - New</v>
      </c>
      <c r="B9" s="45" t="str">
        <f>'Savings and Cost Analysis'!AT14</f>
        <v>Exterior Lighting: Parking Lot - MH 400W to LED 180W - New</v>
      </c>
      <c r="C9" s="46">
        <f>'Savings and Cost Analysis'!BB14</f>
        <v>1298.0734693877553</v>
      </c>
      <c r="D9" s="169">
        <f>'Savings and Cost Analysis'!BK14</f>
        <v>16.279069767441861</v>
      </c>
      <c r="E9" s="48">
        <f>'Savings and Cost Analysis'!BQ14</f>
        <v>134.02315442591345</v>
      </c>
      <c r="F9" s="48"/>
      <c r="G9" s="49" t="str">
        <f>'Savings and Cost Analysis'!BV14</f>
        <v>S-All-Lgt-Streetlight-All-All-U</v>
      </c>
      <c r="H9" s="24"/>
      <c r="I9" s="170">
        <f>(-1)*'Savings and Cost Analysis'!BT14</f>
        <v>-28.833333333333332</v>
      </c>
      <c r="J9" s="169">
        <f>'Savings and Cost Analysis'!BU14</f>
        <v>3.7209302325581395</v>
      </c>
      <c r="K9" s="24"/>
      <c r="L9" s="24"/>
      <c r="M9" s="24"/>
      <c r="N9" s="24"/>
      <c r="O9" s="24"/>
      <c r="P9" s="50"/>
      <c r="Q9" s="51" t="str">
        <f>'Savings and Cost Analysis'!BW14</f>
        <v>L</v>
      </c>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row>
    <row r="10" spans="1:105">
      <c r="A10" s="45" t="str">
        <f>'Savings and Cost Analysis'!AQ15</f>
        <v>Exterior Lighting: Parking Lot - MH 1000W - New</v>
      </c>
      <c r="B10" s="45" t="str">
        <f>'Savings and Cost Analysis'!AT15</f>
        <v>Exterior Lighting: Parking Lot - MH 1000W to LED 421W - New</v>
      </c>
      <c r="C10" s="46">
        <f>'Savings and Cost Analysis'!BB15</f>
        <v>3159.841836734694</v>
      </c>
      <c r="D10" s="169">
        <f>'Savings and Cost Analysis'!BK15</f>
        <v>16.279069767441861</v>
      </c>
      <c r="E10" s="48">
        <f>'Savings and Cost Analysis'!BQ15</f>
        <v>532.0694632777404</v>
      </c>
      <c r="F10" s="48"/>
      <c r="G10" s="49" t="str">
        <f>'Savings and Cost Analysis'!BV15</f>
        <v>S-All-Lgt-Streetlight-All-All-U</v>
      </c>
      <c r="H10" s="24"/>
      <c r="I10" s="170">
        <f>(-1)*'Savings and Cost Analysis'!BT15</f>
        <v>-30.833333333333332</v>
      </c>
      <c r="J10" s="169">
        <f>'Savings and Cost Analysis'!BU15</f>
        <v>3.7209302325581395</v>
      </c>
      <c r="K10" s="24"/>
      <c r="L10" s="24"/>
      <c r="M10" s="24"/>
      <c r="N10" s="24"/>
      <c r="O10" s="24"/>
      <c r="P10" s="50"/>
      <c r="Q10" s="51" t="str">
        <f>'Savings and Cost Analysis'!BW15</f>
        <v>L</v>
      </c>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row>
    <row r="11" spans="1:105">
      <c r="A11" s="45" t="str">
        <f>'Savings and Cost Analysis'!AQ16</f>
        <v>Exterior Lighting: Parking Lot - HPS 250W - NR</v>
      </c>
      <c r="B11" s="45" t="str">
        <f>'Savings and Cost Analysis'!AT16</f>
        <v>Exterior Lighting: Parking Lot - HPS 250W to LED 135W - NR</v>
      </c>
      <c r="C11" s="46">
        <f>'Savings and Cost Analysis'!BB16</f>
        <v>743.50510204081638</v>
      </c>
      <c r="D11" s="169">
        <f>'Savings and Cost Analysis'!BK16</f>
        <v>16.279069767441861</v>
      </c>
      <c r="E11" s="48">
        <f>'Savings and Cost Analysis'!BQ16</f>
        <v>179.07824387962339</v>
      </c>
      <c r="F11" s="24"/>
      <c r="G11" s="49" t="str">
        <f>'Savings and Cost Analysis'!BV16</f>
        <v>S-All-Lgt-Streetlight-All-All-U</v>
      </c>
      <c r="H11" s="24"/>
      <c r="I11" s="170">
        <f>(-1)*'Savings and Cost Analysis'!BT16</f>
        <v>-25.833333333333332</v>
      </c>
      <c r="J11" s="169">
        <f>'Savings and Cost Analysis'!BU16</f>
        <v>5.5813953488372094</v>
      </c>
      <c r="K11" s="24"/>
      <c r="L11" s="24"/>
      <c r="M11" s="24"/>
      <c r="N11" s="24"/>
      <c r="O11" s="24"/>
      <c r="P11" s="24"/>
      <c r="Q11" s="51" t="str">
        <f>'Savings and Cost Analysis'!BW16</f>
        <v>L</v>
      </c>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row>
    <row r="12" spans="1:105">
      <c r="A12" s="45" t="str">
        <f>'Savings and Cost Analysis'!AQ17</f>
        <v>Exterior Lighting: Parking Lot - MH 400W - NR</v>
      </c>
      <c r="B12" s="45" t="str">
        <f>'Savings and Cost Analysis'!AT17</f>
        <v>Exterior Lighting: Parking Lot - MH 400W to LED 180W - NR</v>
      </c>
      <c r="C12" s="46">
        <f>'Savings and Cost Analysis'!BB17</f>
        <v>1298.0734693877553</v>
      </c>
      <c r="D12" s="169">
        <f>'Savings and Cost Analysis'!BK17</f>
        <v>16.279069767441861</v>
      </c>
      <c r="E12" s="48">
        <f>'Savings and Cost Analysis'!BQ17</f>
        <v>338.08982109258011</v>
      </c>
      <c r="F12" s="24"/>
      <c r="G12" s="49" t="str">
        <f>'Savings and Cost Analysis'!BV17</f>
        <v>S-All-Lgt-Streetlight-All-All-U</v>
      </c>
      <c r="H12" s="24"/>
      <c r="I12" s="170">
        <f>(-1)*'Savings and Cost Analysis'!BT17</f>
        <v>-28.833333333333332</v>
      </c>
      <c r="J12" s="169">
        <f>'Savings and Cost Analysis'!BU17</f>
        <v>3.7209302325581395</v>
      </c>
      <c r="K12" s="24"/>
      <c r="L12" s="24"/>
      <c r="M12" s="24"/>
      <c r="N12" s="24"/>
      <c r="O12" s="24"/>
      <c r="P12" s="24"/>
      <c r="Q12" s="51" t="str">
        <f>'Savings and Cost Analysis'!BW17</f>
        <v>L</v>
      </c>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row>
    <row r="13" spans="1:105">
      <c r="A13" s="45" t="str">
        <f>'Savings and Cost Analysis'!AQ18</f>
        <v>Exterior Lighting: Parking Lot - MH 1000W - NR</v>
      </c>
      <c r="B13" s="45" t="str">
        <f>'Savings and Cost Analysis'!AT18</f>
        <v>Exterior Lighting: Parking Lot - MH 1000W to LED 421W - NR</v>
      </c>
      <c r="C13" s="46">
        <f>'Savings and Cost Analysis'!BB18</f>
        <v>3159.841836734694</v>
      </c>
      <c r="D13" s="169">
        <f>'Savings and Cost Analysis'!BK18</f>
        <v>16.279069767441861</v>
      </c>
      <c r="E13" s="48">
        <f>'Savings and Cost Analysis'!BQ18</f>
        <v>984.136129944407</v>
      </c>
      <c r="F13" s="24"/>
      <c r="G13" s="49" t="str">
        <f>'Savings and Cost Analysis'!BV18</f>
        <v>S-All-Lgt-Streetlight-All-All-U</v>
      </c>
      <c r="H13" s="24"/>
      <c r="I13" s="170">
        <f>(-1)*'Savings and Cost Analysis'!BT18</f>
        <v>-30.833333333333332</v>
      </c>
      <c r="J13" s="169">
        <f>'Savings and Cost Analysis'!BU18</f>
        <v>3.7209302325581395</v>
      </c>
      <c r="K13" s="24"/>
      <c r="L13" s="24"/>
      <c r="M13" s="24"/>
      <c r="N13" s="24"/>
      <c r="O13" s="24"/>
      <c r="P13" s="24"/>
      <c r="Q13" s="51" t="str">
        <f>'Savings and Cost Analysis'!BW18</f>
        <v>L</v>
      </c>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row>
    <row r="14" spans="1:105">
      <c r="A14" s="45" t="str">
        <f>'Savings and Cost Analysis'!AQ19</f>
        <v>Exterior Lighting: Parking Lot - HPS 250W - Retro</v>
      </c>
      <c r="B14" s="45" t="str">
        <f>'Savings and Cost Analysis'!AT19</f>
        <v>Exterior Lighting: Parking Lot - HPS 250W to LED 135W - Retro</v>
      </c>
      <c r="C14" s="46">
        <f>'Savings and Cost Analysis'!BB19</f>
        <v>743.50510204081638</v>
      </c>
      <c r="D14" s="169">
        <f>'Savings and Cost Analysis'!BK19</f>
        <v>16.279069767441861</v>
      </c>
      <c r="E14" s="48">
        <f>'Savings and Cost Analysis'!BQ19</f>
        <v>204.91157721295673</v>
      </c>
      <c r="G14" s="49" t="str">
        <f>'Savings and Cost Analysis'!BV19</f>
        <v>S-All-Lgt-Streetlight-All-All-U</v>
      </c>
      <c r="I14" s="170">
        <f>(-1)*'Savings and Cost Analysis'!BT19</f>
        <v>-25.833333333333332</v>
      </c>
      <c r="J14" s="169">
        <f>'Savings and Cost Analysis'!BU19</f>
        <v>5.5813953488372094</v>
      </c>
      <c r="Q14" s="51" t="str">
        <f>'Savings and Cost Analysis'!BW19</f>
        <v>R</v>
      </c>
    </row>
    <row r="15" spans="1:105">
      <c r="A15" s="45" t="str">
        <f>'Savings and Cost Analysis'!AQ20</f>
        <v>Exterior Lighting: Parking Lot - MH 400W - Retro</v>
      </c>
      <c r="B15" s="45" t="str">
        <f>'Savings and Cost Analysis'!AT20</f>
        <v>Exterior Lighting: Parking Lot - MH 400W to LED 180W - Retro</v>
      </c>
      <c r="C15" s="46">
        <f>'Savings and Cost Analysis'!BB20</f>
        <v>1298.0734693877553</v>
      </c>
      <c r="D15" s="169">
        <f>'Savings and Cost Analysis'!BK20</f>
        <v>16.279069767441861</v>
      </c>
      <c r="E15" s="48">
        <f>'Savings and Cost Analysis'!BQ20</f>
        <v>366.92315442591342</v>
      </c>
      <c r="G15" s="49" t="str">
        <f>'Savings and Cost Analysis'!BV20</f>
        <v>S-All-Lgt-Streetlight-All-All-U</v>
      </c>
      <c r="I15" s="170">
        <f>(-1)*'Savings and Cost Analysis'!BT20</f>
        <v>-28.833333333333332</v>
      </c>
      <c r="J15" s="169">
        <f>'Savings and Cost Analysis'!BU20</f>
        <v>3.7209302325581395</v>
      </c>
      <c r="Q15" s="51" t="str">
        <f>'Savings and Cost Analysis'!BW20</f>
        <v>R</v>
      </c>
    </row>
    <row r="16" spans="1:105">
      <c r="A16" s="45" t="str">
        <f>'Savings and Cost Analysis'!AQ21</f>
        <v>Exterior Lighting: Parking Lot - MH 1000W - Retro</v>
      </c>
      <c r="B16" s="45" t="str">
        <f>'Savings and Cost Analysis'!AT21</f>
        <v>Exterior Lighting: Parking Lot - MH 1000W to LED 421W - Retro</v>
      </c>
      <c r="C16" s="46">
        <f>'Savings and Cost Analysis'!BB21</f>
        <v>3159.841836734694</v>
      </c>
      <c r="D16" s="169">
        <f>'Savings and Cost Analysis'!BK21</f>
        <v>16.279069767441861</v>
      </c>
      <c r="E16" s="48">
        <f>'Savings and Cost Analysis'!BQ21</f>
        <v>1014.9694632777404</v>
      </c>
      <c r="G16" s="49" t="str">
        <f>'Savings and Cost Analysis'!BV21</f>
        <v>S-All-Lgt-Streetlight-All-All-U</v>
      </c>
      <c r="I16" s="170">
        <f>(-1)*'Savings and Cost Analysis'!BT21</f>
        <v>-30.833333333333332</v>
      </c>
      <c r="J16" s="169">
        <f>'Savings and Cost Analysis'!BU21</f>
        <v>3.7209302325581395</v>
      </c>
      <c r="Q16" s="51" t="str">
        <f>'Savings and Cost Analysis'!BW21</f>
        <v>R</v>
      </c>
    </row>
    <row r="17" spans="1:17">
      <c r="A17" s="45" t="str">
        <f>'Savings and Cost Analysis'!AQ22</f>
        <v>Exterior Lighting: Façade - HID 150W - New</v>
      </c>
      <c r="B17" s="45" t="str">
        <f>'Savings and Cost Analysis'!AT22</f>
        <v>Exterior Lighting: Façade - HID 150W to LED 27W - New</v>
      </c>
      <c r="C17" s="46">
        <f>'Savings and Cost Analysis'!BB22</f>
        <v>649.36581632653053</v>
      </c>
      <c r="D17" s="169">
        <f>'Savings and Cost Analysis'!BK22</f>
        <v>16.744186046511629</v>
      </c>
      <c r="E17" s="48">
        <f>'Savings and Cost Analysis'!BQ22</f>
        <v>7.3019593555087283</v>
      </c>
      <c r="G17" s="49" t="str">
        <f>'Savings and Cost Analysis'!BV22</f>
        <v>S-All-Lgt-Streetlight-All-All-U</v>
      </c>
      <c r="I17" s="170">
        <f>(-1)*'Savings and Cost Analysis'!BT22</f>
        <v>-41.832506666666667</v>
      </c>
      <c r="J17" s="169">
        <f>'Savings and Cost Analysis'!BU22</f>
        <v>5.5813953488372094</v>
      </c>
      <c r="Q17" s="51" t="str">
        <f>'Savings and Cost Analysis'!BW22</f>
        <v>L</v>
      </c>
    </row>
    <row r="18" spans="1:17">
      <c r="A18" s="45" t="str">
        <f>'Savings and Cost Analysis'!AQ23</f>
        <v>Exterior Lighting: Façade - HID 400W - New</v>
      </c>
      <c r="B18" s="45" t="str">
        <f>'Savings and Cost Analysis'!AT23</f>
        <v>Exterior Lighting: Façade - HID 400W to LED 82W - New</v>
      </c>
      <c r="C18" s="46">
        <f>'Savings and Cost Analysis'!BB23</f>
        <v>1606.9202380952379</v>
      </c>
      <c r="D18" s="169">
        <f>'Savings and Cost Analysis'!BK23</f>
        <v>16.744186046511629</v>
      </c>
      <c r="E18" s="48">
        <f>'Savings and Cost Analysis'!BQ23</f>
        <v>51.863052062075326</v>
      </c>
      <c r="G18" s="49" t="str">
        <f>'Savings and Cost Analysis'!BV23</f>
        <v>S-All-Lgt-Streetlight-All-All-U</v>
      </c>
      <c r="I18" s="170">
        <f>(-1)*'Savings and Cost Analysis'!BT23</f>
        <v>-39.264393333333331</v>
      </c>
      <c r="J18" s="169">
        <f>'Savings and Cost Analysis'!BU23</f>
        <v>3.7209302325581395</v>
      </c>
      <c r="Q18" s="51" t="str">
        <f>'Savings and Cost Analysis'!BW23</f>
        <v>L</v>
      </c>
    </row>
    <row r="19" spans="1:17">
      <c r="A19" s="45" t="str">
        <f>'Savings and Cost Analysis'!AQ24</f>
        <v>Exterior Lighting: Façade - HID 150W - NR</v>
      </c>
      <c r="B19" s="45" t="str">
        <f>'Savings and Cost Analysis'!AT24</f>
        <v>Exterior Lighting: Façade - HID 150W to LED 27W - NR</v>
      </c>
      <c r="C19" s="46">
        <f>'Savings and Cost Analysis'!BB24</f>
        <v>649.36581632653053</v>
      </c>
      <c r="D19" s="169">
        <f>'Savings and Cost Analysis'!BK24</f>
        <v>16.744186046511629</v>
      </c>
      <c r="E19" s="48">
        <f>'Savings and Cost Analysis'!BQ24</f>
        <v>186.95819668884204</v>
      </c>
      <c r="G19" s="49" t="str">
        <f>'Savings and Cost Analysis'!BV24</f>
        <v>S-All-Lgt-Streetlight-All-All-U</v>
      </c>
      <c r="I19" s="170">
        <f>(-1)*'Savings and Cost Analysis'!BT24</f>
        <v>-41.832506666666667</v>
      </c>
      <c r="J19" s="169">
        <f>'Savings and Cost Analysis'!BU24</f>
        <v>5.5813953488372094</v>
      </c>
      <c r="Q19" s="51" t="str">
        <f>'Savings and Cost Analysis'!BW24</f>
        <v>L</v>
      </c>
    </row>
    <row r="20" spans="1:17">
      <c r="A20" s="45" t="str">
        <f>'Savings and Cost Analysis'!AQ25</f>
        <v>Exterior Lighting: Façade - HID 400W - NR</v>
      </c>
      <c r="B20" s="45" t="str">
        <f>'Savings and Cost Analysis'!AT25</f>
        <v>Exterior Lighting: Façade - HID 400W to LED 82W - NR</v>
      </c>
      <c r="C20" s="46">
        <f>'Savings and Cost Analysis'!BB25</f>
        <v>1606.9202380952379</v>
      </c>
      <c r="D20" s="169">
        <f>'Savings and Cost Analysis'!BK25</f>
        <v>16.744186046511629</v>
      </c>
      <c r="E20" s="48">
        <f>'Savings and Cost Analysis'!BQ25</f>
        <v>332.28218672874203</v>
      </c>
      <c r="G20" s="49" t="str">
        <f>'Savings and Cost Analysis'!BV25</f>
        <v>S-All-Lgt-Streetlight-All-All-U</v>
      </c>
      <c r="I20" s="170">
        <f>(-1)*'Savings and Cost Analysis'!BT25</f>
        <v>-39.264393333333331</v>
      </c>
      <c r="J20" s="169">
        <f>'Savings and Cost Analysis'!BU25</f>
        <v>3.7209302325581395</v>
      </c>
      <c r="Q20" s="51" t="str">
        <f>'Savings and Cost Analysis'!BW25</f>
        <v>L</v>
      </c>
    </row>
    <row r="21" spans="1:17">
      <c r="A21" s="45" t="str">
        <f>'Savings and Cost Analysis'!AQ26</f>
        <v>Exterior Lighting: Façade - HID 150W - Retro</v>
      </c>
      <c r="B21" s="45" t="str">
        <f>'Savings and Cost Analysis'!AT26</f>
        <v>Exterior Lighting: Façade - HID 150W to LED 27W - Retro</v>
      </c>
      <c r="C21" s="46">
        <f>'Savings and Cost Analysis'!BB26</f>
        <v>649.36581632653053</v>
      </c>
      <c r="D21" s="169">
        <f>'Savings and Cost Analysis'!BK26</f>
        <v>16.744186046511629</v>
      </c>
      <c r="E21" s="48">
        <f>'Savings and Cost Analysis'!BQ26</f>
        <v>228.79070335550873</v>
      </c>
      <c r="G21" s="49" t="str">
        <f>'Savings and Cost Analysis'!BV26</f>
        <v>S-All-Lgt-Streetlight-All-All-U</v>
      </c>
      <c r="I21" s="170">
        <f>(-1)*'Savings and Cost Analysis'!BT26</f>
        <v>-41.832506666666667</v>
      </c>
      <c r="J21" s="169">
        <f>'Savings and Cost Analysis'!BU26</f>
        <v>5.5813953488372094</v>
      </c>
      <c r="Q21" s="51" t="str">
        <f>'Savings and Cost Analysis'!BW26</f>
        <v>R</v>
      </c>
    </row>
    <row r="22" spans="1:17">
      <c r="A22" s="45" t="str">
        <f>'Savings and Cost Analysis'!AQ27</f>
        <v>Exterior Lighting: Façade - HID 400W - Retro</v>
      </c>
      <c r="B22" s="45" t="str">
        <f>'Savings and Cost Analysis'!AT27</f>
        <v>Exterior Lighting: Façade - HID 400W to LED 82W - Retro</v>
      </c>
      <c r="C22" s="46">
        <f>'Savings and Cost Analysis'!BB27</f>
        <v>1606.9202380952379</v>
      </c>
      <c r="D22" s="169">
        <f>'Savings and Cost Analysis'!BK27</f>
        <v>16.744186046511629</v>
      </c>
      <c r="E22" s="48">
        <f>'Savings and Cost Analysis'!BQ27</f>
        <v>371.54658006207535</v>
      </c>
      <c r="G22" s="49" t="str">
        <f>'Savings and Cost Analysis'!BV27</f>
        <v>S-All-Lgt-Streetlight-All-All-U</v>
      </c>
      <c r="I22" s="170">
        <f>(-1)*'Savings and Cost Analysis'!BT27</f>
        <v>-39.264393333333331</v>
      </c>
      <c r="J22" s="169">
        <f>'Savings and Cost Analysis'!BU27</f>
        <v>3.7209302325581395</v>
      </c>
      <c r="Q22" s="51" t="str">
        <f>'Savings and Cost Analysis'!BW27</f>
        <v>R</v>
      </c>
    </row>
    <row r="23" spans="1:17">
      <c r="A23" s="45" t="str">
        <f>'Savings and Cost Analysis'!AQ28</f>
        <v>Exterior Lighting: Walkway - HID 150W - New</v>
      </c>
      <c r="B23" s="45" t="str">
        <f>'Savings and Cost Analysis'!AT28</f>
        <v>Exterior Lighting: Walkway - HID 150W to LED 28W - New</v>
      </c>
      <c r="C23" s="46">
        <f>'Savings and Cost Analysis'!BB28</f>
        <v>647.87397959183659</v>
      </c>
      <c r="D23" s="169">
        <f>'Savings and Cost Analysis'!BK28</f>
        <v>16.744186046511629</v>
      </c>
      <c r="E23" s="48">
        <f>'Savings and Cost Analysis'!BQ28</f>
        <v>6.6707622506870052</v>
      </c>
      <c r="G23" s="49" t="str">
        <f>'Savings and Cost Analysis'!BV28</f>
        <v>S-All-Lgt-Streetlight-All-All-U</v>
      </c>
      <c r="I23" s="170">
        <f>(-1)*'Savings and Cost Analysis'!BT28</f>
        <v>-39.332506666666667</v>
      </c>
      <c r="J23" s="169">
        <f>'Savings and Cost Analysis'!BU28</f>
        <v>5.5813953488372094</v>
      </c>
      <c r="Q23" s="51" t="str">
        <f>'Savings and Cost Analysis'!BW28</f>
        <v>L</v>
      </c>
    </row>
    <row r="24" spans="1:17">
      <c r="A24" s="45" t="str">
        <f>'Savings and Cost Analysis'!AQ29</f>
        <v>Exterior Lighting: Walkway - CFL 26W - New</v>
      </c>
      <c r="B24" s="45" t="str">
        <f>'Savings and Cost Analysis'!AT29</f>
        <v>Exterior Lighting: Walkway - CFL 26W to LED 12W - New</v>
      </c>
      <c r="C24" s="46">
        <f>'Savings and Cost Analysis'!BB29</f>
        <v>68.226666666666659</v>
      </c>
      <c r="D24" s="169">
        <f>'Savings and Cost Analysis'!BK29</f>
        <v>6.6762790697674417</v>
      </c>
      <c r="E24" s="48">
        <f>'Savings and Cost Analysis'!BQ29</f>
        <v>4.0008899869194874</v>
      </c>
      <c r="G24" s="49" t="str">
        <f>'Savings and Cost Analysis'!BV29</f>
        <v>S-All-Lgt-Streetlight-All-All-U</v>
      </c>
      <c r="I24" s="170">
        <f>(-1)*'Savings and Cost Analysis'!BT29</f>
        <v>-9.7835033333333321</v>
      </c>
      <c r="J24" s="169">
        <f>'Savings and Cost Analysis'!BU29</f>
        <v>2.3255813953488373</v>
      </c>
      <c r="Q24" s="51" t="str">
        <f>'Savings and Cost Analysis'!BW29</f>
        <v>L</v>
      </c>
    </row>
    <row r="25" spans="1:17">
      <c r="A25" s="45" t="str">
        <f>'Savings and Cost Analysis'!AQ30</f>
        <v>Exterior Lighting: Walkway - INC 75W - New</v>
      </c>
      <c r="B25" s="45" t="str">
        <f>'Savings and Cost Analysis'!AT30</f>
        <v>Exterior Lighting: Walkway - INC 75W to LED 12W - New</v>
      </c>
      <c r="C25" s="46">
        <f>'Savings and Cost Analysis'!BB30</f>
        <v>278.92666666666668</v>
      </c>
      <c r="D25" s="169">
        <f>'Savings and Cost Analysis'!BK30</f>
        <v>6.6762790697674417</v>
      </c>
      <c r="E25" s="48">
        <f>'Savings and Cost Analysis'!BQ30</f>
        <v>4.7789999869194872</v>
      </c>
      <c r="G25" s="49" t="str">
        <f>'Savings and Cost Analysis'!BV30</f>
        <v>S-All-Lgt-Streetlight-All-All-U</v>
      </c>
      <c r="I25" s="170">
        <f>(-1)*'Savings and Cost Analysis'!BT30</f>
        <v>-9.0053933333333323</v>
      </c>
      <c r="J25" s="169">
        <f>'Savings and Cost Analysis'!BU30</f>
        <v>0.23255813953488372</v>
      </c>
      <c r="Q25" s="51" t="str">
        <f>'Savings and Cost Analysis'!BW30</f>
        <v>L</v>
      </c>
    </row>
    <row r="26" spans="1:17">
      <c r="A26" s="45" t="str">
        <f>'Savings and Cost Analysis'!AQ31</f>
        <v>Exterior Lighting: Walkway - HID 150W - NR</v>
      </c>
      <c r="B26" s="45" t="str">
        <f>'Savings and Cost Analysis'!AT31</f>
        <v>Exterior Lighting: Walkway - HID 150W to LED 29W - NR</v>
      </c>
      <c r="C26" s="46">
        <f>'Savings and Cost Analysis'!BB31</f>
        <v>640.16615646258492</v>
      </c>
      <c r="D26" s="169">
        <f>'Savings and Cost Analysis'!BK31</f>
        <v>14.186046511627907</v>
      </c>
      <c r="E26" s="48">
        <f>'Savings and Cost Analysis'!BQ31</f>
        <v>154.26033291735365</v>
      </c>
      <c r="G26" s="49" t="str">
        <f>'Savings and Cost Analysis'!BV31</f>
        <v>S-All-Lgt-Streetlight-All-All-U</v>
      </c>
      <c r="I26" s="170">
        <f>(-1)*'Savings and Cost Analysis'!BT31</f>
        <v>-39.332506666666667</v>
      </c>
      <c r="J26" s="169">
        <f>'Savings and Cost Analysis'!BU31</f>
        <v>5.5813953488372094</v>
      </c>
      <c r="Q26" s="51" t="str">
        <f>'Savings and Cost Analysis'!BW31</f>
        <v>L</v>
      </c>
    </row>
    <row r="27" spans="1:17">
      <c r="A27" s="45" t="str">
        <f>'Savings and Cost Analysis'!AQ32</f>
        <v>Exterior Lighting: Walkway - CFL 26W - NR</v>
      </c>
      <c r="B27" s="45" t="str">
        <f>'Savings and Cost Analysis'!AT32</f>
        <v>Exterior Lighting: Walkway - CFL 26W to LED 12W - NR</v>
      </c>
      <c r="C27" s="46">
        <f>'Savings and Cost Analysis'!BB32</f>
        <v>68.226666666666659</v>
      </c>
      <c r="D27" s="169">
        <f>'Savings and Cost Analysis'!BK32</f>
        <v>6.6762790697674417</v>
      </c>
      <c r="E27" s="48">
        <f>'Savings and Cost Analysis'!BQ32</f>
        <v>4.0008899869194874</v>
      </c>
      <c r="G27" s="49" t="str">
        <f>'Savings and Cost Analysis'!BV32</f>
        <v>S-All-Lgt-Streetlight-All-All-U</v>
      </c>
      <c r="I27" s="170">
        <f>(-1)*'Savings and Cost Analysis'!BT32</f>
        <v>-9.7835033333333321</v>
      </c>
      <c r="J27" s="169">
        <f>'Savings and Cost Analysis'!BU32</f>
        <v>2.3255813953488373</v>
      </c>
      <c r="Q27" s="51" t="str">
        <f>'Savings and Cost Analysis'!BW32</f>
        <v>L</v>
      </c>
    </row>
    <row r="28" spans="1:17">
      <c r="A28" s="45" t="str">
        <f>'Savings and Cost Analysis'!AQ33</f>
        <v>Exterior Lighting: Walkway - INC 75W - NR</v>
      </c>
      <c r="B28" s="45" t="str">
        <f>'Savings and Cost Analysis'!AT33</f>
        <v>Exterior Lighting: Walkway - INC 75W to LED 12W - NR</v>
      </c>
      <c r="C28" s="46">
        <f>'Savings and Cost Analysis'!BB33</f>
        <v>278.92666666666668</v>
      </c>
      <c r="D28" s="169">
        <f>'Savings and Cost Analysis'!BK33</f>
        <v>6.6762790697674417</v>
      </c>
      <c r="E28" s="48">
        <f>'Savings and Cost Analysis'!BQ33</f>
        <v>4.7789999869194872</v>
      </c>
      <c r="G28" s="49" t="str">
        <f>'Savings and Cost Analysis'!BV33</f>
        <v>S-All-Lgt-Streetlight-All-All-U</v>
      </c>
      <c r="I28" s="170">
        <f>(-1)*'Savings and Cost Analysis'!BT33</f>
        <v>-9.0053933333333323</v>
      </c>
      <c r="J28" s="169">
        <f>'Savings and Cost Analysis'!BU33</f>
        <v>0.23255813953488372</v>
      </c>
      <c r="Q28" s="51" t="str">
        <f>'Savings and Cost Analysis'!BW33</f>
        <v>L</v>
      </c>
    </row>
    <row r="29" spans="1:17">
      <c r="A29" s="45" t="str">
        <f>'Savings and Cost Analysis'!AQ34</f>
        <v>Exterior Lighting: Walkway - HID 150W - Retro</v>
      </c>
      <c r="B29" s="45" t="str">
        <f>'Savings and Cost Analysis'!AT34</f>
        <v>Exterior Lighting: Walkway - HID 150W to LED 29W - Retro</v>
      </c>
      <c r="C29" s="46">
        <f>'Savings and Cost Analysis'!BB34</f>
        <v>640.16615646258492</v>
      </c>
      <c r="D29" s="169">
        <f>'Savings and Cost Analysis'!BK34</f>
        <v>14.186046511627907</v>
      </c>
      <c r="E29" s="48">
        <f>'Savings and Cost Analysis'!BQ34</f>
        <v>210.259506250687</v>
      </c>
      <c r="G29" s="49" t="str">
        <f>'Savings and Cost Analysis'!BV34</f>
        <v>S-All-Lgt-Streetlight-All-All-U</v>
      </c>
      <c r="I29" s="170">
        <f>(-1)*'Savings and Cost Analysis'!BT34</f>
        <v>-39.332506666666667</v>
      </c>
      <c r="J29" s="169">
        <f>'Savings and Cost Analysis'!BU34</f>
        <v>5.5813953488372094</v>
      </c>
      <c r="Q29" s="51" t="str">
        <f>'Savings and Cost Analysis'!BW34</f>
        <v>R</v>
      </c>
    </row>
    <row r="30" spans="1:17">
      <c r="A30" s="45" t="str">
        <f>'Savings and Cost Analysis'!AQ35</f>
        <v>Exterior Lighting: Walkway - CFL 26W - Retro</v>
      </c>
      <c r="B30" s="45" t="str">
        <f>'Savings and Cost Analysis'!AT35</f>
        <v>Exterior Lighting: Walkway - CFL 26W to LED 12W - Retro</v>
      </c>
      <c r="C30" s="46">
        <f>'Savings and Cost Analysis'!BB35</f>
        <v>68.226666666666659</v>
      </c>
      <c r="D30" s="169">
        <f>'Savings and Cost Analysis'!BK35</f>
        <v>6.6762790697674417</v>
      </c>
      <c r="E30" s="48">
        <f>'Savings and Cost Analysis'!BQ35</f>
        <v>30.451059986919489</v>
      </c>
      <c r="G30" s="49" t="str">
        <f>'Savings and Cost Analysis'!BV35</f>
        <v>S-All-Lgt-Streetlight-All-All-U</v>
      </c>
      <c r="I30" s="170">
        <f>(-1)*'Savings and Cost Analysis'!BT35</f>
        <v>-9.7835033333333321</v>
      </c>
      <c r="J30" s="169">
        <f>'Savings and Cost Analysis'!BU35</f>
        <v>2.3255813953488373</v>
      </c>
      <c r="Q30" s="51" t="str">
        <f>'Savings and Cost Analysis'!BW35</f>
        <v>R</v>
      </c>
    </row>
    <row r="31" spans="1:17">
      <c r="A31" s="45" t="str">
        <f>'Savings and Cost Analysis'!AQ36</f>
        <v>Exterior Lighting: Walkway - INC 75W - Retro</v>
      </c>
      <c r="B31" s="45" t="str">
        <f>'Savings and Cost Analysis'!AT36</f>
        <v>Exterior Lighting: Walkway - INC 75W to LED 12W - Retro</v>
      </c>
      <c r="C31" s="46">
        <f>'Savings and Cost Analysis'!BB36</f>
        <v>278.92666666666668</v>
      </c>
      <c r="D31" s="169">
        <f>'Savings and Cost Analysis'!BK36</f>
        <v>6.6762790697674417</v>
      </c>
      <c r="E31" s="48">
        <f>'Savings and Cost Analysis'!BQ36</f>
        <v>30.451059986919489</v>
      </c>
      <c r="G31" s="49" t="str">
        <f>'Savings and Cost Analysis'!BV36</f>
        <v>S-All-Lgt-Streetlight-All-All-U</v>
      </c>
      <c r="I31" s="170">
        <f>(-1)*'Savings and Cost Analysis'!BT36</f>
        <v>-9.0053933333333323</v>
      </c>
      <c r="J31" s="169">
        <f>'Savings and Cost Analysis'!BU36</f>
        <v>0.23255813953488372</v>
      </c>
      <c r="Q31" s="51" t="str">
        <f>'Savings and Cost Analysis'!BW36</f>
        <v>R</v>
      </c>
    </row>
    <row r="34" spans="1:13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row>
    <row r="35" spans="1:131">
      <c r="A35" s="201" t="s">
        <v>438</v>
      </c>
      <c r="B35" s="202"/>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row>
    <row r="36" spans="1:131">
      <c r="A36" s="24" t="s">
        <v>439</v>
      </c>
      <c r="B36" s="24" t="s">
        <v>440</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row>
    <row r="37" spans="1:131">
      <c r="A37" s="24" t="s">
        <v>441</v>
      </c>
      <c r="B37" s="24" t="s">
        <v>685</v>
      </c>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row>
    <row r="38" spans="1:13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row>
    <row r="39" spans="1:131" ht="13.5" thickBot="1">
      <c r="A39" s="187" t="s">
        <v>442</v>
      </c>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188"/>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row>
    <row r="40" spans="1:131">
      <c r="A40" s="24"/>
      <c r="B40" s="204" t="s">
        <v>443</v>
      </c>
      <c r="C40" s="205"/>
      <c r="D40" s="205" t="s">
        <v>443</v>
      </c>
      <c r="E40" s="206"/>
      <c r="F40" s="24"/>
      <c r="G40" s="204" t="s">
        <v>444</v>
      </c>
      <c r="H40" s="205"/>
      <c r="I40" s="205"/>
      <c r="J40" s="205"/>
      <c r="K40" s="205"/>
      <c r="L40" s="205"/>
      <c r="M40" s="205"/>
      <c r="N40" s="205"/>
      <c r="O40" s="206"/>
      <c r="P40" s="24"/>
      <c r="Q40" s="204" t="s">
        <v>445</v>
      </c>
      <c r="R40" s="205"/>
      <c r="S40" s="205"/>
      <c r="T40" s="205"/>
      <c r="U40" s="206"/>
      <c r="V40" s="24"/>
      <c r="W40" s="204" t="s">
        <v>446</v>
      </c>
      <c r="X40" s="206"/>
      <c r="Y40" s="24"/>
      <c r="Z40" s="204" t="s">
        <v>447</v>
      </c>
      <c r="AA40" s="205"/>
      <c r="AB40" s="20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row>
    <row r="41" spans="1:131">
      <c r="A41" s="24"/>
      <c r="B41" s="207" t="s">
        <v>448</v>
      </c>
      <c r="C41" s="208" t="s">
        <v>449</v>
      </c>
      <c r="D41" s="208" t="s">
        <v>448</v>
      </c>
      <c r="E41" s="209" t="s">
        <v>449</v>
      </c>
      <c r="F41" s="24"/>
      <c r="G41" s="207" t="s">
        <v>450</v>
      </c>
      <c r="H41" s="208" t="s">
        <v>451</v>
      </c>
      <c r="I41" s="208"/>
      <c r="J41" s="208"/>
      <c r="K41" s="208" t="s">
        <v>452</v>
      </c>
      <c r="L41" s="208"/>
      <c r="M41" s="208"/>
      <c r="N41" s="208"/>
      <c r="O41" s="209"/>
      <c r="P41" s="24"/>
      <c r="Q41" s="207"/>
      <c r="R41" s="208" t="s">
        <v>453</v>
      </c>
      <c r="S41" s="208" t="s">
        <v>454</v>
      </c>
      <c r="T41" s="208" t="s">
        <v>455</v>
      </c>
      <c r="U41" s="209" t="s">
        <v>456</v>
      </c>
      <c r="V41" s="24"/>
      <c r="W41" s="207" t="s">
        <v>457</v>
      </c>
      <c r="X41" s="209">
        <v>20</v>
      </c>
      <c r="Y41" s="24"/>
      <c r="Z41" s="207"/>
      <c r="AA41" s="208" t="s">
        <v>449</v>
      </c>
      <c r="AB41" s="209" t="s">
        <v>458</v>
      </c>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row>
    <row r="42" spans="1:131">
      <c r="A42" s="24"/>
      <c r="B42" s="207" t="s">
        <v>459</v>
      </c>
      <c r="C42" s="208" t="s">
        <v>460</v>
      </c>
      <c r="D42" s="208" t="s">
        <v>459</v>
      </c>
      <c r="E42" s="209" t="s">
        <v>460</v>
      </c>
      <c r="F42" s="24"/>
      <c r="G42" s="207" t="s">
        <v>461</v>
      </c>
      <c r="H42" s="208" t="s">
        <v>462</v>
      </c>
      <c r="I42" s="208"/>
      <c r="J42" s="208"/>
      <c r="K42" s="208" t="s">
        <v>463</v>
      </c>
      <c r="L42" s="208"/>
      <c r="M42" s="208"/>
      <c r="N42" s="208"/>
      <c r="O42" s="209"/>
      <c r="P42" s="24"/>
      <c r="Q42" s="207" t="s">
        <v>464</v>
      </c>
      <c r="R42" s="208">
        <v>6.8012888465852586E-2</v>
      </c>
      <c r="S42" s="208">
        <v>4.387844424080023E-2</v>
      </c>
      <c r="T42" s="208">
        <v>5.3289007766645871E-2</v>
      </c>
      <c r="U42" s="209">
        <v>5.447903102274565E-2</v>
      </c>
      <c r="V42" s="24"/>
      <c r="W42" s="207" t="s">
        <v>465</v>
      </c>
      <c r="X42" s="209">
        <v>2016</v>
      </c>
      <c r="Y42" s="24"/>
      <c r="Z42" s="207" t="s">
        <v>466</v>
      </c>
      <c r="AA42" s="208">
        <v>0.03</v>
      </c>
      <c r="AB42" s="209">
        <v>0.01</v>
      </c>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row>
    <row r="43" spans="1:131">
      <c r="A43" s="24"/>
      <c r="B43" s="207" t="s">
        <v>467</v>
      </c>
      <c r="C43" s="208" t="s">
        <v>468</v>
      </c>
      <c r="D43" s="208" t="s">
        <v>467</v>
      </c>
      <c r="E43" s="209" t="s">
        <v>468</v>
      </c>
      <c r="F43" s="24"/>
      <c r="G43" s="207" t="s">
        <v>469</v>
      </c>
      <c r="H43" s="208" t="s">
        <v>470</v>
      </c>
      <c r="I43" s="208"/>
      <c r="J43" s="208"/>
      <c r="K43" s="208" t="s">
        <v>471</v>
      </c>
      <c r="L43" s="208"/>
      <c r="M43" s="208"/>
      <c r="N43" s="208"/>
      <c r="O43" s="209"/>
      <c r="P43" s="24"/>
      <c r="Q43" s="207" t="s">
        <v>472</v>
      </c>
      <c r="R43" s="208">
        <v>12</v>
      </c>
      <c r="S43" s="208">
        <v>12</v>
      </c>
      <c r="T43" s="208">
        <v>1</v>
      </c>
      <c r="U43" s="209">
        <v>1</v>
      </c>
      <c r="V43" s="24"/>
      <c r="W43" s="207" t="s">
        <v>473</v>
      </c>
      <c r="X43" s="209">
        <v>2016</v>
      </c>
      <c r="Y43" s="24"/>
      <c r="Z43" s="207" t="s">
        <v>474</v>
      </c>
      <c r="AA43" s="208">
        <v>26</v>
      </c>
      <c r="AB43" s="209">
        <v>0</v>
      </c>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row>
    <row r="44" spans="1:131" ht="13.5" thickBot="1">
      <c r="A44" s="24"/>
      <c r="B44" s="210" t="s">
        <v>475</v>
      </c>
      <c r="C44" s="211" t="s">
        <v>468</v>
      </c>
      <c r="D44" s="211" t="s">
        <v>475</v>
      </c>
      <c r="E44" s="212" t="s">
        <v>468</v>
      </c>
      <c r="F44" s="24"/>
      <c r="G44" s="207" t="s">
        <v>476</v>
      </c>
      <c r="H44" s="208" t="s">
        <v>477</v>
      </c>
      <c r="I44" s="208"/>
      <c r="J44" s="208"/>
      <c r="K44" s="208" t="s">
        <v>463</v>
      </c>
      <c r="L44" s="208"/>
      <c r="M44" s="208"/>
      <c r="N44" s="208"/>
      <c r="O44" s="209"/>
      <c r="P44" s="24"/>
      <c r="Q44" s="207"/>
      <c r="R44" s="208" t="s">
        <v>453</v>
      </c>
      <c r="S44" s="208" t="s">
        <v>454</v>
      </c>
      <c r="T44" s="208" t="s">
        <v>455</v>
      </c>
      <c r="U44" s="209" t="s">
        <v>456</v>
      </c>
      <c r="V44" s="24"/>
      <c r="W44" s="207" t="s">
        <v>478</v>
      </c>
      <c r="X44" s="209">
        <v>2012</v>
      </c>
      <c r="Y44" s="24"/>
      <c r="Z44" s="207" t="s">
        <v>479</v>
      </c>
      <c r="AA44" s="208">
        <v>0.9</v>
      </c>
      <c r="AB44" s="209" t="s">
        <v>274</v>
      </c>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row>
    <row r="45" spans="1:131">
      <c r="A45" s="24"/>
      <c r="B45" s="24"/>
      <c r="C45" s="24"/>
      <c r="D45" s="24"/>
      <c r="E45" s="24"/>
      <c r="F45" s="24"/>
      <c r="G45" s="207" t="s">
        <v>480</v>
      </c>
      <c r="H45" s="208" t="s">
        <v>470</v>
      </c>
      <c r="I45" s="208"/>
      <c r="J45" s="208"/>
      <c r="K45" s="208"/>
      <c r="L45" s="208"/>
      <c r="M45" s="208"/>
      <c r="N45" s="208"/>
      <c r="O45" s="209"/>
      <c r="P45" s="24"/>
      <c r="Q45" s="207" t="s">
        <v>481</v>
      </c>
      <c r="R45" s="208">
        <v>0.35</v>
      </c>
      <c r="S45" s="208">
        <v>0.19500000000000001</v>
      </c>
      <c r="T45" s="208">
        <v>4.8749999999999988E-2</v>
      </c>
      <c r="U45" s="209">
        <v>0.40625</v>
      </c>
      <c r="V45" s="24"/>
      <c r="W45" s="207" t="s">
        <v>482</v>
      </c>
      <c r="X45" s="209">
        <v>0.04</v>
      </c>
      <c r="Y45" s="24"/>
      <c r="Z45" s="207" t="s">
        <v>483</v>
      </c>
      <c r="AA45" s="208">
        <v>5.5E-2</v>
      </c>
      <c r="AB45" s="209">
        <v>0</v>
      </c>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row>
    <row r="46" spans="1:131">
      <c r="A46" s="24"/>
      <c r="B46" s="24" t="s">
        <v>484</v>
      </c>
      <c r="C46" s="24" t="s">
        <v>449</v>
      </c>
      <c r="D46" s="24"/>
      <c r="E46" s="24"/>
      <c r="F46" s="24"/>
      <c r="G46" s="207" t="s">
        <v>485</v>
      </c>
      <c r="H46" s="208" t="s">
        <v>486</v>
      </c>
      <c r="I46" s="208"/>
      <c r="J46" s="208"/>
      <c r="K46" s="208" t="s">
        <v>487</v>
      </c>
      <c r="L46" s="208"/>
      <c r="M46" s="208"/>
      <c r="N46" s="208"/>
      <c r="O46" s="209"/>
      <c r="P46" s="24"/>
      <c r="Q46" s="207" t="s">
        <v>488</v>
      </c>
      <c r="R46" s="208">
        <v>1</v>
      </c>
      <c r="S46" s="208">
        <v>0</v>
      </c>
      <c r="T46" s="208">
        <v>0</v>
      </c>
      <c r="U46" s="209">
        <v>0</v>
      </c>
      <c r="V46" s="24"/>
      <c r="W46" s="207" t="s">
        <v>489</v>
      </c>
      <c r="X46" s="209">
        <v>0</v>
      </c>
      <c r="Y46" s="24"/>
      <c r="Z46" s="207" t="s">
        <v>490</v>
      </c>
      <c r="AA46" s="208">
        <v>31</v>
      </c>
      <c r="AB46" s="209">
        <v>0</v>
      </c>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row>
    <row r="47" spans="1:131">
      <c r="A47" s="24"/>
      <c r="B47" s="24" t="s">
        <v>491</v>
      </c>
      <c r="C47" s="24" t="s">
        <v>492</v>
      </c>
      <c r="D47" s="24"/>
      <c r="E47" s="24"/>
      <c r="F47" s="24"/>
      <c r="G47" s="207" t="s">
        <v>493</v>
      </c>
      <c r="H47" s="208" t="s">
        <v>487</v>
      </c>
      <c r="I47" s="208"/>
      <c r="J47" s="208"/>
      <c r="K47" s="208" t="s">
        <v>494</v>
      </c>
      <c r="L47" s="208"/>
      <c r="M47" s="208"/>
      <c r="N47" s="208"/>
      <c r="O47" s="209"/>
      <c r="P47" s="24"/>
      <c r="Q47" s="207" t="s">
        <v>495</v>
      </c>
      <c r="R47" s="208">
        <v>1</v>
      </c>
      <c r="S47" s="208">
        <v>0</v>
      </c>
      <c r="T47" s="208">
        <v>0</v>
      </c>
      <c r="U47" s="209">
        <v>0</v>
      </c>
      <c r="V47" s="24"/>
      <c r="W47" s="207" t="s">
        <v>496</v>
      </c>
      <c r="X47" s="209">
        <v>0.2</v>
      </c>
      <c r="Y47" s="24"/>
      <c r="Z47" s="207" t="s">
        <v>497</v>
      </c>
      <c r="AA47" s="208">
        <v>0.7</v>
      </c>
      <c r="AB47" s="209" t="s">
        <v>274</v>
      </c>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row>
    <row r="48" spans="1:131">
      <c r="A48" s="24"/>
      <c r="B48" s="24" t="s">
        <v>498</v>
      </c>
      <c r="C48" s="24" t="s">
        <v>499</v>
      </c>
      <c r="D48" s="24"/>
      <c r="E48" s="24"/>
      <c r="F48" s="24"/>
      <c r="G48" s="207" t="s">
        <v>500</v>
      </c>
      <c r="H48" s="208" t="s">
        <v>494</v>
      </c>
      <c r="I48" s="208"/>
      <c r="J48" s="208"/>
      <c r="K48" s="208" t="s">
        <v>501</v>
      </c>
      <c r="L48" s="208"/>
      <c r="M48" s="208"/>
      <c r="N48" s="208"/>
      <c r="O48" s="209"/>
      <c r="P48" s="24"/>
      <c r="Q48" s="207" t="s">
        <v>502</v>
      </c>
      <c r="R48" s="208"/>
      <c r="S48" s="208">
        <v>0.3</v>
      </c>
      <c r="T48" s="208">
        <v>7.4999999999999983E-2</v>
      </c>
      <c r="U48" s="209">
        <v>0.625</v>
      </c>
      <c r="V48" s="24"/>
      <c r="W48" s="207" t="s">
        <v>503</v>
      </c>
      <c r="X48" s="209">
        <v>0.1</v>
      </c>
      <c r="Y48" s="24"/>
      <c r="Z48" s="207" t="s">
        <v>504</v>
      </c>
      <c r="AA48" s="208">
        <v>0</v>
      </c>
      <c r="AB48" s="209">
        <v>0</v>
      </c>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row>
    <row r="49" spans="1:131" ht="13.5" thickBot="1">
      <c r="A49" s="24"/>
      <c r="B49" s="24" t="s">
        <v>505</v>
      </c>
      <c r="C49" s="24" t="s">
        <v>506</v>
      </c>
      <c r="D49" s="24"/>
      <c r="E49" s="24"/>
      <c r="F49" s="24"/>
      <c r="G49" s="210" t="s">
        <v>507</v>
      </c>
      <c r="H49" s="211" t="s">
        <v>501</v>
      </c>
      <c r="I49" s="211"/>
      <c r="J49" s="211"/>
      <c r="K49" s="211"/>
      <c r="L49" s="211"/>
      <c r="M49" s="211"/>
      <c r="N49" s="211"/>
      <c r="O49" s="212"/>
      <c r="P49" s="24"/>
      <c r="Q49" s="210" t="s">
        <v>508</v>
      </c>
      <c r="R49" s="211"/>
      <c r="S49" s="211">
        <v>20</v>
      </c>
      <c r="T49" s="211"/>
      <c r="U49" s="212"/>
      <c r="V49" s="24"/>
      <c r="W49" s="210" t="s">
        <v>509</v>
      </c>
      <c r="X49" s="212">
        <v>2018</v>
      </c>
      <c r="Y49" s="24"/>
      <c r="Z49" s="210" t="s">
        <v>510</v>
      </c>
      <c r="AA49" s="211">
        <v>0</v>
      </c>
      <c r="AB49" s="212">
        <v>0</v>
      </c>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row>
    <row r="50" spans="1:13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row>
    <row r="51" spans="1:13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row>
    <row r="52" spans="1:13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row>
    <row r="53" spans="1:13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row>
    <row r="54" spans="1:13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row>
    <row r="55" spans="1:13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row>
    <row r="56" spans="1:13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row>
    <row r="57" spans="1:131" ht="13.5" thickBot="1">
      <c r="A57" s="187" t="s">
        <v>511</v>
      </c>
      <c r="B57" s="188"/>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row>
    <row r="58" spans="1:131" ht="26.25" thickBot="1">
      <c r="A58" s="213" t="s">
        <v>512</v>
      </c>
      <c r="B58" s="214"/>
      <c r="C58" s="215" t="s">
        <v>513</v>
      </c>
      <c r="D58" s="216"/>
      <c r="E58" s="216"/>
      <c r="F58" s="216"/>
      <c r="G58" s="216"/>
      <c r="H58" s="216"/>
      <c r="I58" s="216"/>
      <c r="J58" s="216"/>
      <c r="K58" s="217"/>
      <c r="L58" s="215" t="s">
        <v>514</v>
      </c>
      <c r="M58" s="216"/>
      <c r="N58" s="216"/>
      <c r="O58" s="216"/>
      <c r="P58" s="216"/>
      <c r="Q58" s="217"/>
      <c r="R58" s="215" t="s">
        <v>515</v>
      </c>
      <c r="S58" s="216"/>
      <c r="T58" s="216"/>
      <c r="U58" s="217"/>
      <c r="V58" s="215" t="s">
        <v>516</v>
      </c>
      <c r="W58" s="216"/>
      <c r="X58" s="216"/>
      <c r="Y58" s="217"/>
      <c r="Z58" s="215" t="s">
        <v>517</v>
      </c>
      <c r="AA58" s="216"/>
      <c r="AB58" s="216"/>
      <c r="AC58" s="217"/>
      <c r="AD58" s="215" t="s">
        <v>518</v>
      </c>
      <c r="AE58" s="216"/>
      <c r="AF58" s="216"/>
      <c r="AG58" s="217"/>
      <c r="AH58" s="215" t="s">
        <v>519</v>
      </c>
      <c r="AI58" s="216"/>
      <c r="AJ58" s="216"/>
      <c r="AK58" s="216"/>
      <c r="AL58" s="217"/>
      <c r="AM58" s="215" t="s">
        <v>520</v>
      </c>
      <c r="AN58" s="216"/>
      <c r="AO58" s="216"/>
      <c r="AP58" s="216"/>
      <c r="AQ58" s="216"/>
      <c r="AR58" s="216"/>
      <c r="AS58" s="217"/>
      <c r="AT58" s="215" t="s">
        <v>521</v>
      </c>
      <c r="AU58" s="216"/>
      <c r="AV58" s="216"/>
      <c r="AW58" s="216"/>
      <c r="AX58" s="216"/>
      <c r="AY58" s="216"/>
      <c r="AZ58" s="217"/>
      <c r="BA58" s="215" t="s">
        <v>522</v>
      </c>
      <c r="BB58" s="216"/>
      <c r="BC58" s="216"/>
      <c r="BD58" s="216"/>
      <c r="BE58" s="216"/>
      <c r="BF58" s="217"/>
      <c r="BG58" s="215" t="s">
        <v>523</v>
      </c>
      <c r="BH58" s="217"/>
      <c r="BI58" s="215" t="s">
        <v>524</v>
      </c>
      <c r="BJ58" s="216"/>
      <c r="BK58" s="216"/>
      <c r="BL58" s="216"/>
      <c r="BM58" s="217"/>
      <c r="BN58" s="215" t="s">
        <v>525</v>
      </c>
      <c r="BO58" s="216"/>
      <c r="BP58" s="216"/>
      <c r="BQ58" s="216"/>
      <c r="BR58" s="216"/>
      <c r="BS58" s="216"/>
      <c r="BT58" s="216"/>
      <c r="BU58" s="216"/>
      <c r="BV58" s="216"/>
      <c r="BW58" s="216"/>
      <c r="BX58" s="216"/>
      <c r="BY58" s="216"/>
      <c r="BZ58" s="216"/>
      <c r="CA58" s="216"/>
      <c r="CB58" s="216"/>
      <c r="CC58" s="217"/>
      <c r="CD58" s="215" t="s">
        <v>526</v>
      </c>
      <c r="CE58" s="217"/>
      <c r="CF58" s="215" t="s">
        <v>527</v>
      </c>
      <c r="CG58" s="216"/>
      <c r="CH58" s="216"/>
      <c r="CI58" s="216"/>
      <c r="CJ58" s="216"/>
      <c r="CK58" s="217"/>
      <c r="CL58" s="218"/>
      <c r="CM58" s="215" t="s">
        <v>19</v>
      </c>
      <c r="CN58" s="216"/>
      <c r="CO58" s="216"/>
      <c r="CP58" s="217"/>
      <c r="CQ58" s="215" t="s">
        <v>528</v>
      </c>
      <c r="CR58" s="216"/>
      <c r="CS58" s="216"/>
      <c r="CT58" s="216"/>
      <c r="CU58" s="217"/>
      <c r="CV58" s="215" t="s">
        <v>529</v>
      </c>
      <c r="CW58" s="217"/>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row>
    <row r="59" spans="1:131" ht="127.5">
      <c r="A59" s="195" t="s">
        <v>388</v>
      </c>
      <c r="B59" s="196" t="s">
        <v>389</v>
      </c>
      <c r="C59" s="197" t="s">
        <v>11</v>
      </c>
      <c r="D59" s="197" t="s">
        <v>530</v>
      </c>
      <c r="E59" s="197" t="s">
        <v>531</v>
      </c>
      <c r="F59" s="197" t="s">
        <v>532</v>
      </c>
      <c r="G59" s="197" t="s">
        <v>533</v>
      </c>
      <c r="H59" s="197" t="s">
        <v>534</v>
      </c>
      <c r="I59" s="197" t="s">
        <v>535</v>
      </c>
      <c r="J59" s="197" t="s">
        <v>536</v>
      </c>
      <c r="K59" s="197" t="s">
        <v>537</v>
      </c>
      <c r="L59" s="197" t="s">
        <v>538</v>
      </c>
      <c r="M59" s="197" t="s">
        <v>539</v>
      </c>
      <c r="N59" s="197" t="s">
        <v>540</v>
      </c>
      <c r="O59" s="197" t="s">
        <v>541</v>
      </c>
      <c r="P59" s="197" t="s">
        <v>542</v>
      </c>
      <c r="Q59" s="197" t="s">
        <v>543</v>
      </c>
      <c r="R59" s="197" t="s">
        <v>544</v>
      </c>
      <c r="S59" s="197" t="s">
        <v>545</v>
      </c>
      <c r="T59" s="197" t="s">
        <v>546</v>
      </c>
      <c r="U59" s="197" t="s">
        <v>453</v>
      </c>
      <c r="V59" s="197" t="s">
        <v>544</v>
      </c>
      <c r="W59" s="197" t="s">
        <v>545</v>
      </c>
      <c r="X59" s="197" t="s">
        <v>546</v>
      </c>
      <c r="Y59" s="197" t="s">
        <v>453</v>
      </c>
      <c r="Z59" s="197" t="s">
        <v>544</v>
      </c>
      <c r="AA59" s="197" t="s">
        <v>545</v>
      </c>
      <c r="AB59" s="197" t="s">
        <v>546</v>
      </c>
      <c r="AC59" s="197" t="s">
        <v>453</v>
      </c>
      <c r="AD59" s="197" t="s">
        <v>544</v>
      </c>
      <c r="AE59" s="197" t="s">
        <v>545</v>
      </c>
      <c r="AF59" s="197" t="s">
        <v>546</v>
      </c>
      <c r="AG59" s="197" t="s">
        <v>453</v>
      </c>
      <c r="AH59" s="197" t="s">
        <v>544</v>
      </c>
      <c r="AI59" s="197" t="s">
        <v>545</v>
      </c>
      <c r="AJ59" s="197" t="s">
        <v>546</v>
      </c>
      <c r="AK59" s="197" t="s">
        <v>453</v>
      </c>
      <c r="AL59" s="197" t="s">
        <v>547</v>
      </c>
      <c r="AM59" s="197" t="s">
        <v>548</v>
      </c>
      <c r="AN59" s="197" t="s">
        <v>549</v>
      </c>
      <c r="AO59" s="197" t="s">
        <v>550</v>
      </c>
      <c r="AP59" s="197" t="s">
        <v>551</v>
      </c>
      <c r="AQ59" s="197" t="s">
        <v>552</v>
      </c>
      <c r="AR59" s="197" t="s">
        <v>553</v>
      </c>
      <c r="AS59" s="197" t="s">
        <v>554</v>
      </c>
      <c r="AT59" s="197" t="s">
        <v>555</v>
      </c>
      <c r="AU59" s="197" t="s">
        <v>556</v>
      </c>
      <c r="AV59" s="197" t="s">
        <v>557</v>
      </c>
      <c r="AW59" s="197" t="s">
        <v>558</v>
      </c>
      <c r="AX59" s="197" t="s">
        <v>559</v>
      </c>
      <c r="AY59" s="197" t="s">
        <v>560</v>
      </c>
      <c r="AZ59" s="197" t="s">
        <v>561</v>
      </c>
      <c r="BA59" s="197" t="s">
        <v>562</v>
      </c>
      <c r="BB59" s="197" t="s">
        <v>563</v>
      </c>
      <c r="BC59" s="197" t="s">
        <v>564</v>
      </c>
      <c r="BD59" s="197" t="s">
        <v>565</v>
      </c>
      <c r="BE59" s="197" t="s">
        <v>566</v>
      </c>
      <c r="BF59" s="197" t="s">
        <v>567</v>
      </c>
      <c r="BG59" s="197" t="s">
        <v>568</v>
      </c>
      <c r="BH59" s="197" t="s">
        <v>569</v>
      </c>
      <c r="BI59" s="197" t="s">
        <v>570</v>
      </c>
      <c r="BJ59" s="197" t="s">
        <v>571</v>
      </c>
      <c r="BK59" s="197" t="s">
        <v>572</v>
      </c>
      <c r="BL59" s="197" t="s">
        <v>573</v>
      </c>
      <c r="BM59" s="197" t="s">
        <v>574</v>
      </c>
      <c r="BN59" s="197" t="s">
        <v>575</v>
      </c>
      <c r="BO59" s="197" t="s">
        <v>576</v>
      </c>
      <c r="BP59" s="197" t="s">
        <v>577</v>
      </c>
      <c r="BQ59" s="197" t="s">
        <v>578</v>
      </c>
      <c r="BR59" s="197" t="s">
        <v>579</v>
      </c>
      <c r="BS59" s="197" t="s">
        <v>580</v>
      </c>
      <c r="BT59" s="197" t="s">
        <v>581</v>
      </c>
      <c r="BU59" s="197" t="s">
        <v>582</v>
      </c>
      <c r="BV59" s="197" t="s">
        <v>583</v>
      </c>
      <c r="BW59" s="197" t="s">
        <v>584</v>
      </c>
      <c r="BX59" s="197" t="s">
        <v>585</v>
      </c>
      <c r="BY59" s="197" t="s">
        <v>586</v>
      </c>
      <c r="BZ59" s="197" t="s">
        <v>587</v>
      </c>
      <c r="CA59" s="197" t="s">
        <v>588</v>
      </c>
      <c r="CB59" s="197" t="s">
        <v>589</v>
      </c>
      <c r="CC59" s="197" t="s">
        <v>590</v>
      </c>
      <c r="CD59" s="197" t="s">
        <v>399</v>
      </c>
      <c r="CE59" s="197" t="s">
        <v>398</v>
      </c>
      <c r="CF59" s="197" t="s">
        <v>591</v>
      </c>
      <c r="CG59" s="197" t="s">
        <v>592</v>
      </c>
      <c r="CH59" s="197" t="s">
        <v>593</v>
      </c>
      <c r="CI59" s="197" t="s">
        <v>594</v>
      </c>
      <c r="CJ59" s="197" t="s">
        <v>595</v>
      </c>
      <c r="CK59" s="197" t="s">
        <v>596</v>
      </c>
      <c r="CL59" s="197"/>
      <c r="CM59" s="197" t="s">
        <v>597</v>
      </c>
      <c r="CN59" s="197" t="s">
        <v>598</v>
      </c>
      <c r="CO59" s="197" t="s">
        <v>599</v>
      </c>
      <c r="CP59" s="197" t="s">
        <v>600</v>
      </c>
      <c r="CQ59" s="197" t="s">
        <v>601</v>
      </c>
      <c r="CR59" s="197" t="s">
        <v>602</v>
      </c>
      <c r="CS59" s="197" t="s">
        <v>603</v>
      </c>
      <c r="CT59" s="197" t="s">
        <v>604</v>
      </c>
      <c r="CU59" s="197" t="s">
        <v>605</v>
      </c>
      <c r="CV59" s="197" t="s">
        <v>606</v>
      </c>
      <c r="CW59" s="219" t="s">
        <v>607</v>
      </c>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row>
    <row r="60" spans="1:131">
      <c r="A60" s="24" t="s">
        <v>414</v>
      </c>
      <c r="B60" s="24" t="s">
        <v>608</v>
      </c>
      <c r="C60" s="45">
        <v>16.279069767441861</v>
      </c>
      <c r="D60" s="45">
        <v>743.50510204081638</v>
      </c>
      <c r="E60" s="45">
        <v>0</v>
      </c>
      <c r="F60" s="45">
        <v>2.0115772129567233</v>
      </c>
      <c r="G60" s="45">
        <v>0</v>
      </c>
      <c r="H60" s="45">
        <v>-35.766633955204988</v>
      </c>
      <c r="I60" s="45" t="s">
        <v>369</v>
      </c>
      <c r="J60" s="45"/>
      <c r="K60" s="45"/>
      <c r="L60" s="45">
        <v>841.23057955103127</v>
      </c>
      <c r="M60" s="45">
        <v>0.1966317209355842</v>
      </c>
      <c r="N60" s="45">
        <v>0.18655760999581042</v>
      </c>
      <c r="O60" s="45">
        <v>0</v>
      </c>
      <c r="P60" s="45">
        <v>0</v>
      </c>
      <c r="Q60" s="45">
        <v>0</v>
      </c>
      <c r="R60" s="45">
        <v>0.40113536792213955</v>
      </c>
      <c r="S60" s="45">
        <v>9.9317445313180402E-2</v>
      </c>
      <c r="T60" s="45">
        <v>0.82858046497892279</v>
      </c>
      <c r="U60" s="45">
        <v>1.1804883425692743</v>
      </c>
      <c r="V60" s="45" t="s">
        <v>609</v>
      </c>
      <c r="W60" s="45" t="s">
        <v>609</v>
      </c>
      <c r="X60" s="45" t="s">
        <v>609</v>
      </c>
      <c r="Y60" s="45" t="s">
        <v>609</v>
      </c>
      <c r="Z60" s="45">
        <v>0</v>
      </c>
      <c r="AA60" s="45">
        <v>0</v>
      </c>
      <c r="AB60" s="45">
        <v>0</v>
      </c>
      <c r="AC60" s="45">
        <v>0</v>
      </c>
      <c r="AD60" s="45">
        <v>0</v>
      </c>
      <c r="AE60" s="45">
        <v>0</v>
      </c>
      <c r="AF60" s="45">
        <v>0</v>
      </c>
      <c r="AG60" s="45">
        <v>-35.766633955204988</v>
      </c>
      <c r="AH60" s="45">
        <v>0.40113536792213955</v>
      </c>
      <c r="AI60" s="45">
        <v>9.9317445313180402E-2</v>
      </c>
      <c r="AJ60" s="45">
        <v>0.82858046497892279</v>
      </c>
      <c r="AK60" s="45">
        <v>-34.586145612635711</v>
      </c>
      <c r="AL60" s="45">
        <v>-33.257112334421471</v>
      </c>
      <c r="AM60" s="45">
        <v>403.4728987528805</v>
      </c>
      <c r="AN60" s="45">
        <v>69.479520689467293</v>
      </c>
      <c r="AO60" s="45">
        <v>47.295241944234782</v>
      </c>
      <c r="AP60" s="45">
        <v>0</v>
      </c>
      <c r="AQ60" s="45">
        <v>520.24766138658254</v>
      </c>
      <c r="AR60" s="45">
        <v>0.40113536792213955</v>
      </c>
      <c r="AS60" s="199">
        <v>1296.9378992469262</v>
      </c>
      <c r="AT60" s="45">
        <v>403.4728987528805</v>
      </c>
      <c r="AU60" s="45">
        <v>78.596742861388336</v>
      </c>
      <c r="AV60" s="45">
        <v>48.206964161426889</v>
      </c>
      <c r="AW60" s="45">
        <v>0</v>
      </c>
      <c r="AX60" s="45">
        <v>530.27660577569577</v>
      </c>
      <c r="AY60" s="45">
        <v>9.9317445313180402E-2</v>
      </c>
      <c r="AZ60" s="199">
        <v>5339.2090795686508</v>
      </c>
      <c r="BA60" s="45">
        <v>403.4728987528805</v>
      </c>
      <c r="BB60" s="45">
        <v>148.07626355085563</v>
      </c>
      <c r="BC60" s="45">
        <v>55.154916230373615</v>
      </c>
      <c r="BD60" s="45">
        <v>0</v>
      </c>
      <c r="BE60" s="45">
        <v>606.70407853410973</v>
      </c>
      <c r="BF60" s="45">
        <v>0.50045281323531998</v>
      </c>
      <c r="BG60" s="45">
        <v>-17.732690772679437</v>
      </c>
      <c r="BH60" s="199">
        <v>1212.3102568090248</v>
      </c>
      <c r="BI60" s="45">
        <v>3.5086982342204559E-2</v>
      </c>
      <c r="BJ60" s="45">
        <v>8.6872156599585061E-3</v>
      </c>
      <c r="BK60" s="45">
        <v>7.2475255159884233E-2</v>
      </c>
      <c r="BL60" s="45">
        <v>-3.0252218513701585</v>
      </c>
      <c r="BM60" s="45">
        <v>-2.9089723982081122</v>
      </c>
      <c r="BN60" s="45">
        <v>403.4728987528805</v>
      </c>
      <c r="BO60" s="45">
        <v>0</v>
      </c>
      <c r="BP60" s="45">
        <v>148.07626355085563</v>
      </c>
      <c r="BQ60" s="45">
        <v>0</v>
      </c>
      <c r="BR60" s="45">
        <v>0</v>
      </c>
      <c r="BS60" s="45">
        <v>0</v>
      </c>
      <c r="BT60" s="45">
        <v>0</v>
      </c>
      <c r="BU60" s="45">
        <v>0</v>
      </c>
      <c r="BV60" s="45">
        <v>0</v>
      </c>
      <c r="BW60" s="45">
        <v>55.154916230373615</v>
      </c>
      <c r="BX60" s="45">
        <v>2.5095216207835169</v>
      </c>
      <c r="BY60" s="45"/>
      <c r="BZ60" s="45">
        <v>0</v>
      </c>
      <c r="CA60" s="45">
        <v>-35.766633955204988</v>
      </c>
      <c r="CB60" s="45">
        <v>606.70407853410973</v>
      </c>
      <c r="CC60" s="45">
        <v>-33.257112334421471</v>
      </c>
      <c r="CD60" s="199">
        <v>256.01322067459375</v>
      </c>
      <c r="CE60" s="45">
        <v>-20.685437368889712</v>
      </c>
      <c r="CF60" s="45">
        <v>7.991727493705282</v>
      </c>
      <c r="CG60" s="45">
        <v>0</v>
      </c>
      <c r="CH60" s="45">
        <v>7.991727493705282</v>
      </c>
      <c r="CI60" s="45">
        <v>0.39958452528673977</v>
      </c>
      <c r="CJ60" s="45">
        <v>0</v>
      </c>
      <c r="CK60" s="45">
        <v>0.39958452528673977</v>
      </c>
      <c r="CL60" s="45"/>
      <c r="CM60" s="45">
        <v>0</v>
      </c>
      <c r="CN60" s="45"/>
      <c r="CO60" s="45">
        <v>0</v>
      </c>
      <c r="CP60" s="45">
        <v>0</v>
      </c>
      <c r="CQ60" s="45">
        <v>0</v>
      </c>
      <c r="CR60" s="45">
        <v>0</v>
      </c>
      <c r="CS60" s="45">
        <v>0</v>
      </c>
      <c r="CT60" s="45">
        <v>0</v>
      </c>
      <c r="CU60" s="45">
        <v>0.82858046497892279</v>
      </c>
      <c r="CV60" s="45">
        <v>9999</v>
      </c>
      <c r="CW60" s="200">
        <v>0</v>
      </c>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row>
    <row r="61" spans="1:131">
      <c r="A61" s="24" t="s">
        <v>424</v>
      </c>
      <c r="B61" s="24" t="s">
        <v>610</v>
      </c>
      <c r="C61" s="45">
        <v>16.279069767441861</v>
      </c>
      <c r="D61" s="45">
        <v>1298.0734693877553</v>
      </c>
      <c r="E61" s="45">
        <v>0</v>
      </c>
      <c r="F61" s="45">
        <v>134.02315442591345</v>
      </c>
      <c r="G61" s="45">
        <v>0</v>
      </c>
      <c r="H61" s="45">
        <v>-78.170699817618811</v>
      </c>
      <c r="I61" s="45" t="s">
        <v>369</v>
      </c>
      <c r="J61" s="45"/>
      <c r="K61" s="45"/>
      <c r="L61" s="45">
        <v>1468.6907917047924</v>
      </c>
      <c r="M61" s="45">
        <v>0.34329612464787984</v>
      </c>
      <c r="N61" s="45">
        <v>0.32570789814789353</v>
      </c>
      <c r="O61" s="45">
        <v>0</v>
      </c>
      <c r="P61" s="45">
        <v>0</v>
      </c>
      <c r="Q61" s="45">
        <v>0</v>
      </c>
      <c r="R61" s="45">
        <v>26.726007341126671</v>
      </c>
      <c r="S61" s="45">
        <v>6.617114781704359</v>
      </c>
      <c r="T61" s="45">
        <v>55.204924224081694</v>
      </c>
      <c r="U61" s="45">
        <v>78.651105418719141</v>
      </c>
      <c r="V61" s="45" t="s">
        <v>609</v>
      </c>
      <c r="W61" s="45" t="s">
        <v>609</v>
      </c>
      <c r="X61" s="45" t="s">
        <v>609</v>
      </c>
      <c r="Y61" s="45" t="s">
        <v>609</v>
      </c>
      <c r="Z61" s="45">
        <v>0</v>
      </c>
      <c r="AA61" s="45">
        <v>0</v>
      </c>
      <c r="AB61" s="45">
        <v>0</v>
      </c>
      <c r="AC61" s="45">
        <v>0</v>
      </c>
      <c r="AD61" s="45">
        <v>0</v>
      </c>
      <c r="AE61" s="45">
        <v>0</v>
      </c>
      <c r="AF61" s="45">
        <v>0</v>
      </c>
      <c r="AG61" s="45">
        <v>-78.170699817618811</v>
      </c>
      <c r="AH61" s="45">
        <v>26.726007341126671</v>
      </c>
      <c r="AI61" s="45">
        <v>6.617114781704359</v>
      </c>
      <c r="AJ61" s="45">
        <v>55.204924224081694</v>
      </c>
      <c r="AK61" s="45">
        <v>0.4804056011003297</v>
      </c>
      <c r="AL61" s="45">
        <v>89.028451948013057</v>
      </c>
      <c r="AM61" s="45">
        <v>704.4167740752556</v>
      </c>
      <c r="AN61" s="45">
        <v>121.30316554011218</v>
      </c>
      <c r="AO61" s="45">
        <v>82.571993961536776</v>
      </c>
      <c r="AP61" s="45">
        <v>0</v>
      </c>
      <c r="AQ61" s="45">
        <v>908.29193357690463</v>
      </c>
      <c r="AR61" s="45">
        <v>26.726007341126671</v>
      </c>
      <c r="AS61" s="199">
        <v>33.985320814426387</v>
      </c>
      <c r="AT61" s="45">
        <v>704.4167740752556</v>
      </c>
      <c r="AU61" s="45">
        <v>137.22077549786442</v>
      </c>
      <c r="AV61" s="45">
        <v>84.163754957312008</v>
      </c>
      <c r="AW61" s="45">
        <v>0</v>
      </c>
      <c r="AX61" s="45">
        <v>925.80130453043205</v>
      </c>
      <c r="AY61" s="45">
        <v>6.617114781704359</v>
      </c>
      <c r="AZ61" s="199">
        <v>139.91011718433197</v>
      </c>
      <c r="BA61" s="45">
        <v>704.4167740752556</v>
      </c>
      <c r="BB61" s="45">
        <v>258.52394103797661</v>
      </c>
      <c r="BC61" s="45">
        <v>96.294071511323224</v>
      </c>
      <c r="BD61" s="45">
        <v>0</v>
      </c>
      <c r="BE61" s="45">
        <v>1059.2347866245555</v>
      </c>
      <c r="BF61" s="45">
        <v>33.343122122831033</v>
      </c>
      <c r="BG61" s="45">
        <v>-16.105966795656428</v>
      </c>
      <c r="BH61" s="199">
        <v>31.767714574612846</v>
      </c>
      <c r="BI61" s="45">
        <v>1.3389791851103001</v>
      </c>
      <c r="BJ61" s="45">
        <v>0.33151898991487411</v>
      </c>
      <c r="BK61" s="45">
        <v>2.765779546048746</v>
      </c>
      <c r="BL61" s="45">
        <v>2.4068432372758082E-2</v>
      </c>
      <c r="BM61" s="45">
        <v>4.460346153446678</v>
      </c>
      <c r="BN61" s="45">
        <v>704.4167740752556</v>
      </c>
      <c r="BO61" s="45">
        <v>0</v>
      </c>
      <c r="BP61" s="45">
        <v>258.52394103797661</v>
      </c>
      <c r="BQ61" s="45">
        <v>0</v>
      </c>
      <c r="BR61" s="45">
        <v>0</v>
      </c>
      <c r="BS61" s="45">
        <v>0</v>
      </c>
      <c r="BT61" s="45">
        <v>0</v>
      </c>
      <c r="BU61" s="45">
        <v>0</v>
      </c>
      <c r="BV61" s="45">
        <v>0</v>
      </c>
      <c r="BW61" s="45">
        <v>96.294071511323224</v>
      </c>
      <c r="BX61" s="45">
        <v>167.19915176563188</v>
      </c>
      <c r="BY61" s="45"/>
      <c r="BZ61" s="45">
        <v>0</v>
      </c>
      <c r="CA61" s="45">
        <v>-78.170699817618811</v>
      </c>
      <c r="CB61" s="45">
        <v>1059.2347866245555</v>
      </c>
      <c r="CC61" s="45">
        <v>89.028451948013071</v>
      </c>
      <c r="CD61" s="199">
        <v>6.802698903858734</v>
      </c>
      <c r="CE61" s="45">
        <v>-13.316118817234926</v>
      </c>
      <c r="CF61" s="45">
        <v>13.952627097891837</v>
      </c>
      <c r="CG61" s="45">
        <v>0</v>
      </c>
      <c r="CH61" s="45">
        <v>13.952627097891837</v>
      </c>
      <c r="CI61" s="45">
        <v>0.69762812605977631</v>
      </c>
      <c r="CJ61" s="45">
        <v>0</v>
      </c>
      <c r="CK61" s="45">
        <v>0.69762812605977631</v>
      </c>
      <c r="CL61" s="45"/>
      <c r="CM61" s="45">
        <v>0</v>
      </c>
      <c r="CN61" s="45"/>
      <c r="CO61" s="45">
        <v>0</v>
      </c>
      <c r="CP61" s="45">
        <v>0</v>
      </c>
      <c r="CQ61" s="45">
        <v>0</v>
      </c>
      <c r="CR61" s="45">
        <v>0</v>
      </c>
      <c r="CS61" s="45">
        <v>0</v>
      </c>
      <c r="CT61" s="45">
        <v>0</v>
      </c>
      <c r="CU61" s="45">
        <v>55.204924224081694</v>
      </c>
      <c r="CV61" s="45">
        <v>9999</v>
      </c>
      <c r="CW61" s="200">
        <v>0</v>
      </c>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row>
    <row r="62" spans="1:131">
      <c r="A62" s="24" t="s">
        <v>425</v>
      </c>
      <c r="B62" s="24" t="s">
        <v>611</v>
      </c>
      <c r="C62" s="45">
        <v>16.279069767441861</v>
      </c>
      <c r="D62" s="45">
        <v>3159.841836734694</v>
      </c>
      <c r="E62" s="45">
        <v>0</v>
      </c>
      <c r="F62" s="45">
        <v>532.0694632777404</v>
      </c>
      <c r="G62" s="45">
        <v>0</v>
      </c>
      <c r="H62" s="45">
        <v>-83.592944891673298</v>
      </c>
      <c r="I62" s="45" t="s">
        <v>369</v>
      </c>
      <c r="J62" s="45"/>
      <c r="K62" s="45"/>
      <c r="L62" s="45">
        <v>3575.1679071329308</v>
      </c>
      <c r="M62" s="45">
        <v>0.83567030883305371</v>
      </c>
      <c r="N62" s="45">
        <v>0.79285608048676826</v>
      </c>
      <c r="O62" s="45">
        <v>0</v>
      </c>
      <c r="P62" s="45">
        <v>0</v>
      </c>
      <c r="Q62" s="45">
        <v>0</v>
      </c>
      <c r="R62" s="45">
        <v>106.10175862866241</v>
      </c>
      <c r="S62" s="45">
        <v>26.269824236191074</v>
      </c>
      <c r="T62" s="45">
        <v>219.16253596636892</v>
      </c>
      <c r="U62" s="45">
        <v>312.24344498973795</v>
      </c>
      <c r="V62" s="45" t="s">
        <v>609</v>
      </c>
      <c r="W62" s="45" t="s">
        <v>609</v>
      </c>
      <c r="X62" s="45" t="s">
        <v>609</v>
      </c>
      <c r="Y62" s="45" t="s">
        <v>609</v>
      </c>
      <c r="Z62" s="45">
        <v>0</v>
      </c>
      <c r="AA62" s="45">
        <v>0</v>
      </c>
      <c r="AB62" s="45">
        <v>0</v>
      </c>
      <c r="AC62" s="45">
        <v>0</v>
      </c>
      <c r="AD62" s="45">
        <v>0</v>
      </c>
      <c r="AE62" s="45">
        <v>0</v>
      </c>
      <c r="AF62" s="45">
        <v>0</v>
      </c>
      <c r="AG62" s="45">
        <v>-83.592944891673298</v>
      </c>
      <c r="AH62" s="45">
        <v>106.10175862866241</v>
      </c>
      <c r="AI62" s="45">
        <v>26.269824236191074</v>
      </c>
      <c r="AJ62" s="45">
        <v>219.16253596636892</v>
      </c>
      <c r="AK62" s="45">
        <v>228.65050009806464</v>
      </c>
      <c r="AL62" s="45">
        <v>580.18461892928701</v>
      </c>
      <c r="AM62" s="45">
        <v>1714.7300562814178</v>
      </c>
      <c r="AN62" s="45">
        <v>295.28283755986934</v>
      </c>
      <c r="AO62" s="45">
        <v>201.00128938412871</v>
      </c>
      <c r="AP62" s="45">
        <v>0</v>
      </c>
      <c r="AQ62" s="45">
        <v>2211.0141832254158</v>
      </c>
      <c r="AR62" s="45">
        <v>106.10175862866241</v>
      </c>
      <c r="AS62" s="199">
        <v>20.838619564861112</v>
      </c>
      <c r="AT62" s="45">
        <v>1714.7300562814178</v>
      </c>
      <c r="AU62" s="45">
        <v>334.0303592306214</v>
      </c>
      <c r="AV62" s="45">
        <v>204.87604155120394</v>
      </c>
      <c r="AW62" s="45">
        <v>0</v>
      </c>
      <c r="AX62" s="45">
        <v>2253.6364570632431</v>
      </c>
      <c r="AY62" s="45">
        <v>26.269824236191074</v>
      </c>
      <c r="AZ62" s="199">
        <v>85.788029520139773</v>
      </c>
      <c r="BA62" s="45">
        <v>1714.7300562814178</v>
      </c>
      <c r="BB62" s="45">
        <v>629.31319679049079</v>
      </c>
      <c r="BC62" s="45">
        <v>234.40432530719087</v>
      </c>
      <c r="BD62" s="45">
        <v>0</v>
      </c>
      <c r="BE62" s="45">
        <v>2578.4475783790995</v>
      </c>
      <c r="BF62" s="45">
        <v>132.37158286485348</v>
      </c>
      <c r="BG62" s="45">
        <v>-15.052080266529886</v>
      </c>
      <c r="BH62" s="199">
        <v>19.478860360925047</v>
      </c>
      <c r="BI62" s="45">
        <v>2.1837164898650996</v>
      </c>
      <c r="BJ62" s="45">
        <v>0.54066821428661449</v>
      </c>
      <c r="BK62" s="45">
        <v>4.5106589177790166</v>
      </c>
      <c r="BL62" s="45">
        <v>4.7059339442952632</v>
      </c>
      <c r="BM62" s="45">
        <v>11.940977566225994</v>
      </c>
      <c r="BN62" s="45">
        <v>1714.7300562814178</v>
      </c>
      <c r="BO62" s="45">
        <v>0</v>
      </c>
      <c r="BP62" s="45">
        <v>629.31319679049079</v>
      </c>
      <c r="BQ62" s="45">
        <v>0</v>
      </c>
      <c r="BR62" s="45">
        <v>0</v>
      </c>
      <c r="BS62" s="45">
        <v>0</v>
      </c>
      <c r="BT62" s="45">
        <v>0</v>
      </c>
      <c r="BU62" s="45">
        <v>0</v>
      </c>
      <c r="BV62" s="45">
        <v>0</v>
      </c>
      <c r="BW62" s="45">
        <v>234.40432530719087</v>
      </c>
      <c r="BX62" s="45">
        <v>663.77756382096027</v>
      </c>
      <c r="BY62" s="45"/>
      <c r="BZ62" s="45">
        <v>0</v>
      </c>
      <c r="CA62" s="45">
        <v>-83.592944891673298</v>
      </c>
      <c r="CB62" s="45">
        <v>2578.4475783790995</v>
      </c>
      <c r="CC62" s="45">
        <v>580.18461892928701</v>
      </c>
      <c r="CD62" s="199">
        <v>4.0104406481397747</v>
      </c>
      <c r="CE62" s="45">
        <v>-5.8354874044556055</v>
      </c>
      <c r="CF62" s="45">
        <v>33.964252313908865</v>
      </c>
      <c r="CG62" s="45">
        <v>0</v>
      </c>
      <c r="CH62" s="45">
        <v>33.964252313908865</v>
      </c>
      <c r="CI62" s="45">
        <v>1.6982047558881415</v>
      </c>
      <c r="CJ62" s="45">
        <v>0</v>
      </c>
      <c r="CK62" s="45">
        <v>1.6982047558881415</v>
      </c>
      <c r="CL62" s="45"/>
      <c r="CM62" s="45">
        <v>0</v>
      </c>
      <c r="CN62" s="45"/>
      <c r="CO62" s="45">
        <v>0</v>
      </c>
      <c r="CP62" s="45">
        <v>0</v>
      </c>
      <c r="CQ62" s="45">
        <v>0</v>
      </c>
      <c r="CR62" s="45">
        <v>0</v>
      </c>
      <c r="CS62" s="45">
        <v>0</v>
      </c>
      <c r="CT62" s="45">
        <v>0</v>
      </c>
      <c r="CU62" s="45">
        <v>219.16253596636892</v>
      </c>
      <c r="CV62" s="45">
        <v>9999</v>
      </c>
      <c r="CW62" s="200">
        <v>0</v>
      </c>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row>
    <row r="63" spans="1:131">
      <c r="A63" s="24" t="s">
        <v>428</v>
      </c>
      <c r="B63" s="24" t="s">
        <v>612</v>
      </c>
      <c r="C63" s="45">
        <v>16.279069767441861</v>
      </c>
      <c r="D63" s="45">
        <v>743.50510204081638</v>
      </c>
      <c r="E63" s="45">
        <v>0</v>
      </c>
      <c r="F63" s="45">
        <v>179.07824387962339</v>
      </c>
      <c r="G63" s="45">
        <v>0</v>
      </c>
      <c r="H63" s="45">
        <v>-35.766633955204988</v>
      </c>
      <c r="I63" s="45" t="s">
        <v>369</v>
      </c>
      <c r="J63" s="45"/>
      <c r="K63" s="45"/>
      <c r="L63" s="45">
        <v>841.23057955103127</v>
      </c>
      <c r="M63" s="45">
        <v>0.1966317209355842</v>
      </c>
      <c r="N63" s="45">
        <v>0.18655760999581042</v>
      </c>
      <c r="O63" s="45">
        <v>0</v>
      </c>
      <c r="P63" s="45">
        <v>0</v>
      </c>
      <c r="Q63" s="45">
        <v>0</v>
      </c>
      <c r="R63" s="45">
        <v>35.710594046706774</v>
      </c>
      <c r="S63" s="45">
        <v>8.8416162097763387</v>
      </c>
      <c r="T63" s="45">
        <v>73.763380110718884</v>
      </c>
      <c r="U63" s="45">
        <v>105.09155599200004</v>
      </c>
      <c r="V63" s="45" t="s">
        <v>609</v>
      </c>
      <c r="W63" s="45" t="s">
        <v>609</v>
      </c>
      <c r="X63" s="45" t="s">
        <v>609</v>
      </c>
      <c r="Y63" s="45" t="s">
        <v>609</v>
      </c>
      <c r="Z63" s="45">
        <v>0</v>
      </c>
      <c r="AA63" s="45">
        <v>0</v>
      </c>
      <c r="AB63" s="45">
        <v>0</v>
      </c>
      <c r="AC63" s="45">
        <v>0</v>
      </c>
      <c r="AD63" s="45">
        <v>0</v>
      </c>
      <c r="AE63" s="45">
        <v>0</v>
      </c>
      <c r="AF63" s="45">
        <v>0</v>
      </c>
      <c r="AG63" s="45">
        <v>-35.766633955204988</v>
      </c>
      <c r="AH63" s="45">
        <v>35.710594046706774</v>
      </c>
      <c r="AI63" s="45">
        <v>8.8416162097763387</v>
      </c>
      <c r="AJ63" s="45">
        <v>73.763380110718884</v>
      </c>
      <c r="AK63" s="45">
        <v>69.324922036795044</v>
      </c>
      <c r="AL63" s="45">
        <v>187.64051240399704</v>
      </c>
      <c r="AM63" s="45">
        <v>403.4728987528805</v>
      </c>
      <c r="AN63" s="45">
        <v>69.479520689467293</v>
      </c>
      <c r="AO63" s="45">
        <v>47.295241944234782</v>
      </c>
      <c r="AP63" s="45">
        <v>0</v>
      </c>
      <c r="AQ63" s="45">
        <v>520.24766138658254</v>
      </c>
      <c r="AR63" s="45">
        <v>35.710594046706774</v>
      </c>
      <c r="AS63" s="199">
        <v>14.568440410320189</v>
      </c>
      <c r="AT63" s="45">
        <v>403.4728987528805</v>
      </c>
      <c r="AU63" s="45">
        <v>78.596742861388336</v>
      </c>
      <c r="AV63" s="45">
        <v>48.206964161426889</v>
      </c>
      <c r="AW63" s="45">
        <v>0</v>
      </c>
      <c r="AX63" s="45">
        <v>530.27660577569577</v>
      </c>
      <c r="AY63" s="45">
        <v>8.8416162097763387</v>
      </c>
      <c r="AZ63" s="199">
        <v>59.975076184528241</v>
      </c>
      <c r="BA63" s="45">
        <v>403.4728987528805</v>
      </c>
      <c r="BB63" s="45">
        <v>148.07626355085563</v>
      </c>
      <c r="BC63" s="45">
        <v>55.154916230373615</v>
      </c>
      <c r="BD63" s="45">
        <v>0</v>
      </c>
      <c r="BE63" s="45">
        <v>606.70407853410973</v>
      </c>
      <c r="BF63" s="45">
        <v>44.552210256483114</v>
      </c>
      <c r="BG63" s="45">
        <v>-13.879519601160291</v>
      </c>
      <c r="BH63" s="199">
        <v>13.617822214461825</v>
      </c>
      <c r="BI63" s="45">
        <v>3.1235764356476259</v>
      </c>
      <c r="BJ63" s="45">
        <v>0.77336893387368144</v>
      </c>
      <c r="BK63" s="45">
        <v>6.4520224901945662</v>
      </c>
      <c r="BL63" s="45">
        <v>6.063794194910944</v>
      </c>
      <c r="BM63" s="45">
        <v>16.412762054626818</v>
      </c>
      <c r="BN63" s="45">
        <v>403.4728987528805</v>
      </c>
      <c r="BO63" s="45">
        <v>0</v>
      </c>
      <c r="BP63" s="45">
        <v>148.07626355085563</v>
      </c>
      <c r="BQ63" s="45">
        <v>0</v>
      </c>
      <c r="BR63" s="45">
        <v>0</v>
      </c>
      <c r="BS63" s="45">
        <v>0</v>
      </c>
      <c r="BT63" s="45">
        <v>0</v>
      </c>
      <c r="BU63" s="45">
        <v>0</v>
      </c>
      <c r="BV63" s="45">
        <v>0</v>
      </c>
      <c r="BW63" s="45">
        <v>55.154916230373615</v>
      </c>
      <c r="BX63" s="45">
        <v>223.40714635920205</v>
      </c>
      <c r="BY63" s="45"/>
      <c r="BZ63" s="45">
        <v>0</v>
      </c>
      <c r="CA63" s="45">
        <v>-35.766633955204988</v>
      </c>
      <c r="CB63" s="45">
        <v>606.70407853410973</v>
      </c>
      <c r="CC63" s="45">
        <v>187.64051240399706</v>
      </c>
      <c r="CD63" s="199">
        <v>2.8757840693973469</v>
      </c>
      <c r="CE63" s="45">
        <v>-1.3637029160547847</v>
      </c>
      <c r="CF63" s="45">
        <v>7.991727493705282</v>
      </c>
      <c r="CG63" s="45">
        <v>0</v>
      </c>
      <c r="CH63" s="45">
        <v>7.991727493705282</v>
      </c>
      <c r="CI63" s="45">
        <v>0.39958452528673977</v>
      </c>
      <c r="CJ63" s="45">
        <v>0</v>
      </c>
      <c r="CK63" s="45">
        <v>0.39958452528673977</v>
      </c>
      <c r="CL63" s="45"/>
      <c r="CM63" s="45">
        <v>0</v>
      </c>
      <c r="CN63" s="45"/>
      <c r="CO63" s="45">
        <v>0</v>
      </c>
      <c r="CP63" s="45">
        <v>0</v>
      </c>
      <c r="CQ63" s="45">
        <v>0</v>
      </c>
      <c r="CR63" s="45">
        <v>0</v>
      </c>
      <c r="CS63" s="45">
        <v>0</v>
      </c>
      <c r="CT63" s="45">
        <v>0</v>
      </c>
      <c r="CU63" s="45">
        <v>73.763380110718884</v>
      </c>
      <c r="CV63" s="45">
        <v>9999</v>
      </c>
      <c r="CW63" s="200">
        <v>0</v>
      </c>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row>
    <row r="64" spans="1:131">
      <c r="A64" s="24" t="s">
        <v>430</v>
      </c>
      <c r="B64" s="24" t="s">
        <v>613</v>
      </c>
      <c r="C64" s="45">
        <v>16.279069767441861</v>
      </c>
      <c r="D64" s="45">
        <v>1298.0734693877553</v>
      </c>
      <c r="E64" s="45">
        <v>0</v>
      </c>
      <c r="F64" s="45">
        <v>338.08982109258011</v>
      </c>
      <c r="G64" s="45">
        <v>0</v>
      </c>
      <c r="H64" s="45">
        <v>-78.170699817618811</v>
      </c>
      <c r="I64" s="45" t="s">
        <v>369</v>
      </c>
      <c r="J64" s="45"/>
      <c r="K64" s="45"/>
      <c r="L64" s="45">
        <v>1468.6907917047924</v>
      </c>
      <c r="M64" s="45">
        <v>0.34329612464787984</v>
      </c>
      <c r="N64" s="45">
        <v>0.32570789814789353</v>
      </c>
      <c r="O64" s="45">
        <v>0</v>
      </c>
      <c r="P64" s="45">
        <v>0</v>
      </c>
      <c r="Q64" s="45">
        <v>0</v>
      </c>
      <c r="R64" s="45">
        <v>67.419626699469944</v>
      </c>
      <c r="S64" s="45">
        <v>16.692482446622179</v>
      </c>
      <c r="T64" s="45">
        <v>139.26118240013969</v>
      </c>
      <c r="U64" s="45">
        <v>198.40704595897046</v>
      </c>
      <c r="V64" s="45" t="s">
        <v>609</v>
      </c>
      <c r="W64" s="45" t="s">
        <v>609</v>
      </c>
      <c r="X64" s="45" t="s">
        <v>609</v>
      </c>
      <c r="Y64" s="45" t="s">
        <v>609</v>
      </c>
      <c r="Z64" s="45">
        <v>0</v>
      </c>
      <c r="AA64" s="45">
        <v>0</v>
      </c>
      <c r="AB64" s="45">
        <v>0</v>
      </c>
      <c r="AC64" s="45">
        <v>0</v>
      </c>
      <c r="AD64" s="45">
        <v>0</v>
      </c>
      <c r="AE64" s="45">
        <v>0</v>
      </c>
      <c r="AF64" s="45">
        <v>0</v>
      </c>
      <c r="AG64" s="45">
        <v>-78.170699817618811</v>
      </c>
      <c r="AH64" s="45">
        <v>67.419626699469944</v>
      </c>
      <c r="AI64" s="45">
        <v>16.692482446622179</v>
      </c>
      <c r="AJ64" s="45">
        <v>139.26118240013969</v>
      </c>
      <c r="AK64" s="45">
        <v>120.23634614135165</v>
      </c>
      <c r="AL64" s="45">
        <v>343.60963768758347</v>
      </c>
      <c r="AM64" s="45">
        <v>704.4167740752556</v>
      </c>
      <c r="AN64" s="45">
        <v>121.30316554011218</v>
      </c>
      <c r="AO64" s="45">
        <v>82.571993961536776</v>
      </c>
      <c r="AP64" s="45">
        <v>0</v>
      </c>
      <c r="AQ64" s="45">
        <v>908.29193357690463</v>
      </c>
      <c r="AR64" s="45">
        <v>67.419626699469944</v>
      </c>
      <c r="AS64" s="199">
        <v>13.472218373823265</v>
      </c>
      <c r="AT64" s="45">
        <v>704.4167740752556</v>
      </c>
      <c r="AU64" s="45">
        <v>137.22077549786442</v>
      </c>
      <c r="AV64" s="45">
        <v>84.163754957312008</v>
      </c>
      <c r="AW64" s="45">
        <v>0</v>
      </c>
      <c r="AX64" s="45">
        <v>925.80130453043205</v>
      </c>
      <c r="AY64" s="45">
        <v>16.692482446622179</v>
      </c>
      <c r="AZ64" s="199">
        <v>55.462170320734607</v>
      </c>
      <c r="BA64" s="45">
        <v>704.4167740752556</v>
      </c>
      <c r="BB64" s="45">
        <v>258.52394103797661</v>
      </c>
      <c r="BC64" s="45">
        <v>96.294071511323224</v>
      </c>
      <c r="BD64" s="45">
        <v>0</v>
      </c>
      <c r="BE64" s="45">
        <v>1059.2347866245555</v>
      </c>
      <c r="BF64" s="45">
        <v>84.112109146092124</v>
      </c>
      <c r="BG64" s="45">
        <v>-13.562428735308961</v>
      </c>
      <c r="BH64" s="199">
        <v>12.593130732042377</v>
      </c>
      <c r="BI64" s="45">
        <v>3.3777389815942214</v>
      </c>
      <c r="BJ64" s="45">
        <v>0.83629725377842101</v>
      </c>
      <c r="BK64" s="45">
        <v>6.9770176348299655</v>
      </c>
      <c r="BL64" s="45">
        <v>6.0238689124823113</v>
      </c>
      <c r="BM64" s="45">
        <v>17.214922782684919</v>
      </c>
      <c r="BN64" s="45">
        <v>704.4167740752556</v>
      </c>
      <c r="BO64" s="45">
        <v>0</v>
      </c>
      <c r="BP64" s="45">
        <v>258.52394103797661</v>
      </c>
      <c r="BQ64" s="45">
        <v>0</v>
      </c>
      <c r="BR64" s="45">
        <v>0</v>
      </c>
      <c r="BS64" s="45">
        <v>0</v>
      </c>
      <c r="BT64" s="45">
        <v>0</v>
      </c>
      <c r="BU64" s="45">
        <v>0</v>
      </c>
      <c r="BV64" s="45">
        <v>0</v>
      </c>
      <c r="BW64" s="45">
        <v>96.294071511323224</v>
      </c>
      <c r="BX64" s="45">
        <v>421.78033750520228</v>
      </c>
      <c r="BY64" s="45"/>
      <c r="BZ64" s="45">
        <v>0</v>
      </c>
      <c r="CA64" s="45">
        <v>-78.170699817618811</v>
      </c>
      <c r="CB64" s="45">
        <v>1059.2347866245555</v>
      </c>
      <c r="CC64" s="45">
        <v>343.60963768758347</v>
      </c>
      <c r="CD64" s="199">
        <v>2.6966773585744623</v>
      </c>
      <c r="CE64" s="45">
        <v>-0.56154218799668632</v>
      </c>
      <c r="CF64" s="45">
        <v>13.952627097891837</v>
      </c>
      <c r="CG64" s="45">
        <v>0</v>
      </c>
      <c r="CH64" s="45">
        <v>13.952627097891837</v>
      </c>
      <c r="CI64" s="45">
        <v>0.69762812605977631</v>
      </c>
      <c r="CJ64" s="45">
        <v>0</v>
      </c>
      <c r="CK64" s="45">
        <v>0.69762812605977631</v>
      </c>
      <c r="CL64" s="45"/>
      <c r="CM64" s="45">
        <v>0</v>
      </c>
      <c r="CN64" s="45"/>
      <c r="CO64" s="45">
        <v>0</v>
      </c>
      <c r="CP64" s="45">
        <v>0</v>
      </c>
      <c r="CQ64" s="45">
        <v>0</v>
      </c>
      <c r="CR64" s="45">
        <v>0</v>
      </c>
      <c r="CS64" s="45">
        <v>0</v>
      </c>
      <c r="CT64" s="45">
        <v>0</v>
      </c>
      <c r="CU64" s="45">
        <v>139.26118240013969</v>
      </c>
      <c r="CV64" s="45">
        <v>9999</v>
      </c>
      <c r="CW64" s="200">
        <v>0</v>
      </c>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row>
    <row r="65" spans="1:131">
      <c r="A65" s="24" t="s">
        <v>434</v>
      </c>
      <c r="B65" s="24" t="s">
        <v>614</v>
      </c>
      <c r="C65" s="45">
        <v>16.279069767441861</v>
      </c>
      <c r="D65" s="45">
        <v>3159.841836734694</v>
      </c>
      <c r="E65" s="45">
        <v>0</v>
      </c>
      <c r="F65" s="45">
        <v>984.136129944407</v>
      </c>
      <c r="G65" s="45">
        <v>0</v>
      </c>
      <c r="H65" s="45">
        <v>-83.592944891673298</v>
      </c>
      <c r="I65" s="45" t="s">
        <v>369</v>
      </c>
      <c r="J65" s="45"/>
      <c r="K65" s="45"/>
      <c r="L65" s="45">
        <v>3575.1679071329308</v>
      </c>
      <c r="M65" s="45">
        <v>0.83567030883305371</v>
      </c>
      <c r="N65" s="45">
        <v>0.79285608048676826</v>
      </c>
      <c r="O65" s="45">
        <v>0</v>
      </c>
      <c r="P65" s="45">
        <v>0</v>
      </c>
      <c r="Q65" s="45">
        <v>0</v>
      </c>
      <c r="R65" s="45">
        <v>196.24989089554438</v>
      </c>
      <c r="S65" s="45">
        <v>48.589676616396147</v>
      </c>
      <c r="T65" s="45">
        <v>405.37145027275545</v>
      </c>
      <c r="U65" s="45">
        <v>577.53747726789697</v>
      </c>
      <c r="V65" s="45" t="s">
        <v>609</v>
      </c>
      <c r="W65" s="45" t="s">
        <v>609</v>
      </c>
      <c r="X65" s="45" t="s">
        <v>609</v>
      </c>
      <c r="Y65" s="45" t="s">
        <v>609</v>
      </c>
      <c r="Z65" s="45">
        <v>0</v>
      </c>
      <c r="AA65" s="45">
        <v>0</v>
      </c>
      <c r="AB65" s="45">
        <v>0</v>
      </c>
      <c r="AC65" s="45">
        <v>0</v>
      </c>
      <c r="AD65" s="45">
        <v>0</v>
      </c>
      <c r="AE65" s="45">
        <v>0</v>
      </c>
      <c r="AF65" s="45">
        <v>0</v>
      </c>
      <c r="AG65" s="45">
        <v>-83.592944891673298</v>
      </c>
      <c r="AH65" s="45">
        <v>196.24989089554438</v>
      </c>
      <c r="AI65" s="45">
        <v>48.589676616396147</v>
      </c>
      <c r="AJ65" s="45">
        <v>405.37145027275545</v>
      </c>
      <c r="AK65" s="45">
        <v>493.94453237622366</v>
      </c>
      <c r="AL65" s="45">
        <v>1144.1555501609196</v>
      </c>
      <c r="AM65" s="45">
        <v>1714.7300562814178</v>
      </c>
      <c r="AN65" s="45">
        <v>295.28283755986934</v>
      </c>
      <c r="AO65" s="45">
        <v>201.00128938412871</v>
      </c>
      <c r="AP65" s="45">
        <v>0</v>
      </c>
      <c r="AQ65" s="45">
        <v>2211.0141832254158</v>
      </c>
      <c r="AR65" s="45">
        <v>196.24989089554438</v>
      </c>
      <c r="AS65" s="199">
        <v>11.266320572897778</v>
      </c>
      <c r="AT65" s="45">
        <v>1714.7300562814178</v>
      </c>
      <c r="AU65" s="45">
        <v>334.0303592306214</v>
      </c>
      <c r="AV65" s="45">
        <v>204.87604155120394</v>
      </c>
      <c r="AW65" s="45">
        <v>0</v>
      </c>
      <c r="AX65" s="45">
        <v>2253.6364570632431</v>
      </c>
      <c r="AY65" s="45">
        <v>48.589676616396147</v>
      </c>
      <c r="AZ65" s="199">
        <v>46.380972543924564</v>
      </c>
      <c r="BA65" s="45">
        <v>1714.7300562814178</v>
      </c>
      <c r="BB65" s="45">
        <v>629.31319679049079</v>
      </c>
      <c r="BC65" s="45">
        <v>234.40432530719087</v>
      </c>
      <c r="BD65" s="45">
        <v>0</v>
      </c>
      <c r="BE65" s="45">
        <v>2578.4475783790995</v>
      </c>
      <c r="BF65" s="45">
        <v>244.83956751194052</v>
      </c>
      <c r="BG65" s="45">
        <v>-12.737338307206764</v>
      </c>
      <c r="BH65" s="199">
        <v>10.531171920377419</v>
      </c>
      <c r="BI65" s="45">
        <v>4.0390859531621093</v>
      </c>
      <c r="BJ65" s="45">
        <v>1.0000407103127253</v>
      </c>
      <c r="BK65" s="45">
        <v>8.3430881063833127</v>
      </c>
      <c r="BL65" s="45">
        <v>10.166040924954867</v>
      </c>
      <c r="BM65" s="45">
        <v>23.548255694813012</v>
      </c>
      <c r="BN65" s="45">
        <v>1714.7300562814178</v>
      </c>
      <c r="BO65" s="45">
        <v>0</v>
      </c>
      <c r="BP65" s="45">
        <v>629.31319679049079</v>
      </c>
      <c r="BQ65" s="45">
        <v>0</v>
      </c>
      <c r="BR65" s="45">
        <v>0</v>
      </c>
      <c r="BS65" s="45">
        <v>0</v>
      </c>
      <c r="BT65" s="45">
        <v>0</v>
      </c>
      <c r="BU65" s="45">
        <v>0</v>
      </c>
      <c r="BV65" s="45">
        <v>0</v>
      </c>
      <c r="BW65" s="45">
        <v>234.40432530719087</v>
      </c>
      <c r="BX65" s="45">
        <v>1227.7484950525929</v>
      </c>
      <c r="BY65" s="45"/>
      <c r="BZ65" s="45">
        <v>0</v>
      </c>
      <c r="CA65" s="45">
        <v>-83.592944891673298</v>
      </c>
      <c r="CB65" s="45">
        <v>2578.4475783790995</v>
      </c>
      <c r="CC65" s="45">
        <v>1144.1555501609196</v>
      </c>
      <c r="CD65" s="199">
        <v>2.1682295144305912</v>
      </c>
      <c r="CE65" s="45">
        <v>5.7717907241314164</v>
      </c>
      <c r="CF65" s="45">
        <v>33.964252313908865</v>
      </c>
      <c r="CG65" s="45">
        <v>0</v>
      </c>
      <c r="CH65" s="45">
        <v>33.964252313908865</v>
      </c>
      <c r="CI65" s="45">
        <v>1.6982047558881415</v>
      </c>
      <c r="CJ65" s="45">
        <v>0</v>
      </c>
      <c r="CK65" s="45">
        <v>1.6982047558881415</v>
      </c>
      <c r="CL65" s="45"/>
      <c r="CM65" s="45">
        <v>0</v>
      </c>
      <c r="CN65" s="45"/>
      <c r="CO65" s="45">
        <v>0</v>
      </c>
      <c r="CP65" s="45">
        <v>0</v>
      </c>
      <c r="CQ65" s="45">
        <v>0</v>
      </c>
      <c r="CR65" s="45">
        <v>0</v>
      </c>
      <c r="CS65" s="45">
        <v>0</v>
      </c>
      <c r="CT65" s="45">
        <v>0</v>
      </c>
      <c r="CU65" s="45">
        <v>405.37145027275545</v>
      </c>
      <c r="CV65" s="45">
        <v>9999</v>
      </c>
      <c r="CW65" s="200">
        <v>0</v>
      </c>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row>
    <row r="66" spans="1:131">
      <c r="A66" s="24" t="s">
        <v>432</v>
      </c>
      <c r="B66" s="24" t="s">
        <v>615</v>
      </c>
      <c r="C66" s="45">
        <v>16.279069767441861</v>
      </c>
      <c r="D66" s="45">
        <v>743.50510204081638</v>
      </c>
      <c r="E66" s="45">
        <v>0</v>
      </c>
      <c r="F66" s="45">
        <v>204.91157721295673</v>
      </c>
      <c r="G66" s="45">
        <v>0</v>
      </c>
      <c r="H66" s="45">
        <v>-35.766633955204988</v>
      </c>
      <c r="I66" s="45" t="s">
        <v>369</v>
      </c>
      <c r="J66" s="45"/>
      <c r="K66" s="45"/>
      <c r="L66" s="45">
        <v>841.23057955103127</v>
      </c>
      <c r="M66" s="45">
        <v>0.1966317209355842</v>
      </c>
      <c r="N66" s="45">
        <v>0.18655760999581042</v>
      </c>
      <c r="O66" s="45">
        <v>0</v>
      </c>
      <c r="P66" s="45">
        <v>0</v>
      </c>
      <c r="Q66" s="45">
        <v>0</v>
      </c>
      <c r="R66" s="45">
        <v>40.862105808012885</v>
      </c>
      <c r="S66" s="45">
        <v>10.117083367618763</v>
      </c>
      <c r="T66" s="45">
        <v>84.404281790961448</v>
      </c>
      <c r="U66" s="45">
        <v>120.25177388136542</v>
      </c>
      <c r="V66" s="45" t="s">
        <v>609</v>
      </c>
      <c r="W66" s="45" t="s">
        <v>609</v>
      </c>
      <c r="X66" s="45" t="s">
        <v>609</v>
      </c>
      <c r="Y66" s="45" t="s">
        <v>609</v>
      </c>
      <c r="Z66" s="45">
        <v>0</v>
      </c>
      <c r="AA66" s="45">
        <v>0</v>
      </c>
      <c r="AB66" s="45">
        <v>0</v>
      </c>
      <c r="AC66" s="45">
        <v>0</v>
      </c>
      <c r="AD66" s="45">
        <v>0</v>
      </c>
      <c r="AE66" s="45">
        <v>0</v>
      </c>
      <c r="AF66" s="45">
        <v>0</v>
      </c>
      <c r="AG66" s="45">
        <v>-35.766633955204988</v>
      </c>
      <c r="AH66" s="45">
        <v>40.862105808012885</v>
      </c>
      <c r="AI66" s="45">
        <v>10.117083367618763</v>
      </c>
      <c r="AJ66" s="45">
        <v>84.404281790961448</v>
      </c>
      <c r="AK66" s="45">
        <v>84.485139926160429</v>
      </c>
      <c r="AL66" s="45">
        <v>219.86861089275354</v>
      </c>
      <c r="AM66" s="45">
        <v>403.4728987528805</v>
      </c>
      <c r="AN66" s="45">
        <v>69.479520689467293</v>
      </c>
      <c r="AO66" s="45">
        <v>47.295241944234782</v>
      </c>
      <c r="AP66" s="45">
        <v>0</v>
      </c>
      <c r="AQ66" s="45">
        <v>520.24766138658254</v>
      </c>
      <c r="AR66" s="45">
        <v>40.862105808012885</v>
      </c>
      <c r="AS66" s="199">
        <v>12.731787828824137</v>
      </c>
      <c r="AT66" s="45">
        <v>403.4728987528805</v>
      </c>
      <c r="AU66" s="45">
        <v>78.596742861388336</v>
      </c>
      <c r="AV66" s="45">
        <v>48.206964161426889</v>
      </c>
      <c r="AW66" s="45">
        <v>0</v>
      </c>
      <c r="AX66" s="45">
        <v>530.27660577569577</v>
      </c>
      <c r="AY66" s="45">
        <v>10.117083367618763</v>
      </c>
      <c r="AZ66" s="199">
        <v>52.413980048135741</v>
      </c>
      <c r="BA66" s="45">
        <v>403.4728987528805</v>
      </c>
      <c r="BB66" s="45">
        <v>148.07626355085563</v>
      </c>
      <c r="BC66" s="45">
        <v>55.154916230373615</v>
      </c>
      <c r="BD66" s="45">
        <v>0</v>
      </c>
      <c r="BE66" s="45">
        <v>606.70407853410973</v>
      </c>
      <c r="BF66" s="45">
        <v>50.979189175631646</v>
      </c>
      <c r="BG66" s="45">
        <v>-13.317357014954094</v>
      </c>
      <c r="BH66" s="199">
        <v>11.90101467569276</v>
      </c>
      <c r="BI66" s="45">
        <v>3.5741749534020877</v>
      </c>
      <c r="BJ66" s="45">
        <v>0.88493300232542016</v>
      </c>
      <c r="BK66" s="45">
        <v>7.3827734516312917</v>
      </c>
      <c r="BL66" s="45">
        <v>7.3898460465426945</v>
      </c>
      <c r="BM66" s="45">
        <v>19.231727453901495</v>
      </c>
      <c r="BN66" s="45">
        <v>403.4728987528805</v>
      </c>
      <c r="BO66" s="45">
        <v>0</v>
      </c>
      <c r="BP66" s="45">
        <v>148.07626355085563</v>
      </c>
      <c r="BQ66" s="45">
        <v>0</v>
      </c>
      <c r="BR66" s="45">
        <v>0</v>
      </c>
      <c r="BS66" s="45">
        <v>0</v>
      </c>
      <c r="BT66" s="45">
        <v>0</v>
      </c>
      <c r="BU66" s="45">
        <v>0</v>
      </c>
      <c r="BV66" s="45">
        <v>0</v>
      </c>
      <c r="BW66" s="45">
        <v>55.154916230373615</v>
      </c>
      <c r="BX66" s="45">
        <v>255.63524484795852</v>
      </c>
      <c r="BY66" s="45"/>
      <c r="BZ66" s="45">
        <v>0</v>
      </c>
      <c r="CA66" s="45">
        <v>-35.766633955204988</v>
      </c>
      <c r="CB66" s="45">
        <v>606.70407853410973</v>
      </c>
      <c r="CC66" s="45">
        <v>219.86861089275354</v>
      </c>
      <c r="CD66" s="199">
        <v>2.5132321361689787</v>
      </c>
      <c r="CE66" s="45">
        <v>1.4552624832198902</v>
      </c>
      <c r="CF66" s="45">
        <v>7.991727493705282</v>
      </c>
      <c r="CG66" s="45">
        <v>0</v>
      </c>
      <c r="CH66" s="45">
        <v>7.991727493705282</v>
      </c>
      <c r="CI66" s="45">
        <v>0.39958452528673977</v>
      </c>
      <c r="CJ66" s="45">
        <v>0</v>
      </c>
      <c r="CK66" s="45">
        <v>0.39958452528673977</v>
      </c>
      <c r="CL66" s="45"/>
      <c r="CM66" s="45">
        <v>0</v>
      </c>
      <c r="CN66" s="45"/>
      <c r="CO66" s="45">
        <v>0</v>
      </c>
      <c r="CP66" s="45">
        <v>0</v>
      </c>
      <c r="CQ66" s="45">
        <v>0</v>
      </c>
      <c r="CR66" s="45">
        <v>0</v>
      </c>
      <c r="CS66" s="45">
        <v>0</v>
      </c>
      <c r="CT66" s="45">
        <v>0</v>
      </c>
      <c r="CU66" s="45">
        <v>84.404281790961448</v>
      </c>
      <c r="CV66" s="45">
        <v>9999</v>
      </c>
      <c r="CW66" s="200">
        <v>0</v>
      </c>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row>
    <row r="67" spans="1:131">
      <c r="A67" s="24" t="s">
        <v>433</v>
      </c>
      <c r="B67" s="24" t="s">
        <v>616</v>
      </c>
      <c r="C67" s="45">
        <v>16.279069767441861</v>
      </c>
      <c r="D67" s="45">
        <v>1298.0734693877553</v>
      </c>
      <c r="E67" s="45">
        <v>0</v>
      </c>
      <c r="F67" s="45">
        <v>366.92315442591342</v>
      </c>
      <c r="G67" s="45">
        <v>0</v>
      </c>
      <c r="H67" s="45">
        <v>-78.170699817618811</v>
      </c>
      <c r="I67" s="45" t="s">
        <v>369</v>
      </c>
      <c r="J67" s="45"/>
      <c r="K67" s="45"/>
      <c r="L67" s="45">
        <v>1468.6907917047924</v>
      </c>
      <c r="M67" s="45">
        <v>0.34329612464787984</v>
      </c>
      <c r="N67" s="45">
        <v>0.32570789814789353</v>
      </c>
      <c r="O67" s="45">
        <v>0</v>
      </c>
      <c r="P67" s="45">
        <v>0</v>
      </c>
      <c r="Q67" s="45">
        <v>0</v>
      </c>
      <c r="R67" s="45">
        <v>73.169378536282579</v>
      </c>
      <c r="S67" s="45">
        <v>18.116068371181786</v>
      </c>
      <c r="T67" s="45">
        <v>151.13780169486202</v>
      </c>
      <c r="U67" s="45">
        <v>215.32780528064922</v>
      </c>
      <c r="V67" s="45" t="s">
        <v>609</v>
      </c>
      <c r="W67" s="45" t="s">
        <v>609</v>
      </c>
      <c r="X67" s="45" t="s">
        <v>609</v>
      </c>
      <c r="Y67" s="45" t="s">
        <v>609</v>
      </c>
      <c r="Z67" s="45">
        <v>0</v>
      </c>
      <c r="AA67" s="45">
        <v>0</v>
      </c>
      <c r="AB67" s="45">
        <v>0</v>
      </c>
      <c r="AC67" s="45">
        <v>0</v>
      </c>
      <c r="AD67" s="45">
        <v>0</v>
      </c>
      <c r="AE67" s="45">
        <v>0</v>
      </c>
      <c r="AF67" s="45">
        <v>0</v>
      </c>
      <c r="AG67" s="45">
        <v>-78.170699817618811</v>
      </c>
      <c r="AH67" s="45">
        <v>73.169378536282579</v>
      </c>
      <c r="AI67" s="45">
        <v>18.116068371181786</v>
      </c>
      <c r="AJ67" s="45">
        <v>151.13780169486202</v>
      </c>
      <c r="AK67" s="45">
        <v>137.1571054630304</v>
      </c>
      <c r="AL67" s="45">
        <v>379.5803540653568</v>
      </c>
      <c r="AM67" s="45">
        <v>704.4167740752556</v>
      </c>
      <c r="AN67" s="45">
        <v>121.30316554011218</v>
      </c>
      <c r="AO67" s="45">
        <v>82.571993961536776</v>
      </c>
      <c r="AP67" s="45">
        <v>0</v>
      </c>
      <c r="AQ67" s="45">
        <v>908.29193357690463</v>
      </c>
      <c r="AR67" s="45">
        <v>73.169378536282579</v>
      </c>
      <c r="AS67" s="199">
        <v>12.413552660236261</v>
      </c>
      <c r="AT67" s="45">
        <v>704.4167740752556</v>
      </c>
      <c r="AU67" s="45">
        <v>137.22077549786442</v>
      </c>
      <c r="AV67" s="45">
        <v>84.163754957312008</v>
      </c>
      <c r="AW67" s="45">
        <v>0</v>
      </c>
      <c r="AX67" s="45">
        <v>925.80130453043205</v>
      </c>
      <c r="AY67" s="45">
        <v>18.116068371181786</v>
      </c>
      <c r="AZ67" s="199">
        <v>51.103875607091133</v>
      </c>
      <c r="BA67" s="45">
        <v>704.4167740752556</v>
      </c>
      <c r="BB67" s="45">
        <v>258.52394103797661</v>
      </c>
      <c r="BC67" s="45">
        <v>96.294071511323224</v>
      </c>
      <c r="BD67" s="45">
        <v>0</v>
      </c>
      <c r="BE67" s="45">
        <v>1059.2347866245555</v>
      </c>
      <c r="BF67" s="45">
        <v>91.285446907464362</v>
      </c>
      <c r="BG67" s="45">
        <v>-13.203042844717563</v>
      </c>
      <c r="BH67" s="199">
        <v>11.603544951675559</v>
      </c>
      <c r="BI67" s="45">
        <v>3.6658028861937955</v>
      </c>
      <c r="BJ67" s="45">
        <v>0.9076192397702485</v>
      </c>
      <c r="BK67" s="45">
        <v>7.5720390243751714</v>
      </c>
      <c r="BL67" s="45">
        <v>6.8716028908055327</v>
      </c>
      <c r="BM67" s="45">
        <v>19.017064041144749</v>
      </c>
      <c r="BN67" s="45">
        <v>704.4167740752556</v>
      </c>
      <c r="BO67" s="45">
        <v>0</v>
      </c>
      <c r="BP67" s="45">
        <v>258.52394103797661</v>
      </c>
      <c r="BQ67" s="45">
        <v>0</v>
      </c>
      <c r="BR67" s="45">
        <v>0</v>
      </c>
      <c r="BS67" s="45">
        <v>0</v>
      </c>
      <c r="BT67" s="45">
        <v>0</v>
      </c>
      <c r="BU67" s="45">
        <v>0</v>
      </c>
      <c r="BV67" s="45">
        <v>0</v>
      </c>
      <c r="BW67" s="45">
        <v>96.294071511323224</v>
      </c>
      <c r="BX67" s="45">
        <v>457.75105388297561</v>
      </c>
      <c r="BY67" s="45"/>
      <c r="BZ67" s="45">
        <v>0</v>
      </c>
      <c r="CA67" s="45">
        <v>-78.170699817618811</v>
      </c>
      <c r="CB67" s="45">
        <v>1059.2347866245555</v>
      </c>
      <c r="CC67" s="45">
        <v>379.5803540653568</v>
      </c>
      <c r="CD67" s="199">
        <v>2.4847686898672934</v>
      </c>
      <c r="CE67" s="45">
        <v>1.2405990704631431</v>
      </c>
      <c r="CF67" s="45">
        <v>13.952627097891837</v>
      </c>
      <c r="CG67" s="45">
        <v>0</v>
      </c>
      <c r="CH67" s="45">
        <v>13.952627097891837</v>
      </c>
      <c r="CI67" s="45">
        <v>0.69762812605977631</v>
      </c>
      <c r="CJ67" s="45">
        <v>0</v>
      </c>
      <c r="CK67" s="45">
        <v>0.69762812605977631</v>
      </c>
      <c r="CL67" s="45"/>
      <c r="CM67" s="45">
        <v>0</v>
      </c>
      <c r="CN67" s="45"/>
      <c r="CO67" s="45">
        <v>0</v>
      </c>
      <c r="CP67" s="45">
        <v>0</v>
      </c>
      <c r="CQ67" s="45">
        <v>0</v>
      </c>
      <c r="CR67" s="45">
        <v>0</v>
      </c>
      <c r="CS67" s="45">
        <v>0</v>
      </c>
      <c r="CT67" s="45">
        <v>0</v>
      </c>
      <c r="CU67" s="45">
        <v>151.13780169486202</v>
      </c>
      <c r="CV67" s="45">
        <v>9999</v>
      </c>
      <c r="CW67" s="200">
        <v>0</v>
      </c>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row>
    <row r="68" spans="1:131">
      <c r="A68" s="24" t="s">
        <v>435</v>
      </c>
      <c r="B68" s="24" t="s">
        <v>617</v>
      </c>
      <c r="C68" s="45">
        <v>16.279069767441861</v>
      </c>
      <c r="D68" s="45">
        <v>3159.841836734694</v>
      </c>
      <c r="E68" s="45">
        <v>0</v>
      </c>
      <c r="F68" s="45">
        <v>1014.9694632777404</v>
      </c>
      <c r="G68" s="45">
        <v>0</v>
      </c>
      <c r="H68" s="45">
        <v>-83.592944891673298</v>
      </c>
      <c r="I68" s="45" t="s">
        <v>369</v>
      </c>
      <c r="J68" s="45"/>
      <c r="K68" s="45"/>
      <c r="L68" s="45">
        <v>3575.1679071329308</v>
      </c>
      <c r="M68" s="45">
        <v>0.83567030883305371</v>
      </c>
      <c r="N68" s="45">
        <v>0.79285608048676826</v>
      </c>
      <c r="O68" s="45">
        <v>0</v>
      </c>
      <c r="P68" s="45">
        <v>0</v>
      </c>
      <c r="Q68" s="45">
        <v>0</v>
      </c>
      <c r="R68" s="45">
        <v>202.39846944936139</v>
      </c>
      <c r="S68" s="45">
        <v>50.112008385433882</v>
      </c>
      <c r="T68" s="45">
        <v>418.07188131046433</v>
      </c>
      <c r="U68" s="45">
        <v>595.63193087778461</v>
      </c>
      <c r="V68" s="45" t="s">
        <v>609</v>
      </c>
      <c r="W68" s="45" t="s">
        <v>609</v>
      </c>
      <c r="X68" s="45" t="s">
        <v>609</v>
      </c>
      <c r="Y68" s="45" t="s">
        <v>609</v>
      </c>
      <c r="Z68" s="45">
        <v>0</v>
      </c>
      <c r="AA68" s="45">
        <v>0</v>
      </c>
      <c r="AB68" s="45">
        <v>0</v>
      </c>
      <c r="AC68" s="45">
        <v>0</v>
      </c>
      <c r="AD68" s="45">
        <v>0</v>
      </c>
      <c r="AE68" s="45">
        <v>0</v>
      </c>
      <c r="AF68" s="45">
        <v>0</v>
      </c>
      <c r="AG68" s="45">
        <v>-83.592944891673298</v>
      </c>
      <c r="AH68" s="45">
        <v>202.39846944936139</v>
      </c>
      <c r="AI68" s="45">
        <v>50.112008385433882</v>
      </c>
      <c r="AJ68" s="45">
        <v>418.07188131046433</v>
      </c>
      <c r="AK68" s="45">
        <v>512.03898598611136</v>
      </c>
      <c r="AL68" s="45">
        <v>1182.6213451313708</v>
      </c>
      <c r="AM68" s="45">
        <v>1714.7300562814178</v>
      </c>
      <c r="AN68" s="45">
        <v>295.28283755986934</v>
      </c>
      <c r="AO68" s="45">
        <v>201.00128938412871</v>
      </c>
      <c r="AP68" s="45">
        <v>0</v>
      </c>
      <c r="AQ68" s="45">
        <v>2211.0141832254158</v>
      </c>
      <c r="AR68" s="45">
        <v>202.39846944936139</v>
      </c>
      <c r="AS68" s="199">
        <v>10.924065726586907</v>
      </c>
      <c r="AT68" s="45">
        <v>1714.7300562814178</v>
      </c>
      <c r="AU68" s="45">
        <v>334.0303592306214</v>
      </c>
      <c r="AV68" s="45">
        <v>204.87604155120394</v>
      </c>
      <c r="AW68" s="45">
        <v>0</v>
      </c>
      <c r="AX68" s="45">
        <v>2253.6364570632431</v>
      </c>
      <c r="AY68" s="45">
        <v>50.112008385433882</v>
      </c>
      <c r="AZ68" s="199">
        <v>44.971984354119606</v>
      </c>
      <c r="BA68" s="45">
        <v>1714.7300562814178</v>
      </c>
      <c r="BB68" s="45">
        <v>629.31319679049079</v>
      </c>
      <c r="BC68" s="45">
        <v>234.40432530719087</v>
      </c>
      <c r="BD68" s="45">
        <v>0</v>
      </c>
      <c r="BE68" s="45">
        <v>2578.4475783790995</v>
      </c>
      <c r="BF68" s="45">
        <v>252.51047783479527</v>
      </c>
      <c r="BG68" s="45">
        <v>-12.579460684999569</v>
      </c>
      <c r="BH68" s="199">
        <v>10.211249847881744</v>
      </c>
      <c r="BI68" s="45">
        <v>4.1656319459028364</v>
      </c>
      <c r="BJ68" s="45">
        <v>1.0313723397791872</v>
      </c>
      <c r="BK68" s="45">
        <v>8.6044800101924093</v>
      </c>
      <c r="BL68" s="45">
        <v>10.538449047437547</v>
      </c>
      <c r="BM68" s="45">
        <v>24.33993334331198</v>
      </c>
      <c r="BN68" s="45">
        <v>1714.7300562814178</v>
      </c>
      <c r="BO68" s="45">
        <v>0</v>
      </c>
      <c r="BP68" s="45">
        <v>629.31319679049079</v>
      </c>
      <c r="BQ68" s="45">
        <v>0</v>
      </c>
      <c r="BR68" s="45">
        <v>0</v>
      </c>
      <c r="BS68" s="45">
        <v>0</v>
      </c>
      <c r="BT68" s="45">
        <v>0</v>
      </c>
      <c r="BU68" s="45">
        <v>0</v>
      </c>
      <c r="BV68" s="45">
        <v>0</v>
      </c>
      <c r="BW68" s="45">
        <v>234.40432530719087</v>
      </c>
      <c r="BX68" s="45">
        <v>1266.2142900230442</v>
      </c>
      <c r="BY68" s="45"/>
      <c r="BZ68" s="45">
        <v>0</v>
      </c>
      <c r="CA68" s="45">
        <v>-83.592944891673298</v>
      </c>
      <c r="CB68" s="45">
        <v>2578.4475783790995</v>
      </c>
      <c r="CC68" s="45">
        <v>1182.6213451313708</v>
      </c>
      <c r="CD68" s="199">
        <v>2.1023617757641366</v>
      </c>
      <c r="CE68" s="45">
        <v>6.5634683726303837</v>
      </c>
      <c r="CF68" s="45">
        <v>33.964252313908865</v>
      </c>
      <c r="CG68" s="45">
        <v>0</v>
      </c>
      <c r="CH68" s="45">
        <v>33.964252313908865</v>
      </c>
      <c r="CI68" s="45">
        <v>1.6982047558881415</v>
      </c>
      <c r="CJ68" s="45">
        <v>0</v>
      </c>
      <c r="CK68" s="45">
        <v>1.6982047558881415</v>
      </c>
      <c r="CL68" s="45"/>
      <c r="CM68" s="45">
        <v>0</v>
      </c>
      <c r="CN68" s="45"/>
      <c r="CO68" s="45">
        <v>0</v>
      </c>
      <c r="CP68" s="45">
        <v>0</v>
      </c>
      <c r="CQ68" s="45">
        <v>0</v>
      </c>
      <c r="CR68" s="45">
        <v>0</v>
      </c>
      <c r="CS68" s="45">
        <v>0</v>
      </c>
      <c r="CT68" s="45">
        <v>0</v>
      </c>
      <c r="CU68" s="45">
        <v>418.07188131046433</v>
      </c>
      <c r="CV68" s="45">
        <v>9999</v>
      </c>
      <c r="CW68" s="200">
        <v>0</v>
      </c>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row>
    <row r="69" spans="1:131">
      <c r="A69" s="24" t="s">
        <v>416</v>
      </c>
      <c r="B69" s="24" t="s">
        <v>618</v>
      </c>
      <c r="C69" s="45">
        <v>16.744186046511629</v>
      </c>
      <c r="D69" s="45">
        <v>649.36581632653053</v>
      </c>
      <c r="E69" s="45">
        <v>0</v>
      </c>
      <c r="F69" s="45">
        <v>7.3019593555087283</v>
      </c>
      <c r="G69" s="45">
        <v>0</v>
      </c>
      <c r="H69" s="45">
        <v>-57.917727227432479</v>
      </c>
      <c r="I69" s="45" t="s">
        <v>369</v>
      </c>
      <c r="J69" s="45"/>
      <c r="K69" s="45"/>
      <c r="L69" s="45">
        <v>734.71773160610712</v>
      </c>
      <c r="M69" s="45">
        <v>0.17173509318301433</v>
      </c>
      <c r="N69" s="45">
        <v>0.16293652104650316</v>
      </c>
      <c r="O69" s="45">
        <v>0</v>
      </c>
      <c r="P69" s="45">
        <v>0</v>
      </c>
      <c r="Q69" s="45">
        <v>0</v>
      </c>
      <c r="R69" s="45">
        <v>1.4561082387283526</v>
      </c>
      <c r="S69" s="45">
        <v>0.36051907145232021</v>
      </c>
      <c r="T69" s="45">
        <v>3.0077199319391883</v>
      </c>
      <c r="U69" s="45">
        <v>4.0901416400804571</v>
      </c>
      <c r="V69" s="45" t="s">
        <v>609</v>
      </c>
      <c r="W69" s="45" t="s">
        <v>609</v>
      </c>
      <c r="X69" s="45" t="s">
        <v>609</v>
      </c>
      <c r="Y69" s="45" t="s">
        <v>609</v>
      </c>
      <c r="Z69" s="45">
        <v>0</v>
      </c>
      <c r="AA69" s="45">
        <v>0</v>
      </c>
      <c r="AB69" s="45">
        <v>0</v>
      </c>
      <c r="AC69" s="45">
        <v>0</v>
      </c>
      <c r="AD69" s="45">
        <v>0</v>
      </c>
      <c r="AE69" s="45">
        <v>0</v>
      </c>
      <c r="AF69" s="45">
        <v>0</v>
      </c>
      <c r="AG69" s="45">
        <v>-57.917727227432479</v>
      </c>
      <c r="AH69" s="45">
        <v>1.4561082387283526</v>
      </c>
      <c r="AI69" s="45">
        <v>0.36051907145232021</v>
      </c>
      <c r="AJ69" s="45">
        <v>3.0077199319391883</v>
      </c>
      <c r="AK69" s="45">
        <v>-53.827585587352019</v>
      </c>
      <c r="AL69" s="45">
        <v>-49.003238345232162</v>
      </c>
      <c r="AM69" s="45">
        <v>352.38696754755102</v>
      </c>
      <c r="AN69" s="45">
        <v>60.682334992255591</v>
      </c>
      <c r="AO69" s="45">
        <v>41.306930253980667</v>
      </c>
      <c r="AP69" s="45">
        <v>0</v>
      </c>
      <c r="AQ69" s="45">
        <v>454.37623279378727</v>
      </c>
      <c r="AR69" s="45">
        <v>1.4561082387283526</v>
      </c>
      <c r="AS69" s="199">
        <v>312.04839084668788</v>
      </c>
      <c r="AT69" s="45">
        <v>352.38696754755102</v>
      </c>
      <c r="AU69" s="45">
        <v>68.645175330605881</v>
      </c>
      <c r="AV69" s="45">
        <v>42.103214287815696</v>
      </c>
      <c r="AW69" s="45">
        <v>0</v>
      </c>
      <c r="AX69" s="45">
        <v>463.13535716597261</v>
      </c>
      <c r="AY69" s="45">
        <v>0.36051907145232021</v>
      </c>
      <c r="AZ69" s="199">
        <v>1284.6348330485582</v>
      </c>
      <c r="BA69" s="45">
        <v>352.38696754755102</v>
      </c>
      <c r="BB69" s="45">
        <v>129.32751032286149</v>
      </c>
      <c r="BC69" s="45">
        <v>48.171447787041252</v>
      </c>
      <c r="BD69" s="45">
        <v>0</v>
      </c>
      <c r="BE69" s="45">
        <v>529.88592565745375</v>
      </c>
      <c r="BF69" s="45">
        <v>1.8166273101806727</v>
      </c>
      <c r="BG69" s="45">
        <v>-17.594530315469623</v>
      </c>
      <c r="BH69" s="199">
        <v>291.68664518467136</v>
      </c>
      <c r="BI69" s="45">
        <v>0.1458287833061446</v>
      </c>
      <c r="BJ69" s="45">
        <v>3.6105871905832226E-2</v>
      </c>
      <c r="BK69" s="45">
        <v>0.30122220761787627</v>
      </c>
      <c r="BL69" s="45">
        <v>-5.3908158100706354</v>
      </c>
      <c r="BM69" s="45">
        <v>-4.9076589472407823</v>
      </c>
      <c r="BN69" s="45">
        <v>352.38696754755102</v>
      </c>
      <c r="BO69" s="45">
        <v>0</v>
      </c>
      <c r="BP69" s="45">
        <v>129.32751032286149</v>
      </c>
      <c r="BQ69" s="45">
        <v>0</v>
      </c>
      <c r="BR69" s="45">
        <v>0</v>
      </c>
      <c r="BS69" s="45">
        <v>0</v>
      </c>
      <c r="BT69" s="45">
        <v>0</v>
      </c>
      <c r="BU69" s="45">
        <v>0</v>
      </c>
      <c r="BV69" s="45">
        <v>0</v>
      </c>
      <c r="BW69" s="45">
        <v>48.171447787041252</v>
      </c>
      <c r="BX69" s="45">
        <v>8.9144888822003185</v>
      </c>
      <c r="BY69" s="45"/>
      <c r="BZ69" s="45">
        <v>0</v>
      </c>
      <c r="CA69" s="45">
        <v>-57.917727227432479</v>
      </c>
      <c r="CB69" s="45">
        <v>529.88592565745375</v>
      </c>
      <c r="CC69" s="45">
        <v>-49.003238345232162</v>
      </c>
      <c r="CD69" s="199">
        <v>65.938009531714357</v>
      </c>
      <c r="CE69" s="45">
        <v>-22.684123917922385</v>
      </c>
      <c r="CF69" s="45">
        <v>6.9798507549773587</v>
      </c>
      <c r="CG69" s="45">
        <v>0</v>
      </c>
      <c r="CH69" s="45">
        <v>6.9798507549773587</v>
      </c>
      <c r="CI69" s="45">
        <v>0.34899092251290081</v>
      </c>
      <c r="CJ69" s="45">
        <v>0</v>
      </c>
      <c r="CK69" s="45">
        <v>0.34899092251290081</v>
      </c>
      <c r="CL69" s="45"/>
      <c r="CM69" s="45">
        <v>0</v>
      </c>
      <c r="CN69" s="45"/>
      <c r="CO69" s="45">
        <v>0</v>
      </c>
      <c r="CP69" s="45">
        <v>0</v>
      </c>
      <c r="CQ69" s="45">
        <v>0</v>
      </c>
      <c r="CR69" s="45">
        <v>0</v>
      </c>
      <c r="CS69" s="45">
        <v>0</v>
      </c>
      <c r="CT69" s="45">
        <v>0</v>
      </c>
      <c r="CU69" s="45">
        <v>3.0077199319391883</v>
      </c>
      <c r="CV69" s="45">
        <v>9999</v>
      </c>
      <c r="CW69" s="200">
        <v>0</v>
      </c>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row>
    <row r="70" spans="1:131">
      <c r="A70" s="24" t="s">
        <v>419</v>
      </c>
      <c r="B70" s="24" t="s">
        <v>619</v>
      </c>
      <c r="C70" s="45">
        <v>16.744186046511629</v>
      </c>
      <c r="D70" s="45">
        <v>1606.9202380952379</v>
      </c>
      <c r="E70" s="45">
        <v>0</v>
      </c>
      <c r="F70" s="45">
        <v>51.863052062075326</v>
      </c>
      <c r="G70" s="45">
        <v>0</v>
      </c>
      <c r="H70" s="45">
        <v>-106.4505816687022</v>
      </c>
      <c r="I70" s="45" t="s">
        <v>369</v>
      </c>
      <c r="J70" s="45"/>
      <c r="K70" s="45"/>
      <c r="L70" s="45">
        <v>1818.1320336264869</v>
      </c>
      <c r="M70" s="45">
        <v>0.42497555289881439</v>
      </c>
      <c r="N70" s="45">
        <v>0.40320261185845763</v>
      </c>
      <c r="O70" s="45">
        <v>0</v>
      </c>
      <c r="P70" s="45">
        <v>0</v>
      </c>
      <c r="Q70" s="45">
        <v>0</v>
      </c>
      <c r="R70" s="45">
        <v>10.34218539387145</v>
      </c>
      <c r="S70" s="45">
        <v>2.5606304365412442</v>
      </c>
      <c r="T70" s="45">
        <v>21.362695657929471</v>
      </c>
      <c r="U70" s="45">
        <v>29.05072713952076</v>
      </c>
      <c r="V70" s="45" t="s">
        <v>609</v>
      </c>
      <c r="W70" s="45" t="s">
        <v>609</v>
      </c>
      <c r="X70" s="45" t="s">
        <v>609</v>
      </c>
      <c r="Y70" s="45" t="s">
        <v>609</v>
      </c>
      <c r="Z70" s="45">
        <v>0</v>
      </c>
      <c r="AA70" s="45">
        <v>0</v>
      </c>
      <c r="AB70" s="45">
        <v>0</v>
      </c>
      <c r="AC70" s="45">
        <v>0</v>
      </c>
      <c r="AD70" s="45">
        <v>0</v>
      </c>
      <c r="AE70" s="45">
        <v>0</v>
      </c>
      <c r="AF70" s="45">
        <v>0</v>
      </c>
      <c r="AG70" s="45">
        <v>-106.4505816687022</v>
      </c>
      <c r="AH70" s="45">
        <v>10.34218539387145</v>
      </c>
      <c r="AI70" s="45">
        <v>2.5606304365412442</v>
      </c>
      <c r="AJ70" s="45">
        <v>21.362695657929471</v>
      </c>
      <c r="AK70" s="45">
        <v>-77.399854529181439</v>
      </c>
      <c r="AL70" s="45">
        <v>-43.134343040839276</v>
      </c>
      <c r="AM70" s="45">
        <v>872.01656686595436</v>
      </c>
      <c r="AN70" s="45">
        <v>150.1644677657271</v>
      </c>
      <c r="AO70" s="45">
        <v>102.21810346316815</v>
      </c>
      <c r="AP70" s="45">
        <v>0</v>
      </c>
      <c r="AQ70" s="45">
        <v>1124.3991380948496</v>
      </c>
      <c r="AR70" s="45">
        <v>10.34218539387145</v>
      </c>
      <c r="AS70" s="199">
        <v>108.71968498661256</v>
      </c>
      <c r="AT70" s="45">
        <v>872.01656686595436</v>
      </c>
      <c r="AU70" s="45">
        <v>169.86930742729305</v>
      </c>
      <c r="AV70" s="45">
        <v>104.18858742932474</v>
      </c>
      <c r="AW70" s="45">
        <v>0</v>
      </c>
      <c r="AX70" s="45">
        <v>1146.0744617225723</v>
      </c>
      <c r="AY70" s="45">
        <v>2.5606304365412442</v>
      </c>
      <c r="AZ70" s="199">
        <v>447.57511484969513</v>
      </c>
      <c r="BA70" s="45">
        <v>872.01656686595436</v>
      </c>
      <c r="BB70" s="45">
        <v>320.03377519302012</v>
      </c>
      <c r="BC70" s="45">
        <v>119.20503420589746</v>
      </c>
      <c r="BD70" s="45">
        <v>0</v>
      </c>
      <c r="BE70" s="45">
        <v>1311.255376264872</v>
      </c>
      <c r="BF70" s="45">
        <v>12.902815830412694</v>
      </c>
      <c r="BG70" s="45">
        <v>-17.254274197178763</v>
      </c>
      <c r="BH70" s="199">
        <v>101.62552062272843</v>
      </c>
      <c r="BI70" s="45">
        <v>0.41855931771156418</v>
      </c>
      <c r="BJ70" s="45">
        <v>0.10363145579127585</v>
      </c>
      <c r="BK70" s="45">
        <v>0.86457116929670608</v>
      </c>
      <c r="BL70" s="45">
        <v>-3.1324549956246104</v>
      </c>
      <c r="BM70" s="45">
        <v>-1.7456930528250645</v>
      </c>
      <c r="BN70" s="45">
        <v>872.01656686595436</v>
      </c>
      <c r="BO70" s="45">
        <v>0</v>
      </c>
      <c r="BP70" s="45">
        <v>320.03377519302012</v>
      </c>
      <c r="BQ70" s="45">
        <v>0</v>
      </c>
      <c r="BR70" s="45">
        <v>0</v>
      </c>
      <c r="BS70" s="45">
        <v>0</v>
      </c>
      <c r="BT70" s="45">
        <v>0</v>
      </c>
      <c r="BU70" s="45">
        <v>0</v>
      </c>
      <c r="BV70" s="45">
        <v>0</v>
      </c>
      <c r="BW70" s="45">
        <v>119.20503420589746</v>
      </c>
      <c r="BX70" s="45">
        <v>63.316238627862923</v>
      </c>
      <c r="BY70" s="45"/>
      <c r="BZ70" s="45">
        <v>0</v>
      </c>
      <c r="CA70" s="45">
        <v>-106.4505816687022</v>
      </c>
      <c r="CB70" s="45">
        <v>1311.255376264872</v>
      </c>
      <c r="CC70" s="45">
        <v>-43.134343040839276</v>
      </c>
      <c r="CD70" s="199">
        <v>22.390874579048337</v>
      </c>
      <c r="CE70" s="45">
        <v>-19.522158023506666</v>
      </c>
      <c r="CF70" s="45">
        <v>17.27233426068965</v>
      </c>
      <c r="CG70" s="45">
        <v>0</v>
      </c>
      <c r="CH70" s="45">
        <v>17.27233426068965</v>
      </c>
      <c r="CI70" s="45">
        <v>0.86361271597258116</v>
      </c>
      <c r="CJ70" s="45">
        <v>0</v>
      </c>
      <c r="CK70" s="45">
        <v>0.86361271597258116</v>
      </c>
      <c r="CL70" s="45"/>
      <c r="CM70" s="45">
        <v>0</v>
      </c>
      <c r="CN70" s="45"/>
      <c r="CO70" s="45">
        <v>0</v>
      </c>
      <c r="CP70" s="45">
        <v>0</v>
      </c>
      <c r="CQ70" s="45">
        <v>0</v>
      </c>
      <c r="CR70" s="45">
        <v>0</v>
      </c>
      <c r="CS70" s="45">
        <v>0</v>
      </c>
      <c r="CT70" s="45">
        <v>0</v>
      </c>
      <c r="CU70" s="45">
        <v>21.362695657929471</v>
      </c>
      <c r="CV70" s="45">
        <v>9999</v>
      </c>
      <c r="CW70" s="200">
        <v>0</v>
      </c>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row>
    <row r="71" spans="1:131">
      <c r="A71" s="24" t="s">
        <v>431</v>
      </c>
      <c r="B71" s="24" t="s">
        <v>620</v>
      </c>
      <c r="C71" s="45">
        <v>16.744186046511629</v>
      </c>
      <c r="D71" s="45">
        <v>649.36581632653053</v>
      </c>
      <c r="E71" s="45">
        <v>0</v>
      </c>
      <c r="F71" s="45">
        <v>186.95819668884204</v>
      </c>
      <c r="G71" s="45">
        <v>0</v>
      </c>
      <c r="H71" s="45">
        <v>-57.917727227432479</v>
      </c>
      <c r="I71" s="45" t="s">
        <v>369</v>
      </c>
      <c r="J71" s="45"/>
      <c r="K71" s="45"/>
      <c r="L71" s="45">
        <v>734.71773160610712</v>
      </c>
      <c r="M71" s="45">
        <v>0.17173509318301433</v>
      </c>
      <c r="N71" s="45">
        <v>0.16293652104650316</v>
      </c>
      <c r="O71" s="45">
        <v>0</v>
      </c>
      <c r="P71" s="45">
        <v>0</v>
      </c>
      <c r="Q71" s="45">
        <v>0</v>
      </c>
      <c r="R71" s="45">
        <v>37.281961901231682</v>
      </c>
      <c r="S71" s="45">
        <v>9.2306725070733666</v>
      </c>
      <c r="T71" s="45">
        <v>77.00917893992586</v>
      </c>
      <c r="U71" s="45">
        <v>104.72333082140382</v>
      </c>
      <c r="V71" s="45" t="s">
        <v>609</v>
      </c>
      <c r="W71" s="45" t="s">
        <v>609</v>
      </c>
      <c r="X71" s="45" t="s">
        <v>609</v>
      </c>
      <c r="Y71" s="45" t="s">
        <v>609</v>
      </c>
      <c r="Z71" s="45">
        <v>0</v>
      </c>
      <c r="AA71" s="45">
        <v>0</v>
      </c>
      <c r="AB71" s="45">
        <v>0</v>
      </c>
      <c r="AC71" s="45">
        <v>0</v>
      </c>
      <c r="AD71" s="45">
        <v>0</v>
      </c>
      <c r="AE71" s="45">
        <v>0</v>
      </c>
      <c r="AF71" s="45">
        <v>0</v>
      </c>
      <c r="AG71" s="45">
        <v>-57.917727227432479</v>
      </c>
      <c r="AH71" s="45">
        <v>37.281961901231682</v>
      </c>
      <c r="AI71" s="45">
        <v>9.2306725070733666</v>
      </c>
      <c r="AJ71" s="45">
        <v>77.00917893992586</v>
      </c>
      <c r="AK71" s="45">
        <v>46.805603593971341</v>
      </c>
      <c r="AL71" s="45">
        <v>170.32741694220226</v>
      </c>
      <c r="AM71" s="45">
        <v>352.38696754755102</v>
      </c>
      <c r="AN71" s="45">
        <v>60.682334992255591</v>
      </c>
      <c r="AO71" s="45">
        <v>41.306930253980667</v>
      </c>
      <c r="AP71" s="45">
        <v>0</v>
      </c>
      <c r="AQ71" s="45">
        <v>454.37623279378727</v>
      </c>
      <c r="AR71" s="45">
        <v>37.281961901231682</v>
      </c>
      <c r="AS71" s="199">
        <v>12.187562285416531</v>
      </c>
      <c r="AT71" s="45">
        <v>352.38696754755102</v>
      </c>
      <c r="AU71" s="45">
        <v>68.645175330605881</v>
      </c>
      <c r="AV71" s="45">
        <v>42.103214287815696</v>
      </c>
      <c r="AW71" s="45">
        <v>0</v>
      </c>
      <c r="AX71" s="45">
        <v>463.13535716597261</v>
      </c>
      <c r="AY71" s="45">
        <v>9.2306725070733666</v>
      </c>
      <c r="AZ71" s="199">
        <v>50.173522764573967</v>
      </c>
      <c r="BA71" s="45">
        <v>352.38696754755102</v>
      </c>
      <c r="BB71" s="45">
        <v>129.32751032286149</v>
      </c>
      <c r="BC71" s="45">
        <v>48.171447787041252</v>
      </c>
      <c r="BD71" s="45">
        <v>0</v>
      </c>
      <c r="BE71" s="45">
        <v>529.88592565745375</v>
      </c>
      <c r="BF71" s="45">
        <v>46.512634408305047</v>
      </c>
      <c r="BG71" s="45">
        <v>-13.118239226385102</v>
      </c>
      <c r="BH71" s="199">
        <v>11.392300874767054</v>
      </c>
      <c r="BI71" s="45">
        <v>3.7337767885103803</v>
      </c>
      <c r="BJ71" s="45">
        <v>0.92444895578611774</v>
      </c>
      <c r="BK71" s="45">
        <v>7.7124451119252466</v>
      </c>
      <c r="BL71" s="45">
        <v>4.6875665163322484</v>
      </c>
      <c r="BM71" s="45">
        <v>17.058237372553993</v>
      </c>
      <c r="BN71" s="45">
        <v>352.38696754755102</v>
      </c>
      <c r="BO71" s="45">
        <v>0</v>
      </c>
      <c r="BP71" s="45">
        <v>129.32751032286149</v>
      </c>
      <c r="BQ71" s="45">
        <v>0</v>
      </c>
      <c r="BR71" s="45">
        <v>0</v>
      </c>
      <c r="BS71" s="45">
        <v>0</v>
      </c>
      <c r="BT71" s="45">
        <v>0</v>
      </c>
      <c r="BU71" s="45">
        <v>0</v>
      </c>
      <c r="BV71" s="45">
        <v>0</v>
      </c>
      <c r="BW71" s="45">
        <v>48.171447787041252</v>
      </c>
      <c r="BX71" s="45">
        <v>228.24514416963473</v>
      </c>
      <c r="BY71" s="45"/>
      <c r="BZ71" s="45">
        <v>0</v>
      </c>
      <c r="CA71" s="45">
        <v>-57.917727227432479</v>
      </c>
      <c r="CB71" s="45">
        <v>529.88592565745375</v>
      </c>
      <c r="CC71" s="45">
        <v>170.32741694220226</v>
      </c>
      <c r="CD71" s="199">
        <v>2.5753172319320976</v>
      </c>
      <c r="CE71" s="45">
        <v>-0.71822759812760839</v>
      </c>
      <c r="CF71" s="45">
        <v>6.9798507549773587</v>
      </c>
      <c r="CG71" s="45">
        <v>0</v>
      </c>
      <c r="CH71" s="45">
        <v>6.9798507549773587</v>
      </c>
      <c r="CI71" s="45">
        <v>0.34899092251290081</v>
      </c>
      <c r="CJ71" s="45">
        <v>0</v>
      </c>
      <c r="CK71" s="45">
        <v>0.34899092251290081</v>
      </c>
      <c r="CL71" s="45"/>
      <c r="CM71" s="45">
        <v>0</v>
      </c>
      <c r="CN71" s="45"/>
      <c r="CO71" s="45">
        <v>0</v>
      </c>
      <c r="CP71" s="45">
        <v>0</v>
      </c>
      <c r="CQ71" s="45">
        <v>0</v>
      </c>
      <c r="CR71" s="45">
        <v>0</v>
      </c>
      <c r="CS71" s="45">
        <v>0</v>
      </c>
      <c r="CT71" s="45">
        <v>0</v>
      </c>
      <c r="CU71" s="45">
        <v>77.00917893992586</v>
      </c>
      <c r="CV71" s="45">
        <v>9999</v>
      </c>
      <c r="CW71" s="200">
        <v>0</v>
      </c>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row>
    <row r="72" spans="1:131">
      <c r="A72" s="24" t="s">
        <v>426</v>
      </c>
      <c r="B72" s="24" t="s">
        <v>621</v>
      </c>
      <c r="C72" s="45">
        <v>16.744186046511629</v>
      </c>
      <c r="D72" s="45">
        <v>1606.9202380952379</v>
      </c>
      <c r="E72" s="45">
        <v>0</v>
      </c>
      <c r="F72" s="45">
        <v>332.28218672874203</v>
      </c>
      <c r="G72" s="45">
        <v>0</v>
      </c>
      <c r="H72" s="45">
        <v>-106.4505816687022</v>
      </c>
      <c r="I72" s="45" t="s">
        <v>369</v>
      </c>
      <c r="J72" s="45"/>
      <c r="K72" s="45"/>
      <c r="L72" s="45">
        <v>1818.1320336264869</v>
      </c>
      <c r="M72" s="45">
        <v>0.42497555289881439</v>
      </c>
      <c r="N72" s="45">
        <v>0.40320261185845763</v>
      </c>
      <c r="O72" s="45">
        <v>0</v>
      </c>
      <c r="P72" s="45">
        <v>0</v>
      </c>
      <c r="Q72" s="45">
        <v>0</v>
      </c>
      <c r="R72" s="45">
        <v>66.261506826024373</v>
      </c>
      <c r="S72" s="45">
        <v>16.405742566783498</v>
      </c>
      <c r="T72" s="45">
        <v>136.86898370618874</v>
      </c>
      <c r="U72" s="45">
        <v>186.12555096885092</v>
      </c>
      <c r="V72" s="45" t="s">
        <v>609</v>
      </c>
      <c r="W72" s="45" t="s">
        <v>609</v>
      </c>
      <c r="X72" s="45" t="s">
        <v>609</v>
      </c>
      <c r="Y72" s="45" t="s">
        <v>609</v>
      </c>
      <c r="Z72" s="45">
        <v>0</v>
      </c>
      <c r="AA72" s="45">
        <v>0</v>
      </c>
      <c r="AB72" s="45">
        <v>0</v>
      </c>
      <c r="AC72" s="45">
        <v>0</v>
      </c>
      <c r="AD72" s="45">
        <v>0</v>
      </c>
      <c r="AE72" s="45">
        <v>0</v>
      </c>
      <c r="AF72" s="45">
        <v>0</v>
      </c>
      <c r="AG72" s="45">
        <v>-106.4505816687022</v>
      </c>
      <c r="AH72" s="45">
        <v>66.261506826024373</v>
      </c>
      <c r="AI72" s="45">
        <v>16.405742566783498</v>
      </c>
      <c r="AJ72" s="45">
        <v>136.86898370618874</v>
      </c>
      <c r="AK72" s="45">
        <v>79.674969300148717</v>
      </c>
      <c r="AL72" s="45">
        <v>299.21120239914535</v>
      </c>
      <c r="AM72" s="45">
        <v>872.01656686595436</v>
      </c>
      <c r="AN72" s="45">
        <v>150.1644677657271</v>
      </c>
      <c r="AO72" s="45">
        <v>102.21810346316815</v>
      </c>
      <c r="AP72" s="45">
        <v>0</v>
      </c>
      <c r="AQ72" s="45">
        <v>1124.3991380948496</v>
      </c>
      <c r="AR72" s="45">
        <v>66.261506826024373</v>
      </c>
      <c r="AS72" s="199">
        <v>16.969115131158457</v>
      </c>
      <c r="AT72" s="45">
        <v>872.01656686595436</v>
      </c>
      <c r="AU72" s="45">
        <v>169.86930742729305</v>
      </c>
      <c r="AV72" s="45">
        <v>104.18858742932474</v>
      </c>
      <c r="AW72" s="45">
        <v>0</v>
      </c>
      <c r="AX72" s="45">
        <v>1146.0744617225723</v>
      </c>
      <c r="AY72" s="45">
        <v>16.405742566783498</v>
      </c>
      <c r="AZ72" s="199">
        <v>69.858127851098615</v>
      </c>
      <c r="BA72" s="45">
        <v>872.01656686595436</v>
      </c>
      <c r="BB72" s="45">
        <v>320.03377519302012</v>
      </c>
      <c r="BC72" s="45">
        <v>119.20503420589746</v>
      </c>
      <c r="BD72" s="45">
        <v>0</v>
      </c>
      <c r="BE72" s="45">
        <v>1311.255376264872</v>
      </c>
      <c r="BF72" s="45">
        <v>82.667249392807875</v>
      </c>
      <c r="BG72" s="45">
        <v>-14.430832864391062</v>
      </c>
      <c r="BH72" s="199">
        <v>15.861848384893188</v>
      </c>
      <c r="BI72" s="45">
        <v>2.6816741366941352</v>
      </c>
      <c r="BJ72" s="45">
        <v>0.6639579695964033</v>
      </c>
      <c r="BK72" s="45">
        <v>5.5392343353161149</v>
      </c>
      <c r="BL72" s="45">
        <v>3.2245313266886293</v>
      </c>
      <c r="BM72" s="45">
        <v>12.109397768295283</v>
      </c>
      <c r="BN72" s="45">
        <v>872.01656686595436</v>
      </c>
      <c r="BO72" s="45">
        <v>0</v>
      </c>
      <c r="BP72" s="45">
        <v>320.03377519302012</v>
      </c>
      <c r="BQ72" s="45">
        <v>0</v>
      </c>
      <c r="BR72" s="45">
        <v>0</v>
      </c>
      <c r="BS72" s="45">
        <v>0</v>
      </c>
      <c r="BT72" s="45">
        <v>0</v>
      </c>
      <c r="BU72" s="45">
        <v>0</v>
      </c>
      <c r="BV72" s="45">
        <v>0</v>
      </c>
      <c r="BW72" s="45">
        <v>119.20503420589746</v>
      </c>
      <c r="BX72" s="45">
        <v>405.66178406784752</v>
      </c>
      <c r="BY72" s="45"/>
      <c r="BZ72" s="45">
        <v>0</v>
      </c>
      <c r="CA72" s="45">
        <v>-106.4505816687022</v>
      </c>
      <c r="CB72" s="45">
        <v>1311.255376264872</v>
      </c>
      <c r="CC72" s="45">
        <v>299.21120239914535</v>
      </c>
      <c r="CD72" s="199">
        <v>3.4947979169180519</v>
      </c>
      <c r="CE72" s="45">
        <v>-5.6670672023863196</v>
      </c>
      <c r="CF72" s="45">
        <v>17.27233426068965</v>
      </c>
      <c r="CG72" s="45">
        <v>0</v>
      </c>
      <c r="CH72" s="45">
        <v>17.27233426068965</v>
      </c>
      <c r="CI72" s="45">
        <v>0.86361271597258116</v>
      </c>
      <c r="CJ72" s="45">
        <v>0</v>
      </c>
      <c r="CK72" s="45">
        <v>0.86361271597258116</v>
      </c>
      <c r="CL72" s="45"/>
      <c r="CM72" s="45">
        <v>0</v>
      </c>
      <c r="CN72" s="45"/>
      <c r="CO72" s="45">
        <v>0</v>
      </c>
      <c r="CP72" s="45">
        <v>0</v>
      </c>
      <c r="CQ72" s="45">
        <v>0</v>
      </c>
      <c r="CR72" s="45">
        <v>0</v>
      </c>
      <c r="CS72" s="45">
        <v>0</v>
      </c>
      <c r="CT72" s="45">
        <v>0</v>
      </c>
      <c r="CU72" s="45">
        <v>136.86898370618874</v>
      </c>
      <c r="CV72" s="45">
        <v>9999</v>
      </c>
      <c r="CW72" s="200">
        <v>0</v>
      </c>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row>
    <row r="73" spans="1:131">
      <c r="A73" s="24" t="s">
        <v>436</v>
      </c>
      <c r="B73" s="24" t="s">
        <v>622</v>
      </c>
      <c r="C73" s="45">
        <v>16.744186046511629</v>
      </c>
      <c r="D73" s="45">
        <v>649.36581632653053</v>
      </c>
      <c r="E73" s="45">
        <v>0</v>
      </c>
      <c r="F73" s="45">
        <v>228.79070335550873</v>
      </c>
      <c r="G73" s="45">
        <v>0</v>
      </c>
      <c r="H73" s="45">
        <v>-57.917727227432479</v>
      </c>
      <c r="I73" s="45" t="s">
        <v>369</v>
      </c>
      <c r="J73" s="45"/>
      <c r="K73" s="45"/>
      <c r="L73" s="45">
        <v>734.71773160610712</v>
      </c>
      <c r="M73" s="45">
        <v>0.17173509318301433</v>
      </c>
      <c r="N73" s="45">
        <v>0.16293652104650316</v>
      </c>
      <c r="O73" s="45">
        <v>0</v>
      </c>
      <c r="P73" s="45">
        <v>0</v>
      </c>
      <c r="Q73" s="45">
        <v>0</v>
      </c>
      <c r="R73" s="45">
        <v>45.623922550196198</v>
      </c>
      <c r="S73" s="45">
        <v>11.296065605791723</v>
      </c>
      <c r="T73" s="45">
        <v>94.240234055206827</v>
      </c>
      <c r="U73" s="45">
        <v>128.15551786818534</v>
      </c>
      <c r="V73" s="45" t="s">
        <v>609</v>
      </c>
      <c r="W73" s="45" t="s">
        <v>609</v>
      </c>
      <c r="X73" s="45" t="s">
        <v>609</v>
      </c>
      <c r="Y73" s="45" t="s">
        <v>609</v>
      </c>
      <c r="Z73" s="45">
        <v>0</v>
      </c>
      <c r="AA73" s="45">
        <v>0</v>
      </c>
      <c r="AB73" s="45">
        <v>0</v>
      </c>
      <c r="AC73" s="45">
        <v>0</v>
      </c>
      <c r="AD73" s="45">
        <v>0</v>
      </c>
      <c r="AE73" s="45">
        <v>0</v>
      </c>
      <c r="AF73" s="45">
        <v>0</v>
      </c>
      <c r="AG73" s="45">
        <v>-57.917727227432479</v>
      </c>
      <c r="AH73" s="45">
        <v>45.623922550196198</v>
      </c>
      <c r="AI73" s="45">
        <v>11.296065605791723</v>
      </c>
      <c r="AJ73" s="45">
        <v>94.240234055206827</v>
      </c>
      <c r="AK73" s="45">
        <v>70.237790640752863</v>
      </c>
      <c r="AL73" s="45">
        <v>221.39801285194761</v>
      </c>
      <c r="AM73" s="45">
        <v>352.38696754755102</v>
      </c>
      <c r="AN73" s="45">
        <v>60.682334992255591</v>
      </c>
      <c r="AO73" s="45">
        <v>41.306930253980667</v>
      </c>
      <c r="AP73" s="45">
        <v>0</v>
      </c>
      <c r="AQ73" s="45">
        <v>454.37623279378727</v>
      </c>
      <c r="AR73" s="45">
        <v>45.623922550196198</v>
      </c>
      <c r="AS73" s="199">
        <v>9.9591663188073092</v>
      </c>
      <c r="AT73" s="45">
        <v>352.38696754755102</v>
      </c>
      <c r="AU73" s="45">
        <v>68.645175330605881</v>
      </c>
      <c r="AV73" s="45">
        <v>42.103214287815696</v>
      </c>
      <c r="AW73" s="45">
        <v>0</v>
      </c>
      <c r="AX73" s="45">
        <v>463.13535716597261</v>
      </c>
      <c r="AY73" s="45">
        <v>11.296065605791723</v>
      </c>
      <c r="AZ73" s="199">
        <v>40.999704970597342</v>
      </c>
      <c r="BA73" s="45">
        <v>352.38696754755102</v>
      </c>
      <c r="BB73" s="45">
        <v>129.32751032286149</v>
      </c>
      <c r="BC73" s="45">
        <v>48.171447787041252</v>
      </c>
      <c r="BD73" s="45">
        <v>0</v>
      </c>
      <c r="BE73" s="45">
        <v>529.88592565745375</v>
      </c>
      <c r="BF73" s="45">
        <v>56.919988155987923</v>
      </c>
      <c r="BG73" s="45">
        <v>-12.075946013494098</v>
      </c>
      <c r="BH73" s="199">
        <v>9.3093119451345192</v>
      </c>
      <c r="BI73" s="45">
        <v>4.569221530508834</v>
      </c>
      <c r="BJ73" s="45">
        <v>1.1312974266786688</v>
      </c>
      <c r="BK73" s="45">
        <v>9.4381298760860517</v>
      </c>
      <c r="BL73" s="45">
        <v>7.0342926980468441</v>
      </c>
      <c r="BM73" s="45">
        <v>22.172941531320397</v>
      </c>
      <c r="BN73" s="45">
        <v>352.38696754755102</v>
      </c>
      <c r="BO73" s="45">
        <v>0</v>
      </c>
      <c r="BP73" s="45">
        <v>129.32751032286149</v>
      </c>
      <c r="BQ73" s="45">
        <v>0</v>
      </c>
      <c r="BR73" s="45">
        <v>0</v>
      </c>
      <c r="BS73" s="45">
        <v>0</v>
      </c>
      <c r="BT73" s="45">
        <v>0</v>
      </c>
      <c r="BU73" s="45">
        <v>0</v>
      </c>
      <c r="BV73" s="45">
        <v>0</v>
      </c>
      <c r="BW73" s="45">
        <v>48.171447787041252</v>
      </c>
      <c r="BX73" s="45">
        <v>279.31574007938013</v>
      </c>
      <c r="BY73" s="45"/>
      <c r="BZ73" s="45">
        <v>0</v>
      </c>
      <c r="CA73" s="45">
        <v>-57.917727227432479</v>
      </c>
      <c r="CB73" s="45">
        <v>529.88592565745375</v>
      </c>
      <c r="CC73" s="45">
        <v>221.39801285194767</v>
      </c>
      <c r="CD73" s="199">
        <v>2.1044415639370535</v>
      </c>
      <c r="CE73" s="45">
        <v>4.3964765606388019</v>
      </c>
      <c r="CF73" s="45">
        <v>6.9798507549773587</v>
      </c>
      <c r="CG73" s="45">
        <v>0</v>
      </c>
      <c r="CH73" s="45">
        <v>6.9798507549773587</v>
      </c>
      <c r="CI73" s="45">
        <v>0.34899092251290081</v>
      </c>
      <c r="CJ73" s="45">
        <v>0</v>
      </c>
      <c r="CK73" s="45">
        <v>0.34899092251290081</v>
      </c>
      <c r="CL73" s="45"/>
      <c r="CM73" s="45">
        <v>0</v>
      </c>
      <c r="CN73" s="45"/>
      <c r="CO73" s="45">
        <v>0</v>
      </c>
      <c r="CP73" s="45">
        <v>0</v>
      </c>
      <c r="CQ73" s="45">
        <v>0</v>
      </c>
      <c r="CR73" s="45">
        <v>0</v>
      </c>
      <c r="CS73" s="45">
        <v>0</v>
      </c>
      <c r="CT73" s="45">
        <v>0</v>
      </c>
      <c r="CU73" s="45">
        <v>94.240234055206827</v>
      </c>
      <c r="CV73" s="45">
        <v>9999</v>
      </c>
      <c r="CW73" s="200">
        <v>0</v>
      </c>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row>
    <row r="74" spans="1:131">
      <c r="A74" s="24" t="s">
        <v>427</v>
      </c>
      <c r="B74" s="24" t="s">
        <v>623</v>
      </c>
      <c r="C74" s="45">
        <v>16.744186046511629</v>
      </c>
      <c r="D74" s="45">
        <v>1606.9202380952379</v>
      </c>
      <c r="E74" s="45">
        <v>0</v>
      </c>
      <c r="F74" s="45">
        <v>371.54658006207535</v>
      </c>
      <c r="G74" s="45">
        <v>0</v>
      </c>
      <c r="H74" s="45">
        <v>-106.4505816687022</v>
      </c>
      <c r="I74" s="45" t="s">
        <v>369</v>
      </c>
      <c r="J74" s="45"/>
      <c r="K74" s="45"/>
      <c r="L74" s="45">
        <v>1818.1320336264869</v>
      </c>
      <c r="M74" s="45">
        <v>0.42497555289881439</v>
      </c>
      <c r="N74" s="45">
        <v>0.40320261185845763</v>
      </c>
      <c r="O74" s="45">
        <v>0</v>
      </c>
      <c r="P74" s="45">
        <v>0</v>
      </c>
      <c r="Q74" s="45">
        <v>0</v>
      </c>
      <c r="R74" s="45">
        <v>74.091351370174664</v>
      </c>
      <c r="S74" s="45">
        <v>18.344340405594089</v>
      </c>
      <c r="T74" s="45">
        <v>153.04221786080956</v>
      </c>
      <c r="U74" s="45">
        <v>208.11922723110064</v>
      </c>
      <c r="V74" s="45" t="s">
        <v>609</v>
      </c>
      <c r="W74" s="45" t="s">
        <v>609</v>
      </c>
      <c r="X74" s="45" t="s">
        <v>609</v>
      </c>
      <c r="Y74" s="45" t="s">
        <v>609</v>
      </c>
      <c r="Z74" s="45">
        <v>0</v>
      </c>
      <c r="AA74" s="45">
        <v>0</v>
      </c>
      <c r="AB74" s="45">
        <v>0</v>
      </c>
      <c r="AC74" s="45">
        <v>0</v>
      </c>
      <c r="AD74" s="45">
        <v>0</v>
      </c>
      <c r="AE74" s="45">
        <v>0</v>
      </c>
      <c r="AF74" s="45">
        <v>0</v>
      </c>
      <c r="AG74" s="45">
        <v>-106.4505816687022</v>
      </c>
      <c r="AH74" s="45">
        <v>74.091351370174664</v>
      </c>
      <c r="AI74" s="45">
        <v>18.344340405594089</v>
      </c>
      <c r="AJ74" s="45">
        <v>153.04221786080956</v>
      </c>
      <c r="AK74" s="45">
        <v>101.66864556239844</v>
      </c>
      <c r="AL74" s="45">
        <v>347.14655519897678</v>
      </c>
      <c r="AM74" s="45">
        <v>872.01656686595436</v>
      </c>
      <c r="AN74" s="45">
        <v>150.1644677657271</v>
      </c>
      <c r="AO74" s="45">
        <v>102.21810346316815</v>
      </c>
      <c r="AP74" s="45">
        <v>0</v>
      </c>
      <c r="AQ74" s="45">
        <v>1124.3991380948496</v>
      </c>
      <c r="AR74" s="45">
        <v>74.091351370174664</v>
      </c>
      <c r="AS74" s="199">
        <v>15.17584869625518</v>
      </c>
      <c r="AT74" s="45">
        <v>872.01656686595436</v>
      </c>
      <c r="AU74" s="45">
        <v>169.86930742729305</v>
      </c>
      <c r="AV74" s="45">
        <v>104.18858742932474</v>
      </c>
      <c r="AW74" s="45">
        <v>0</v>
      </c>
      <c r="AX74" s="45">
        <v>1146.0744617225723</v>
      </c>
      <c r="AY74" s="45">
        <v>18.344340405594089</v>
      </c>
      <c r="AZ74" s="199">
        <v>62.475642971228226</v>
      </c>
      <c r="BA74" s="45">
        <v>872.01656686595436</v>
      </c>
      <c r="BB74" s="45">
        <v>320.03377519302012</v>
      </c>
      <c r="BC74" s="45">
        <v>119.20503420589746</v>
      </c>
      <c r="BD74" s="45">
        <v>0</v>
      </c>
      <c r="BE74" s="45">
        <v>1311.255376264872</v>
      </c>
      <c r="BF74" s="45">
        <v>92.43569177576876</v>
      </c>
      <c r="BG74" s="45">
        <v>-14.035493540717779</v>
      </c>
      <c r="BH74" s="199">
        <v>14.185595964876054</v>
      </c>
      <c r="BI74" s="45">
        <v>2.9985563299034341</v>
      </c>
      <c r="BJ74" s="45">
        <v>0.74241510006038647</v>
      </c>
      <c r="BK74" s="45">
        <v>6.1937824404930817</v>
      </c>
      <c r="BL74" s="45">
        <v>4.1146389567211887</v>
      </c>
      <c r="BM74" s="45">
        <v>14.049392827178091</v>
      </c>
      <c r="BN74" s="45">
        <v>872.01656686595436</v>
      </c>
      <c r="BO74" s="45">
        <v>0</v>
      </c>
      <c r="BP74" s="45">
        <v>320.03377519302012</v>
      </c>
      <c r="BQ74" s="45">
        <v>0</v>
      </c>
      <c r="BR74" s="45">
        <v>0</v>
      </c>
      <c r="BS74" s="45">
        <v>0</v>
      </c>
      <c r="BT74" s="45">
        <v>0</v>
      </c>
      <c r="BU74" s="45">
        <v>0</v>
      </c>
      <c r="BV74" s="45">
        <v>0</v>
      </c>
      <c r="BW74" s="45">
        <v>119.20503420589746</v>
      </c>
      <c r="BX74" s="45">
        <v>453.59713686767896</v>
      </c>
      <c r="BY74" s="45"/>
      <c r="BZ74" s="45">
        <v>0</v>
      </c>
      <c r="CA74" s="45">
        <v>-106.4505816687022</v>
      </c>
      <c r="CB74" s="45">
        <v>1311.255376264872</v>
      </c>
      <c r="CC74" s="45">
        <v>347.14655519897678</v>
      </c>
      <c r="CD74" s="199">
        <v>3.1254737799351235</v>
      </c>
      <c r="CE74" s="45">
        <v>-3.727072143503511</v>
      </c>
      <c r="CF74" s="45">
        <v>17.27233426068965</v>
      </c>
      <c r="CG74" s="45">
        <v>0</v>
      </c>
      <c r="CH74" s="45">
        <v>17.27233426068965</v>
      </c>
      <c r="CI74" s="45">
        <v>0.86361271597258116</v>
      </c>
      <c r="CJ74" s="45">
        <v>0</v>
      </c>
      <c r="CK74" s="45">
        <v>0.86361271597258116</v>
      </c>
      <c r="CL74" s="45"/>
      <c r="CM74" s="45">
        <v>0</v>
      </c>
      <c r="CN74" s="45"/>
      <c r="CO74" s="45">
        <v>0</v>
      </c>
      <c r="CP74" s="45">
        <v>0</v>
      </c>
      <c r="CQ74" s="45">
        <v>0</v>
      </c>
      <c r="CR74" s="45">
        <v>0</v>
      </c>
      <c r="CS74" s="45">
        <v>0</v>
      </c>
      <c r="CT74" s="45">
        <v>0</v>
      </c>
      <c r="CU74" s="45">
        <v>153.04221786080956</v>
      </c>
      <c r="CV74" s="45">
        <v>9999</v>
      </c>
      <c r="CW74" s="200">
        <v>0</v>
      </c>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row>
    <row r="75" spans="1:131">
      <c r="A75" s="24" t="s">
        <v>415</v>
      </c>
      <c r="B75" s="24" t="s">
        <v>624</v>
      </c>
      <c r="C75" s="45">
        <v>16.744186046511629</v>
      </c>
      <c r="D75" s="45">
        <v>647.87397959183659</v>
      </c>
      <c r="E75" s="45">
        <v>0</v>
      </c>
      <c r="F75" s="45">
        <v>6.6707622506870052</v>
      </c>
      <c r="G75" s="45">
        <v>0</v>
      </c>
      <c r="H75" s="45">
        <v>-54.45644007047715</v>
      </c>
      <c r="I75" s="45" t="s">
        <v>369</v>
      </c>
      <c r="J75" s="45"/>
      <c r="K75" s="45"/>
      <c r="L75" s="45">
        <v>733.02980952261714</v>
      </c>
      <c r="M75" s="45">
        <v>0.17134055328854339</v>
      </c>
      <c r="N75" s="45">
        <v>0.16256219477091402</v>
      </c>
      <c r="O75" s="45">
        <v>0</v>
      </c>
      <c r="P75" s="45">
        <v>0</v>
      </c>
      <c r="Q75" s="45">
        <v>0</v>
      </c>
      <c r="R75" s="45">
        <v>1.3302391041790051</v>
      </c>
      <c r="S75" s="45">
        <v>0.32935502587843651</v>
      </c>
      <c r="T75" s="45">
        <v>2.7477261383935736</v>
      </c>
      <c r="U75" s="45">
        <v>3.736580981107207</v>
      </c>
      <c r="V75" s="45" t="s">
        <v>609</v>
      </c>
      <c r="W75" s="45" t="s">
        <v>609</v>
      </c>
      <c r="X75" s="45" t="s">
        <v>609</v>
      </c>
      <c r="Y75" s="45" t="s">
        <v>609</v>
      </c>
      <c r="Z75" s="45">
        <v>0</v>
      </c>
      <c r="AA75" s="45">
        <v>0</v>
      </c>
      <c r="AB75" s="45">
        <v>0</v>
      </c>
      <c r="AC75" s="45">
        <v>0</v>
      </c>
      <c r="AD75" s="45">
        <v>0</v>
      </c>
      <c r="AE75" s="45">
        <v>0</v>
      </c>
      <c r="AF75" s="45">
        <v>0</v>
      </c>
      <c r="AG75" s="45">
        <v>-54.45644007047715</v>
      </c>
      <c r="AH75" s="45">
        <v>1.3302391041790051</v>
      </c>
      <c r="AI75" s="45">
        <v>0.32935502587843651</v>
      </c>
      <c r="AJ75" s="45">
        <v>2.7477261383935736</v>
      </c>
      <c r="AK75" s="45">
        <v>-50.71985908936994</v>
      </c>
      <c r="AL75" s="45">
        <v>-46.312538820918931</v>
      </c>
      <c r="AM75" s="45">
        <v>351.5774025692325</v>
      </c>
      <c r="AN75" s="45">
        <v>60.542924918284392</v>
      </c>
      <c r="AO75" s="45">
        <v>41.212032748751689</v>
      </c>
      <c r="AP75" s="45">
        <v>0</v>
      </c>
      <c r="AQ75" s="45">
        <v>453.33236023626858</v>
      </c>
      <c r="AR75" s="45">
        <v>1.3302391041790051</v>
      </c>
      <c r="AS75" s="199">
        <v>340.79013224923614</v>
      </c>
      <c r="AT75" s="45">
        <v>351.5774025692325</v>
      </c>
      <c r="AU75" s="45">
        <v>68.487471627018536</v>
      </c>
      <c r="AV75" s="45">
        <v>42.00648741962511</v>
      </c>
      <c r="AW75" s="45">
        <v>0</v>
      </c>
      <c r="AX75" s="45">
        <v>462.07136161587613</v>
      </c>
      <c r="AY75" s="45">
        <v>0.32935502587843651</v>
      </c>
      <c r="AZ75" s="199">
        <v>1402.9582830365694</v>
      </c>
      <c r="BA75" s="45">
        <v>351.5774025692325</v>
      </c>
      <c r="BB75" s="45">
        <v>129.03039654530292</v>
      </c>
      <c r="BC75" s="45">
        <v>48.060779911453544</v>
      </c>
      <c r="BD75" s="45">
        <v>0</v>
      </c>
      <c r="BE75" s="45">
        <v>528.66857902598895</v>
      </c>
      <c r="BF75" s="45">
        <v>1.6595941300574417</v>
      </c>
      <c r="BG75" s="45">
        <v>-17.609874418239706</v>
      </c>
      <c r="BH75" s="199">
        <v>318.55293378730539</v>
      </c>
      <c r="BI75" s="45">
        <v>0.13352979697350001</v>
      </c>
      <c r="BJ75" s="45">
        <v>3.3060755468387902E-2</v>
      </c>
      <c r="BK75" s="45">
        <v>0.27581756711694166</v>
      </c>
      <c r="BL75" s="45">
        <v>-5.0912745426379624</v>
      </c>
      <c r="BM75" s="45">
        <v>-4.6488664230791334</v>
      </c>
      <c r="BN75" s="45">
        <v>351.5774025692325</v>
      </c>
      <c r="BO75" s="45">
        <v>0</v>
      </c>
      <c r="BP75" s="45">
        <v>129.03039654530292</v>
      </c>
      <c r="BQ75" s="45">
        <v>0</v>
      </c>
      <c r="BR75" s="45">
        <v>0</v>
      </c>
      <c r="BS75" s="45">
        <v>0</v>
      </c>
      <c r="BT75" s="45">
        <v>0</v>
      </c>
      <c r="BU75" s="45">
        <v>0</v>
      </c>
      <c r="BV75" s="45">
        <v>0</v>
      </c>
      <c r="BW75" s="45">
        <v>48.060779911453544</v>
      </c>
      <c r="BX75" s="45">
        <v>8.1439012495582226</v>
      </c>
      <c r="BY75" s="45"/>
      <c r="BZ75" s="45">
        <v>0</v>
      </c>
      <c r="CA75" s="45">
        <v>-54.45644007047715</v>
      </c>
      <c r="CB75" s="45">
        <v>528.66857902598895</v>
      </c>
      <c r="CC75" s="45">
        <v>-46.312538820918931</v>
      </c>
      <c r="CD75" s="199">
        <v>71.60266329704065</v>
      </c>
      <c r="CE75" s="45">
        <v>-22.425331393760729</v>
      </c>
      <c r="CF75" s="45">
        <v>6.9638154209681566</v>
      </c>
      <c r="CG75" s="45">
        <v>0</v>
      </c>
      <c r="CH75" s="45">
        <v>6.9638154209681566</v>
      </c>
      <c r="CI75" s="45">
        <v>0.34818915952324303</v>
      </c>
      <c r="CJ75" s="45">
        <v>0</v>
      </c>
      <c r="CK75" s="45">
        <v>0.34818915952324303</v>
      </c>
      <c r="CL75" s="45"/>
      <c r="CM75" s="45">
        <v>0</v>
      </c>
      <c r="CN75" s="45"/>
      <c r="CO75" s="45">
        <v>0</v>
      </c>
      <c r="CP75" s="45">
        <v>0</v>
      </c>
      <c r="CQ75" s="45">
        <v>0</v>
      </c>
      <c r="CR75" s="45">
        <v>0</v>
      </c>
      <c r="CS75" s="45">
        <v>0</v>
      </c>
      <c r="CT75" s="45">
        <v>0</v>
      </c>
      <c r="CU75" s="45">
        <v>2.7477261383935736</v>
      </c>
      <c r="CV75" s="45">
        <v>9999</v>
      </c>
      <c r="CW75" s="200">
        <v>0</v>
      </c>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row>
    <row r="76" spans="1:131">
      <c r="A76" s="24" t="s">
        <v>421</v>
      </c>
      <c r="B76" s="24" t="s">
        <v>625</v>
      </c>
      <c r="C76" s="45">
        <v>6.6762790697674417</v>
      </c>
      <c r="D76" s="45">
        <v>68.226666666666659</v>
      </c>
      <c r="E76" s="45">
        <v>0</v>
      </c>
      <c r="F76" s="45">
        <v>4.0008899869194874</v>
      </c>
      <c r="G76" s="45">
        <v>0</v>
      </c>
      <c r="H76" s="45">
        <v>-38.781804660785241</v>
      </c>
      <c r="I76" s="45" t="s">
        <v>369</v>
      </c>
      <c r="J76" s="45"/>
      <c r="K76" s="45"/>
      <c r="L76" s="45">
        <v>77.194303284934591</v>
      </c>
      <c r="M76" s="45">
        <v>1.8043624507137073E-2</v>
      </c>
      <c r="N76" s="45">
        <v>1.7119188336942193E-2</v>
      </c>
      <c r="O76" s="45">
        <v>0</v>
      </c>
      <c r="P76" s="45">
        <v>0</v>
      </c>
      <c r="Q76" s="45">
        <v>0</v>
      </c>
      <c r="R76" s="45">
        <v>0.79783090928932687</v>
      </c>
      <c r="S76" s="45">
        <v>0.1975356302112157</v>
      </c>
      <c r="T76" s="45">
        <v>1.6479900768107303</v>
      </c>
      <c r="U76" s="45">
        <v>7.9972084671416068</v>
      </c>
      <c r="V76" s="45" t="s">
        <v>609</v>
      </c>
      <c r="W76" s="45" t="s">
        <v>609</v>
      </c>
      <c r="X76" s="45" t="s">
        <v>609</v>
      </c>
      <c r="Y76" s="45" t="s">
        <v>609</v>
      </c>
      <c r="Z76" s="45">
        <v>0</v>
      </c>
      <c r="AA76" s="45">
        <v>0</v>
      </c>
      <c r="AB76" s="45">
        <v>0</v>
      </c>
      <c r="AC76" s="45">
        <v>0</v>
      </c>
      <c r="AD76" s="45">
        <v>0</v>
      </c>
      <c r="AE76" s="45">
        <v>0</v>
      </c>
      <c r="AF76" s="45">
        <v>0</v>
      </c>
      <c r="AG76" s="45">
        <v>-38.781804660785241</v>
      </c>
      <c r="AH76" s="45">
        <v>0.79783090928932687</v>
      </c>
      <c r="AI76" s="45">
        <v>0.1975356302112157</v>
      </c>
      <c r="AJ76" s="45">
        <v>1.6479900768107303</v>
      </c>
      <c r="AK76" s="45">
        <v>-30.784596193643633</v>
      </c>
      <c r="AL76" s="45">
        <v>-28.14123957733236</v>
      </c>
      <c r="AM76" s="45">
        <v>37.024105008408256</v>
      </c>
      <c r="AN76" s="45">
        <v>6.3756873829492875</v>
      </c>
      <c r="AO76" s="45">
        <v>4.3399792391357543</v>
      </c>
      <c r="AP76" s="45">
        <v>0</v>
      </c>
      <c r="AQ76" s="45">
        <v>47.739771630493294</v>
      </c>
      <c r="AR76" s="45">
        <v>0.79783090928932687</v>
      </c>
      <c r="AS76" s="199">
        <v>59.836954265181092</v>
      </c>
      <c r="AT76" s="45">
        <v>37.024105008408256</v>
      </c>
      <c r="AU76" s="45">
        <v>7.2123160440602803</v>
      </c>
      <c r="AV76" s="45">
        <v>4.423642105246854</v>
      </c>
      <c r="AW76" s="45">
        <v>0</v>
      </c>
      <c r="AX76" s="45">
        <v>48.660063157715392</v>
      </c>
      <c r="AY76" s="45">
        <v>0.1975356302112157</v>
      </c>
      <c r="AZ76" s="199">
        <v>246.33562616367203</v>
      </c>
      <c r="BA76" s="45">
        <v>37.024105008408256</v>
      </c>
      <c r="BB76" s="45">
        <v>13.588003427009568</v>
      </c>
      <c r="BC76" s="45">
        <v>5.0612108435417831</v>
      </c>
      <c r="BD76" s="45">
        <v>0</v>
      </c>
      <c r="BE76" s="45">
        <v>55.67331927895961</v>
      </c>
      <c r="BF76" s="45">
        <v>0.99536653950054255</v>
      </c>
      <c r="BG76" s="45">
        <v>-16.827679774387281</v>
      </c>
      <c r="BH76" s="199">
        <v>55.932480216680283</v>
      </c>
      <c r="BI76" s="45">
        <v>0.76049387420596526</v>
      </c>
      <c r="BJ76" s="45">
        <v>0.18829132208835822</v>
      </c>
      <c r="BK76" s="45">
        <v>1.5708671393580773</v>
      </c>
      <c r="BL76" s="45">
        <v>-29.343933097332869</v>
      </c>
      <c r="BM76" s="45">
        <v>-26.82428076168047</v>
      </c>
      <c r="BN76" s="45">
        <v>37.024105008408256</v>
      </c>
      <c r="BO76" s="45">
        <v>0</v>
      </c>
      <c r="BP76" s="45">
        <v>13.588003427009568</v>
      </c>
      <c r="BQ76" s="45">
        <v>0</v>
      </c>
      <c r="BR76" s="45">
        <v>0</v>
      </c>
      <c r="BS76" s="45">
        <v>0</v>
      </c>
      <c r="BT76" s="45">
        <v>0</v>
      </c>
      <c r="BU76" s="45">
        <v>0</v>
      </c>
      <c r="BV76" s="45">
        <v>0</v>
      </c>
      <c r="BW76" s="45">
        <v>5.0612108435417831</v>
      </c>
      <c r="BX76" s="45">
        <v>10.640565083452881</v>
      </c>
      <c r="BY76" s="45"/>
      <c r="BZ76" s="45">
        <v>0</v>
      </c>
      <c r="CA76" s="45">
        <v>-38.781804660785241</v>
      </c>
      <c r="CB76" s="45">
        <v>55.673319278959603</v>
      </c>
      <c r="CC76" s="45">
        <v>-28.14123957733236</v>
      </c>
      <c r="CD76" s="199">
        <v>8.8768898267096557</v>
      </c>
      <c r="CE76" s="45">
        <v>-44.600745732362078</v>
      </c>
      <c r="CF76" s="45">
        <v>0.73334927535431171</v>
      </c>
      <c r="CG76" s="45">
        <v>0</v>
      </c>
      <c r="CH76" s="45">
        <v>0.73334927535431171</v>
      </c>
      <c r="CI76" s="45">
        <v>3.666729406034392E-2</v>
      </c>
      <c r="CJ76" s="45">
        <v>0</v>
      </c>
      <c r="CK76" s="45">
        <v>3.666729406034392E-2</v>
      </c>
      <c r="CL76" s="45"/>
      <c r="CM76" s="45">
        <v>0</v>
      </c>
      <c r="CN76" s="45"/>
      <c r="CO76" s="45">
        <v>0</v>
      </c>
      <c r="CP76" s="45">
        <v>0</v>
      </c>
      <c r="CQ76" s="45">
        <v>0</v>
      </c>
      <c r="CR76" s="45">
        <v>0</v>
      </c>
      <c r="CS76" s="45">
        <v>0</v>
      </c>
      <c r="CT76" s="45">
        <v>0</v>
      </c>
      <c r="CU76" s="45">
        <v>1.6479900768107303</v>
      </c>
      <c r="CV76" s="45">
        <v>9999</v>
      </c>
      <c r="CW76" s="200">
        <v>0</v>
      </c>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row>
    <row r="77" spans="1:131">
      <c r="A77" s="24" t="s">
        <v>417</v>
      </c>
      <c r="B77" s="24" t="s">
        <v>626</v>
      </c>
      <c r="C77" s="45">
        <v>6.6762790697674417</v>
      </c>
      <c r="D77" s="45">
        <v>278.92666666666668</v>
      </c>
      <c r="E77" s="45">
        <v>0</v>
      </c>
      <c r="F77" s="45">
        <v>4.7789999869194872</v>
      </c>
      <c r="G77" s="45">
        <v>0</v>
      </c>
      <c r="H77" s="45">
        <v>-479.41816791091384</v>
      </c>
      <c r="I77" s="45" t="s">
        <v>369</v>
      </c>
      <c r="J77" s="45"/>
      <c r="K77" s="45"/>
      <c r="L77" s="45">
        <v>315.58847519429145</v>
      </c>
      <c r="M77" s="45">
        <v>7.3766582543883921E-2</v>
      </c>
      <c r="N77" s="45">
        <v>6.9987269965734261E-2</v>
      </c>
      <c r="O77" s="45">
        <v>0</v>
      </c>
      <c r="P77" s="45">
        <v>0</v>
      </c>
      <c r="Q77" s="45">
        <v>0</v>
      </c>
      <c r="R77" s="45">
        <v>0.9529964376734521</v>
      </c>
      <c r="S77" s="45">
        <v>0.23595319473465187</v>
      </c>
      <c r="T77" s="45">
        <v>1.9684981544783511</v>
      </c>
      <c r="U77" s="45">
        <v>9.5525393811912522</v>
      </c>
      <c r="V77" s="45" t="s">
        <v>609</v>
      </c>
      <c r="W77" s="45" t="s">
        <v>609</v>
      </c>
      <c r="X77" s="45" t="s">
        <v>609</v>
      </c>
      <c r="Y77" s="45" t="s">
        <v>609</v>
      </c>
      <c r="Z77" s="45">
        <v>0</v>
      </c>
      <c r="AA77" s="45">
        <v>0</v>
      </c>
      <c r="AB77" s="45">
        <v>0</v>
      </c>
      <c r="AC77" s="45">
        <v>0</v>
      </c>
      <c r="AD77" s="45">
        <v>0</v>
      </c>
      <c r="AE77" s="45">
        <v>0</v>
      </c>
      <c r="AF77" s="45">
        <v>0</v>
      </c>
      <c r="AG77" s="45">
        <v>-479.41816791091384</v>
      </c>
      <c r="AH77" s="45">
        <v>0.9529964376734521</v>
      </c>
      <c r="AI77" s="45">
        <v>0.23595319473465187</v>
      </c>
      <c r="AJ77" s="45">
        <v>1.9684981544783511</v>
      </c>
      <c r="AK77" s="45">
        <v>-469.86562852972258</v>
      </c>
      <c r="AL77" s="45">
        <v>-466.70818074283613</v>
      </c>
      <c r="AM77" s="45">
        <v>151.36325282849253</v>
      </c>
      <c r="AN77" s="45">
        <v>26.065310183233851</v>
      </c>
      <c r="AO77" s="45">
        <v>17.74285630117264</v>
      </c>
      <c r="AP77" s="45">
        <v>0</v>
      </c>
      <c r="AQ77" s="45">
        <v>195.17141931289905</v>
      </c>
      <c r="AR77" s="45">
        <v>0.9529964376734521</v>
      </c>
      <c r="AS77" s="199">
        <v>204.79763784780829</v>
      </c>
      <c r="AT77" s="45">
        <v>151.36325282849253</v>
      </c>
      <c r="AU77" s="45">
        <v>29.485645003658199</v>
      </c>
      <c r="AV77" s="45">
        <v>18.084889783215075</v>
      </c>
      <c r="AW77" s="45">
        <v>0</v>
      </c>
      <c r="AX77" s="45">
        <v>198.93378761536582</v>
      </c>
      <c r="AY77" s="45">
        <v>0.23595319473465187</v>
      </c>
      <c r="AZ77" s="199">
        <v>843.10698924455198</v>
      </c>
      <c r="BA77" s="45">
        <v>151.36325282849253</v>
      </c>
      <c r="BB77" s="45">
        <v>55.550955186892054</v>
      </c>
      <c r="BC77" s="45">
        <v>20.69142080153846</v>
      </c>
      <c r="BD77" s="45">
        <v>0</v>
      </c>
      <c r="BE77" s="45">
        <v>227.60562881692306</v>
      </c>
      <c r="BF77" s="45">
        <v>1.1889496324081039</v>
      </c>
      <c r="BG77" s="45">
        <v>-17.49925270888621</v>
      </c>
      <c r="BH77" s="199">
        <v>191.43420596878406</v>
      </c>
      <c r="BI77" s="45">
        <v>0.22219805681367</v>
      </c>
      <c r="BJ77" s="45">
        <v>5.5014204981720917E-2</v>
      </c>
      <c r="BK77" s="45">
        <v>0.45896967446615028</v>
      </c>
      <c r="BL77" s="45">
        <v>-109.55259169458955</v>
      </c>
      <c r="BM77" s="45">
        <v>-108.81640975832802</v>
      </c>
      <c r="BN77" s="45">
        <v>151.36325282849253</v>
      </c>
      <c r="BO77" s="45">
        <v>0</v>
      </c>
      <c r="BP77" s="45">
        <v>55.550955186892054</v>
      </c>
      <c r="BQ77" s="45">
        <v>0</v>
      </c>
      <c r="BR77" s="45">
        <v>0</v>
      </c>
      <c r="BS77" s="45">
        <v>0</v>
      </c>
      <c r="BT77" s="45">
        <v>0</v>
      </c>
      <c r="BU77" s="45">
        <v>0</v>
      </c>
      <c r="BV77" s="45">
        <v>0</v>
      </c>
      <c r="BW77" s="45">
        <v>20.69142080153846</v>
      </c>
      <c r="BX77" s="45">
        <v>12.709987168077706</v>
      </c>
      <c r="BY77" s="45"/>
      <c r="BZ77" s="45">
        <v>0</v>
      </c>
      <c r="CA77" s="45">
        <v>-479.41816791091384</v>
      </c>
      <c r="CB77" s="45">
        <v>227.60562881692306</v>
      </c>
      <c r="CC77" s="45">
        <v>-466.70818074283613</v>
      </c>
      <c r="CD77" s="199">
        <v>55.627420183679781</v>
      </c>
      <c r="CE77" s="45">
        <v>-126.59287472900962</v>
      </c>
      <c r="CF77" s="45">
        <v>2.9981043904191012</v>
      </c>
      <c r="CG77" s="45">
        <v>0</v>
      </c>
      <c r="CH77" s="45">
        <v>2.9981043904191012</v>
      </c>
      <c r="CI77" s="45">
        <v>0.14990452571728841</v>
      </c>
      <c r="CJ77" s="45">
        <v>0</v>
      </c>
      <c r="CK77" s="45">
        <v>0.14990452571728841</v>
      </c>
      <c r="CL77" s="45"/>
      <c r="CM77" s="45">
        <v>0</v>
      </c>
      <c r="CN77" s="45"/>
      <c r="CO77" s="45">
        <v>0</v>
      </c>
      <c r="CP77" s="45">
        <v>0</v>
      </c>
      <c r="CQ77" s="45">
        <v>0</v>
      </c>
      <c r="CR77" s="45">
        <v>0</v>
      </c>
      <c r="CS77" s="45">
        <v>0</v>
      </c>
      <c r="CT77" s="45">
        <v>0</v>
      </c>
      <c r="CU77" s="45">
        <v>1.9684981544783511</v>
      </c>
      <c r="CV77" s="45">
        <v>9999</v>
      </c>
      <c r="CW77" s="200">
        <v>0</v>
      </c>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row>
    <row r="78" spans="1:131">
      <c r="A78" s="24" t="s">
        <v>429</v>
      </c>
      <c r="B78" s="24" t="s">
        <v>627</v>
      </c>
      <c r="C78" s="45">
        <v>14.186046511627907</v>
      </c>
      <c r="D78" s="45">
        <v>640.16615646258492</v>
      </c>
      <c r="E78" s="45">
        <v>0</v>
      </c>
      <c r="F78" s="45">
        <v>154.26033291735365</v>
      </c>
      <c r="G78" s="45">
        <v>0</v>
      </c>
      <c r="H78" s="45">
        <v>-54.45644007047715</v>
      </c>
      <c r="I78" s="45" t="s">
        <v>369</v>
      </c>
      <c r="J78" s="45"/>
      <c r="K78" s="45"/>
      <c r="L78" s="45">
        <v>724.30887875791984</v>
      </c>
      <c r="M78" s="45">
        <v>0.16930209716711028</v>
      </c>
      <c r="N78" s="45">
        <v>0.16062817568037027</v>
      </c>
      <c r="O78" s="45">
        <v>0</v>
      </c>
      <c r="P78" s="45">
        <v>0</v>
      </c>
      <c r="Q78" s="45">
        <v>0</v>
      </c>
      <c r="R78" s="45">
        <v>30.761571070712684</v>
      </c>
      <c r="S78" s="45">
        <v>7.6162834217002446</v>
      </c>
      <c r="T78" s="45">
        <v>63.540736867163027</v>
      </c>
      <c r="U78" s="45">
        <v>112.52368215561623</v>
      </c>
      <c r="V78" s="45" t="s">
        <v>609</v>
      </c>
      <c r="W78" s="45" t="s">
        <v>609</v>
      </c>
      <c r="X78" s="45" t="s">
        <v>609</v>
      </c>
      <c r="Y78" s="45" t="s">
        <v>609</v>
      </c>
      <c r="Z78" s="45">
        <v>0</v>
      </c>
      <c r="AA78" s="45">
        <v>0</v>
      </c>
      <c r="AB78" s="45">
        <v>0</v>
      </c>
      <c r="AC78" s="45">
        <v>0</v>
      </c>
      <c r="AD78" s="45">
        <v>0</v>
      </c>
      <c r="AE78" s="45">
        <v>0</v>
      </c>
      <c r="AF78" s="45">
        <v>0</v>
      </c>
      <c r="AG78" s="45">
        <v>-54.45644007047715</v>
      </c>
      <c r="AH78" s="45">
        <v>30.761571070712684</v>
      </c>
      <c r="AI78" s="45">
        <v>7.6162834217002446</v>
      </c>
      <c r="AJ78" s="45">
        <v>63.540736867163027</v>
      </c>
      <c r="AK78" s="45">
        <v>58.067242085139078</v>
      </c>
      <c r="AL78" s="45">
        <v>159.98583344471504</v>
      </c>
      <c r="AM78" s="45">
        <v>347.39465018125691</v>
      </c>
      <c r="AN78" s="45">
        <v>59.822639536099899</v>
      </c>
      <c r="AO78" s="45">
        <v>40.721728971735686</v>
      </c>
      <c r="AP78" s="45">
        <v>0</v>
      </c>
      <c r="AQ78" s="45">
        <v>447.93901868909251</v>
      </c>
      <c r="AR78" s="45">
        <v>30.761571070712684</v>
      </c>
      <c r="AS78" s="199">
        <v>14.561643085764366</v>
      </c>
      <c r="AT78" s="45">
        <v>347.39465018125691</v>
      </c>
      <c r="AU78" s="45">
        <v>67.672669158484041</v>
      </c>
      <c r="AV78" s="45">
        <v>41.506731933974095</v>
      </c>
      <c r="AW78" s="45">
        <v>0</v>
      </c>
      <c r="AX78" s="45">
        <v>456.57405127371504</v>
      </c>
      <c r="AY78" s="45">
        <v>7.6162834217002446</v>
      </c>
      <c r="AZ78" s="199">
        <v>59.947093089110687</v>
      </c>
      <c r="BA78" s="45">
        <v>347.39465018125691</v>
      </c>
      <c r="BB78" s="45">
        <v>127.49530869458394</v>
      </c>
      <c r="BC78" s="45">
        <v>47.488995887584089</v>
      </c>
      <c r="BD78" s="45">
        <v>0</v>
      </c>
      <c r="BE78" s="45">
        <v>522.37895476342499</v>
      </c>
      <c r="BF78" s="45">
        <v>38.377854492412929</v>
      </c>
      <c r="BG78" s="45">
        <v>-13.877700520559507</v>
      </c>
      <c r="BH78" s="199">
        <v>13.611468428145095</v>
      </c>
      <c r="BI78" s="45">
        <v>3.1250345103087729</v>
      </c>
      <c r="BJ78" s="45">
        <v>0.77372993981332516</v>
      </c>
      <c r="BK78" s="45">
        <v>6.4550342719453626</v>
      </c>
      <c r="BL78" s="45">
        <v>5.8989878968593734</v>
      </c>
      <c r="BM78" s="45">
        <v>16.252786618926834</v>
      </c>
      <c r="BN78" s="45">
        <v>347.39465018125691</v>
      </c>
      <c r="BO78" s="45">
        <v>0</v>
      </c>
      <c r="BP78" s="45">
        <v>127.49530869458394</v>
      </c>
      <c r="BQ78" s="45">
        <v>0</v>
      </c>
      <c r="BR78" s="45">
        <v>0</v>
      </c>
      <c r="BS78" s="45">
        <v>0</v>
      </c>
      <c r="BT78" s="45">
        <v>0</v>
      </c>
      <c r="BU78" s="45">
        <v>0</v>
      </c>
      <c r="BV78" s="45">
        <v>0</v>
      </c>
      <c r="BW78" s="45">
        <v>47.488995887584089</v>
      </c>
      <c r="BX78" s="45">
        <v>214.4422735151922</v>
      </c>
      <c r="BY78" s="45"/>
      <c r="BZ78" s="45">
        <v>0</v>
      </c>
      <c r="CA78" s="45">
        <v>-54.45644007047715</v>
      </c>
      <c r="CB78" s="45">
        <v>522.37895476342499</v>
      </c>
      <c r="CC78" s="45">
        <v>159.98583344471504</v>
      </c>
      <c r="CD78" s="199">
        <v>2.6899332178225395</v>
      </c>
      <c r="CE78" s="45">
        <v>-1.5236783517547763</v>
      </c>
      <c r="CF78" s="45">
        <v>6.8809661952539356</v>
      </c>
      <c r="CG78" s="45">
        <v>0</v>
      </c>
      <c r="CH78" s="45">
        <v>6.8809661952539356</v>
      </c>
      <c r="CI78" s="45">
        <v>0.34404671741001186</v>
      </c>
      <c r="CJ78" s="45">
        <v>0</v>
      </c>
      <c r="CK78" s="45">
        <v>0.34404671741001186</v>
      </c>
      <c r="CL78" s="45"/>
      <c r="CM78" s="45">
        <v>0</v>
      </c>
      <c r="CN78" s="45"/>
      <c r="CO78" s="45">
        <v>0</v>
      </c>
      <c r="CP78" s="45">
        <v>0</v>
      </c>
      <c r="CQ78" s="45">
        <v>0</v>
      </c>
      <c r="CR78" s="45">
        <v>0</v>
      </c>
      <c r="CS78" s="45">
        <v>0</v>
      </c>
      <c r="CT78" s="45">
        <v>0</v>
      </c>
      <c r="CU78" s="45">
        <v>63.540736867163027</v>
      </c>
      <c r="CV78" s="45">
        <v>9999</v>
      </c>
      <c r="CW78" s="200">
        <v>0</v>
      </c>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row>
    <row r="79" spans="1:131">
      <c r="A79" s="24" t="s">
        <v>422</v>
      </c>
      <c r="B79" s="24" t="s">
        <v>628</v>
      </c>
      <c r="C79" s="45">
        <v>6.6762790697674417</v>
      </c>
      <c r="D79" s="45">
        <v>68.226666666666659</v>
      </c>
      <c r="E79" s="45">
        <v>0</v>
      </c>
      <c r="F79" s="45">
        <v>4.0008899869194874</v>
      </c>
      <c r="G79" s="45">
        <v>0</v>
      </c>
      <c r="H79" s="45">
        <v>-38.781804660785241</v>
      </c>
      <c r="I79" s="45" t="s">
        <v>369</v>
      </c>
      <c r="J79" s="45"/>
      <c r="K79" s="45"/>
      <c r="L79" s="45">
        <v>77.194303284934591</v>
      </c>
      <c r="M79" s="45">
        <v>1.8043624507137073E-2</v>
      </c>
      <c r="N79" s="45">
        <v>1.7119188336942193E-2</v>
      </c>
      <c r="O79" s="45">
        <v>0</v>
      </c>
      <c r="P79" s="45">
        <v>0</v>
      </c>
      <c r="Q79" s="45">
        <v>0</v>
      </c>
      <c r="R79" s="45">
        <v>0.79783090928932687</v>
      </c>
      <c r="S79" s="45">
        <v>0.1975356302112157</v>
      </c>
      <c r="T79" s="45">
        <v>1.6479900768107303</v>
      </c>
      <c r="U79" s="45">
        <v>7.9972084671416068</v>
      </c>
      <c r="V79" s="45" t="s">
        <v>609</v>
      </c>
      <c r="W79" s="45" t="s">
        <v>609</v>
      </c>
      <c r="X79" s="45" t="s">
        <v>609</v>
      </c>
      <c r="Y79" s="45" t="s">
        <v>609</v>
      </c>
      <c r="Z79" s="45">
        <v>0</v>
      </c>
      <c r="AA79" s="45">
        <v>0</v>
      </c>
      <c r="AB79" s="45">
        <v>0</v>
      </c>
      <c r="AC79" s="45">
        <v>0</v>
      </c>
      <c r="AD79" s="45">
        <v>0</v>
      </c>
      <c r="AE79" s="45">
        <v>0</v>
      </c>
      <c r="AF79" s="45">
        <v>0</v>
      </c>
      <c r="AG79" s="45">
        <v>-38.781804660785241</v>
      </c>
      <c r="AH79" s="45">
        <v>0.79783090928932687</v>
      </c>
      <c r="AI79" s="45">
        <v>0.1975356302112157</v>
      </c>
      <c r="AJ79" s="45">
        <v>1.6479900768107303</v>
      </c>
      <c r="AK79" s="45">
        <v>-30.784596193643633</v>
      </c>
      <c r="AL79" s="45">
        <v>-28.14123957733236</v>
      </c>
      <c r="AM79" s="45">
        <v>37.024105008408256</v>
      </c>
      <c r="AN79" s="45">
        <v>6.3756873829492875</v>
      </c>
      <c r="AO79" s="45">
        <v>4.3399792391357543</v>
      </c>
      <c r="AP79" s="45">
        <v>0</v>
      </c>
      <c r="AQ79" s="45">
        <v>47.739771630493294</v>
      </c>
      <c r="AR79" s="45">
        <v>0.79783090928932687</v>
      </c>
      <c r="AS79" s="199">
        <v>59.836954265181092</v>
      </c>
      <c r="AT79" s="45">
        <v>37.024105008408256</v>
      </c>
      <c r="AU79" s="45">
        <v>7.2123160440602803</v>
      </c>
      <c r="AV79" s="45">
        <v>4.423642105246854</v>
      </c>
      <c r="AW79" s="45">
        <v>0</v>
      </c>
      <c r="AX79" s="45">
        <v>48.660063157715392</v>
      </c>
      <c r="AY79" s="45">
        <v>0.1975356302112157</v>
      </c>
      <c r="AZ79" s="199">
        <v>246.33562616367203</v>
      </c>
      <c r="BA79" s="45">
        <v>37.024105008408256</v>
      </c>
      <c r="BB79" s="45">
        <v>13.588003427009568</v>
      </c>
      <c r="BC79" s="45">
        <v>5.0612108435417831</v>
      </c>
      <c r="BD79" s="45">
        <v>0</v>
      </c>
      <c r="BE79" s="45">
        <v>55.67331927895961</v>
      </c>
      <c r="BF79" s="45">
        <v>0.99536653950054255</v>
      </c>
      <c r="BG79" s="45">
        <v>-16.827679774387281</v>
      </c>
      <c r="BH79" s="199">
        <v>55.932480216680283</v>
      </c>
      <c r="BI79" s="45">
        <v>0.76049387420596526</v>
      </c>
      <c r="BJ79" s="45">
        <v>0.18829132208835822</v>
      </c>
      <c r="BK79" s="45">
        <v>1.5708671393580773</v>
      </c>
      <c r="BL79" s="45">
        <v>-29.343933097332869</v>
      </c>
      <c r="BM79" s="45">
        <v>-26.82428076168047</v>
      </c>
      <c r="BN79" s="45">
        <v>37.024105008408256</v>
      </c>
      <c r="BO79" s="45">
        <v>0</v>
      </c>
      <c r="BP79" s="45">
        <v>13.588003427009568</v>
      </c>
      <c r="BQ79" s="45">
        <v>0</v>
      </c>
      <c r="BR79" s="45">
        <v>0</v>
      </c>
      <c r="BS79" s="45">
        <v>0</v>
      </c>
      <c r="BT79" s="45">
        <v>0</v>
      </c>
      <c r="BU79" s="45">
        <v>0</v>
      </c>
      <c r="BV79" s="45">
        <v>0</v>
      </c>
      <c r="BW79" s="45">
        <v>5.0612108435417831</v>
      </c>
      <c r="BX79" s="45">
        <v>10.640565083452881</v>
      </c>
      <c r="BY79" s="45"/>
      <c r="BZ79" s="45">
        <v>0</v>
      </c>
      <c r="CA79" s="45">
        <v>-38.781804660785241</v>
      </c>
      <c r="CB79" s="45">
        <v>55.673319278959603</v>
      </c>
      <c r="CC79" s="45">
        <v>-28.14123957733236</v>
      </c>
      <c r="CD79" s="199">
        <v>8.8768898267096557</v>
      </c>
      <c r="CE79" s="45">
        <v>-44.600745732362078</v>
      </c>
      <c r="CF79" s="45">
        <v>0.73334927535431171</v>
      </c>
      <c r="CG79" s="45">
        <v>0</v>
      </c>
      <c r="CH79" s="45">
        <v>0.73334927535431171</v>
      </c>
      <c r="CI79" s="45">
        <v>3.666729406034392E-2</v>
      </c>
      <c r="CJ79" s="45">
        <v>0</v>
      </c>
      <c r="CK79" s="45">
        <v>3.666729406034392E-2</v>
      </c>
      <c r="CL79" s="45"/>
      <c r="CM79" s="45">
        <v>0</v>
      </c>
      <c r="CN79" s="45"/>
      <c r="CO79" s="45">
        <v>0</v>
      </c>
      <c r="CP79" s="45">
        <v>0</v>
      </c>
      <c r="CQ79" s="45">
        <v>0</v>
      </c>
      <c r="CR79" s="45">
        <v>0</v>
      </c>
      <c r="CS79" s="45">
        <v>0</v>
      </c>
      <c r="CT79" s="45">
        <v>0</v>
      </c>
      <c r="CU79" s="45">
        <v>1.6479900768107303</v>
      </c>
      <c r="CV79" s="45">
        <v>9999</v>
      </c>
      <c r="CW79" s="200">
        <v>0</v>
      </c>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row>
    <row r="80" spans="1:131">
      <c r="A80" s="24" t="s">
        <v>418</v>
      </c>
      <c r="B80" s="24" t="s">
        <v>629</v>
      </c>
      <c r="C80" s="45">
        <v>6.6762790697674417</v>
      </c>
      <c r="D80" s="45">
        <v>278.92666666666668</v>
      </c>
      <c r="E80" s="45">
        <v>0</v>
      </c>
      <c r="F80" s="45">
        <v>4.7789999869194872</v>
      </c>
      <c r="G80" s="45">
        <v>0</v>
      </c>
      <c r="H80" s="45">
        <v>-479.41816791091384</v>
      </c>
      <c r="I80" s="45" t="s">
        <v>369</v>
      </c>
      <c r="J80" s="45"/>
      <c r="K80" s="45"/>
      <c r="L80" s="45">
        <v>315.58847519429145</v>
      </c>
      <c r="M80" s="45">
        <v>7.3766582543883921E-2</v>
      </c>
      <c r="N80" s="45">
        <v>6.9987269965734261E-2</v>
      </c>
      <c r="O80" s="45">
        <v>0</v>
      </c>
      <c r="P80" s="45">
        <v>0</v>
      </c>
      <c r="Q80" s="45">
        <v>0</v>
      </c>
      <c r="R80" s="45">
        <v>0.9529964376734521</v>
      </c>
      <c r="S80" s="45">
        <v>0.23595319473465187</v>
      </c>
      <c r="T80" s="45">
        <v>1.9684981544783511</v>
      </c>
      <c r="U80" s="45">
        <v>9.5525393811912522</v>
      </c>
      <c r="V80" s="45" t="s">
        <v>609</v>
      </c>
      <c r="W80" s="45" t="s">
        <v>609</v>
      </c>
      <c r="X80" s="45" t="s">
        <v>609</v>
      </c>
      <c r="Y80" s="45" t="s">
        <v>609</v>
      </c>
      <c r="Z80" s="45">
        <v>0</v>
      </c>
      <c r="AA80" s="45">
        <v>0</v>
      </c>
      <c r="AB80" s="45">
        <v>0</v>
      </c>
      <c r="AC80" s="45">
        <v>0</v>
      </c>
      <c r="AD80" s="45">
        <v>0</v>
      </c>
      <c r="AE80" s="45">
        <v>0</v>
      </c>
      <c r="AF80" s="45">
        <v>0</v>
      </c>
      <c r="AG80" s="45">
        <v>-479.41816791091384</v>
      </c>
      <c r="AH80" s="45">
        <v>0.9529964376734521</v>
      </c>
      <c r="AI80" s="45">
        <v>0.23595319473465187</v>
      </c>
      <c r="AJ80" s="45">
        <v>1.9684981544783511</v>
      </c>
      <c r="AK80" s="45">
        <v>-469.86562852972258</v>
      </c>
      <c r="AL80" s="45">
        <v>-466.70818074283613</v>
      </c>
      <c r="AM80" s="45">
        <v>151.36325282849253</v>
      </c>
      <c r="AN80" s="45">
        <v>26.065310183233851</v>
      </c>
      <c r="AO80" s="45">
        <v>17.74285630117264</v>
      </c>
      <c r="AP80" s="45">
        <v>0</v>
      </c>
      <c r="AQ80" s="45">
        <v>195.17141931289905</v>
      </c>
      <c r="AR80" s="45">
        <v>0.9529964376734521</v>
      </c>
      <c r="AS80" s="199">
        <v>204.79763784780829</v>
      </c>
      <c r="AT80" s="45">
        <v>151.36325282849253</v>
      </c>
      <c r="AU80" s="45">
        <v>29.485645003658199</v>
      </c>
      <c r="AV80" s="45">
        <v>18.084889783215075</v>
      </c>
      <c r="AW80" s="45">
        <v>0</v>
      </c>
      <c r="AX80" s="45">
        <v>198.93378761536582</v>
      </c>
      <c r="AY80" s="45">
        <v>0.23595319473465187</v>
      </c>
      <c r="AZ80" s="199">
        <v>843.10698924455198</v>
      </c>
      <c r="BA80" s="45">
        <v>151.36325282849253</v>
      </c>
      <c r="BB80" s="45">
        <v>55.550955186892054</v>
      </c>
      <c r="BC80" s="45">
        <v>20.69142080153846</v>
      </c>
      <c r="BD80" s="45">
        <v>0</v>
      </c>
      <c r="BE80" s="45">
        <v>227.60562881692306</v>
      </c>
      <c r="BF80" s="45">
        <v>1.1889496324081039</v>
      </c>
      <c r="BG80" s="45">
        <v>-17.49925270888621</v>
      </c>
      <c r="BH80" s="199">
        <v>191.43420596878406</v>
      </c>
      <c r="BI80" s="45">
        <v>0.22219805681367</v>
      </c>
      <c r="BJ80" s="45">
        <v>5.5014204981720917E-2</v>
      </c>
      <c r="BK80" s="45">
        <v>0.45896967446615028</v>
      </c>
      <c r="BL80" s="45">
        <v>-109.55259169458955</v>
      </c>
      <c r="BM80" s="45">
        <v>-108.81640975832802</v>
      </c>
      <c r="BN80" s="45">
        <v>151.36325282849253</v>
      </c>
      <c r="BO80" s="45">
        <v>0</v>
      </c>
      <c r="BP80" s="45">
        <v>55.550955186892054</v>
      </c>
      <c r="BQ80" s="45">
        <v>0</v>
      </c>
      <c r="BR80" s="45">
        <v>0</v>
      </c>
      <c r="BS80" s="45">
        <v>0</v>
      </c>
      <c r="BT80" s="45">
        <v>0</v>
      </c>
      <c r="BU80" s="45">
        <v>0</v>
      </c>
      <c r="BV80" s="45">
        <v>0</v>
      </c>
      <c r="BW80" s="45">
        <v>20.69142080153846</v>
      </c>
      <c r="BX80" s="45">
        <v>12.709987168077706</v>
      </c>
      <c r="BY80" s="45"/>
      <c r="BZ80" s="45">
        <v>0</v>
      </c>
      <c r="CA80" s="45">
        <v>-479.41816791091384</v>
      </c>
      <c r="CB80" s="45">
        <v>227.60562881692306</v>
      </c>
      <c r="CC80" s="45">
        <v>-466.70818074283613</v>
      </c>
      <c r="CD80" s="199">
        <v>55.627420183679781</v>
      </c>
      <c r="CE80" s="45">
        <v>-126.59287472900962</v>
      </c>
      <c r="CF80" s="45">
        <v>2.9981043904191012</v>
      </c>
      <c r="CG80" s="45">
        <v>0</v>
      </c>
      <c r="CH80" s="45">
        <v>2.9981043904191012</v>
      </c>
      <c r="CI80" s="45">
        <v>0.14990452571728841</v>
      </c>
      <c r="CJ80" s="45">
        <v>0</v>
      </c>
      <c r="CK80" s="45">
        <v>0.14990452571728841</v>
      </c>
      <c r="CL80" s="45"/>
      <c r="CM80" s="45">
        <v>0</v>
      </c>
      <c r="CN80" s="45"/>
      <c r="CO80" s="45">
        <v>0</v>
      </c>
      <c r="CP80" s="45">
        <v>0</v>
      </c>
      <c r="CQ80" s="45">
        <v>0</v>
      </c>
      <c r="CR80" s="45">
        <v>0</v>
      </c>
      <c r="CS80" s="45">
        <v>0</v>
      </c>
      <c r="CT80" s="45">
        <v>0</v>
      </c>
      <c r="CU80" s="45">
        <v>1.9684981544783511</v>
      </c>
      <c r="CV80" s="45">
        <v>9999</v>
      </c>
      <c r="CW80" s="200">
        <v>0</v>
      </c>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row>
    <row r="81" spans="1:131">
      <c r="A81" s="24" t="s">
        <v>420</v>
      </c>
      <c r="B81" s="24" t="s">
        <v>630</v>
      </c>
      <c r="C81" s="45">
        <v>14.186046511627907</v>
      </c>
      <c r="D81" s="45">
        <v>640.16615646258492</v>
      </c>
      <c r="E81" s="45">
        <v>0</v>
      </c>
      <c r="F81" s="45">
        <v>210.259506250687</v>
      </c>
      <c r="G81" s="45">
        <v>0</v>
      </c>
      <c r="H81" s="45">
        <v>-54.45644007047715</v>
      </c>
      <c r="I81" s="45" t="s">
        <v>369</v>
      </c>
      <c r="J81" s="45"/>
      <c r="K81" s="45"/>
      <c r="L81" s="45">
        <v>724.30887875791984</v>
      </c>
      <c r="M81" s="45">
        <v>0.16930209716711028</v>
      </c>
      <c r="N81" s="45">
        <v>0.16062817568037027</v>
      </c>
      <c r="O81" s="45">
        <v>0</v>
      </c>
      <c r="P81" s="45">
        <v>0</v>
      </c>
      <c r="Q81" s="45">
        <v>0</v>
      </c>
      <c r="R81" s="45">
        <v>41.928554298457968</v>
      </c>
      <c r="S81" s="45">
        <v>10.381126252138639</v>
      </c>
      <c r="T81" s="45">
        <v>86.607125161931847</v>
      </c>
      <c r="U81" s="45">
        <v>153.37172819550909</v>
      </c>
      <c r="V81" s="45" t="s">
        <v>609</v>
      </c>
      <c r="W81" s="45" t="s">
        <v>609</v>
      </c>
      <c r="X81" s="45" t="s">
        <v>609</v>
      </c>
      <c r="Y81" s="45" t="s">
        <v>609</v>
      </c>
      <c r="Z81" s="45">
        <v>0</v>
      </c>
      <c r="AA81" s="45">
        <v>0</v>
      </c>
      <c r="AB81" s="45">
        <v>0</v>
      </c>
      <c r="AC81" s="45">
        <v>0</v>
      </c>
      <c r="AD81" s="45">
        <v>0</v>
      </c>
      <c r="AE81" s="45">
        <v>0</v>
      </c>
      <c r="AF81" s="45">
        <v>0</v>
      </c>
      <c r="AG81" s="45">
        <v>-54.45644007047715</v>
      </c>
      <c r="AH81" s="45">
        <v>41.928554298457968</v>
      </c>
      <c r="AI81" s="45">
        <v>10.381126252138639</v>
      </c>
      <c r="AJ81" s="45">
        <v>86.607125161931847</v>
      </c>
      <c r="AK81" s="45">
        <v>98.915288125031935</v>
      </c>
      <c r="AL81" s="45">
        <v>237.83209383756039</v>
      </c>
      <c r="AM81" s="45">
        <v>347.39465018125691</v>
      </c>
      <c r="AN81" s="45">
        <v>59.822639536099899</v>
      </c>
      <c r="AO81" s="45">
        <v>40.721728971735686</v>
      </c>
      <c r="AP81" s="45">
        <v>0</v>
      </c>
      <c r="AQ81" s="45">
        <v>447.93901868909251</v>
      </c>
      <c r="AR81" s="45">
        <v>41.928554298457968</v>
      </c>
      <c r="AS81" s="199">
        <v>10.683388115424878</v>
      </c>
      <c r="AT81" s="45">
        <v>347.39465018125691</v>
      </c>
      <c r="AU81" s="45">
        <v>67.672669158484041</v>
      </c>
      <c r="AV81" s="45">
        <v>41.506731933974095</v>
      </c>
      <c r="AW81" s="45">
        <v>0</v>
      </c>
      <c r="AX81" s="45">
        <v>456.57405127371504</v>
      </c>
      <c r="AY81" s="45">
        <v>10.381126252138639</v>
      </c>
      <c r="AZ81" s="199">
        <v>43.981167378602606</v>
      </c>
      <c r="BA81" s="45">
        <v>347.39465018125691</v>
      </c>
      <c r="BB81" s="45">
        <v>127.49530869458394</v>
      </c>
      <c r="BC81" s="45">
        <v>47.488995887584089</v>
      </c>
      <c r="BD81" s="45">
        <v>0</v>
      </c>
      <c r="BE81" s="45">
        <v>522.37895476342499</v>
      </c>
      <c r="BF81" s="45">
        <v>52.30968055059661</v>
      </c>
      <c r="BG81" s="45">
        <v>-12.462381480990235</v>
      </c>
      <c r="BH81" s="199">
        <v>9.9862769044852655</v>
      </c>
      <c r="BI81" s="45">
        <v>4.2594761772354666</v>
      </c>
      <c r="BJ81" s="45">
        <v>1.054607312455905</v>
      </c>
      <c r="BK81" s="45">
        <v>8.7983235429528364</v>
      </c>
      <c r="BL81" s="45">
        <v>10.04869641661962</v>
      </c>
      <c r="BM81" s="45">
        <v>24.161103449263827</v>
      </c>
      <c r="BN81" s="45">
        <v>347.39465018125691</v>
      </c>
      <c r="BO81" s="45">
        <v>0</v>
      </c>
      <c r="BP81" s="45">
        <v>127.49530869458394</v>
      </c>
      <c r="BQ81" s="45">
        <v>0</v>
      </c>
      <c r="BR81" s="45">
        <v>0</v>
      </c>
      <c r="BS81" s="45">
        <v>0</v>
      </c>
      <c r="BT81" s="45">
        <v>0</v>
      </c>
      <c r="BU81" s="45">
        <v>0</v>
      </c>
      <c r="BV81" s="45">
        <v>0</v>
      </c>
      <c r="BW81" s="45">
        <v>47.488995887584089</v>
      </c>
      <c r="BX81" s="45">
        <v>292.28853390803755</v>
      </c>
      <c r="BY81" s="45"/>
      <c r="BZ81" s="45">
        <v>0</v>
      </c>
      <c r="CA81" s="45">
        <v>-54.45644007047715</v>
      </c>
      <c r="CB81" s="45">
        <v>522.37895476342499</v>
      </c>
      <c r="CC81" s="45">
        <v>237.83209383756039</v>
      </c>
      <c r="CD81" s="199">
        <v>1.9735135933022649</v>
      </c>
      <c r="CE81" s="45">
        <v>6.3846384785822172</v>
      </c>
      <c r="CF81" s="45">
        <v>6.8809661952539356</v>
      </c>
      <c r="CG81" s="45">
        <v>0</v>
      </c>
      <c r="CH81" s="45">
        <v>6.8809661952539356</v>
      </c>
      <c r="CI81" s="45">
        <v>0.34404671741001186</v>
      </c>
      <c r="CJ81" s="45">
        <v>0</v>
      </c>
      <c r="CK81" s="45">
        <v>0.34404671741001186</v>
      </c>
      <c r="CL81" s="45"/>
      <c r="CM81" s="45">
        <v>0</v>
      </c>
      <c r="CN81" s="45"/>
      <c r="CO81" s="45">
        <v>0</v>
      </c>
      <c r="CP81" s="45">
        <v>0</v>
      </c>
      <c r="CQ81" s="45">
        <v>0</v>
      </c>
      <c r="CR81" s="45">
        <v>0</v>
      </c>
      <c r="CS81" s="45">
        <v>0</v>
      </c>
      <c r="CT81" s="45">
        <v>0</v>
      </c>
      <c r="CU81" s="45">
        <v>86.607125161931847</v>
      </c>
      <c r="CV81" s="45">
        <v>9999</v>
      </c>
      <c r="CW81" s="200">
        <v>0</v>
      </c>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row>
    <row r="82" spans="1:131">
      <c r="A82" s="24" t="s">
        <v>437</v>
      </c>
      <c r="B82" s="24" t="s">
        <v>631</v>
      </c>
      <c r="C82" s="45">
        <v>6.6762790697674417</v>
      </c>
      <c r="D82" s="45">
        <v>68.226666666666659</v>
      </c>
      <c r="E82" s="45">
        <v>0</v>
      </c>
      <c r="F82" s="45">
        <v>30.451059986919489</v>
      </c>
      <c r="G82" s="45">
        <v>0</v>
      </c>
      <c r="H82" s="45">
        <v>-38.781804660785241</v>
      </c>
      <c r="I82" s="45" t="s">
        <v>369</v>
      </c>
      <c r="J82" s="45"/>
      <c r="K82" s="45"/>
      <c r="L82" s="45">
        <v>77.194303284934591</v>
      </c>
      <c r="M82" s="45">
        <v>1.8043624507137073E-2</v>
      </c>
      <c r="N82" s="45">
        <v>1.7119188336942193E-2</v>
      </c>
      <c r="O82" s="45">
        <v>0</v>
      </c>
      <c r="P82" s="45">
        <v>0</v>
      </c>
      <c r="Q82" s="45">
        <v>0</v>
      </c>
      <c r="R82" s="45">
        <v>6.0723481419427285</v>
      </c>
      <c r="S82" s="45">
        <v>1.5034578168311736</v>
      </c>
      <c r="T82" s="45">
        <v>12.54297040180562</v>
      </c>
      <c r="U82" s="45">
        <v>60.867325909236541</v>
      </c>
      <c r="V82" s="45" t="s">
        <v>609</v>
      </c>
      <c r="W82" s="45" t="s">
        <v>609</v>
      </c>
      <c r="X82" s="45" t="s">
        <v>609</v>
      </c>
      <c r="Y82" s="45" t="s">
        <v>609</v>
      </c>
      <c r="Z82" s="45">
        <v>0</v>
      </c>
      <c r="AA82" s="45">
        <v>0</v>
      </c>
      <c r="AB82" s="45">
        <v>0</v>
      </c>
      <c r="AC82" s="45">
        <v>0</v>
      </c>
      <c r="AD82" s="45">
        <v>0</v>
      </c>
      <c r="AE82" s="45">
        <v>0</v>
      </c>
      <c r="AF82" s="45">
        <v>0</v>
      </c>
      <c r="AG82" s="45">
        <v>-38.781804660785241</v>
      </c>
      <c r="AH82" s="45">
        <v>6.0723481419427285</v>
      </c>
      <c r="AI82" s="45">
        <v>1.5034578168311736</v>
      </c>
      <c r="AJ82" s="45">
        <v>12.54297040180562</v>
      </c>
      <c r="AK82" s="45">
        <v>22.0855212484513</v>
      </c>
      <c r="AL82" s="45">
        <v>42.204297609030824</v>
      </c>
      <c r="AM82" s="45">
        <v>37.024105008408256</v>
      </c>
      <c r="AN82" s="45">
        <v>6.3756873829492875</v>
      </c>
      <c r="AO82" s="45">
        <v>4.3399792391357543</v>
      </c>
      <c r="AP82" s="45">
        <v>0</v>
      </c>
      <c r="AQ82" s="45">
        <v>47.739771630493294</v>
      </c>
      <c r="AR82" s="45">
        <v>6.0723481419427285</v>
      </c>
      <c r="AS82" s="199">
        <v>7.8618304673190051</v>
      </c>
      <c r="AT82" s="45">
        <v>37.024105008408256</v>
      </c>
      <c r="AU82" s="45">
        <v>7.2123160440602803</v>
      </c>
      <c r="AV82" s="45">
        <v>4.423642105246854</v>
      </c>
      <c r="AW82" s="45">
        <v>0</v>
      </c>
      <c r="AX82" s="45">
        <v>48.660063157715392</v>
      </c>
      <c r="AY82" s="45">
        <v>1.5034578168311736</v>
      </c>
      <c r="AZ82" s="199">
        <v>32.365432945951106</v>
      </c>
      <c r="BA82" s="45">
        <v>37.024105008408256</v>
      </c>
      <c r="BB82" s="45">
        <v>13.588003427009568</v>
      </c>
      <c r="BC82" s="45">
        <v>5.0612108435417831</v>
      </c>
      <c r="BD82" s="45">
        <v>0</v>
      </c>
      <c r="BE82" s="45">
        <v>55.67331927895961</v>
      </c>
      <c r="BF82" s="45">
        <v>7.5758059587739019</v>
      </c>
      <c r="BG82" s="45">
        <v>-10.555192948327191</v>
      </c>
      <c r="BH82" s="199">
        <v>7.3488312110847671</v>
      </c>
      <c r="BI82" s="45">
        <v>5.7881732961523387</v>
      </c>
      <c r="BJ82" s="45">
        <v>1.4330987262020802</v>
      </c>
      <c r="BK82" s="45">
        <v>11.955982206075099</v>
      </c>
      <c r="BL82" s="45">
        <v>21.051959033592667</v>
      </c>
      <c r="BM82" s="45">
        <v>40.229213262022185</v>
      </c>
      <c r="BN82" s="45">
        <v>37.024105008408256</v>
      </c>
      <c r="BO82" s="45">
        <v>0</v>
      </c>
      <c r="BP82" s="45">
        <v>13.588003427009568</v>
      </c>
      <c r="BQ82" s="45">
        <v>0</v>
      </c>
      <c r="BR82" s="45">
        <v>0</v>
      </c>
      <c r="BS82" s="45">
        <v>0</v>
      </c>
      <c r="BT82" s="45">
        <v>0</v>
      </c>
      <c r="BU82" s="45">
        <v>0</v>
      </c>
      <c r="BV82" s="45">
        <v>0</v>
      </c>
      <c r="BW82" s="45">
        <v>5.0612108435417831</v>
      </c>
      <c r="BX82" s="45">
        <v>80.986102269816058</v>
      </c>
      <c r="BY82" s="45"/>
      <c r="BZ82" s="45">
        <v>0</v>
      </c>
      <c r="CA82" s="45">
        <v>-38.781804660785241</v>
      </c>
      <c r="CB82" s="45">
        <v>55.673319278959603</v>
      </c>
      <c r="CC82" s="45">
        <v>42.204297609030817</v>
      </c>
      <c r="CD82" s="199">
        <v>1.1663127535765945</v>
      </c>
      <c r="CE82" s="45">
        <v>22.45274829134058</v>
      </c>
      <c r="CF82" s="45">
        <v>0.73334927535431171</v>
      </c>
      <c r="CG82" s="45">
        <v>0</v>
      </c>
      <c r="CH82" s="45">
        <v>0.73334927535431171</v>
      </c>
      <c r="CI82" s="45">
        <v>3.666729406034392E-2</v>
      </c>
      <c r="CJ82" s="45">
        <v>0</v>
      </c>
      <c r="CK82" s="45">
        <v>3.666729406034392E-2</v>
      </c>
      <c r="CL82" s="45"/>
      <c r="CM82" s="45">
        <v>0</v>
      </c>
      <c r="CN82" s="45"/>
      <c r="CO82" s="45">
        <v>0</v>
      </c>
      <c r="CP82" s="45">
        <v>0</v>
      </c>
      <c r="CQ82" s="45">
        <v>0</v>
      </c>
      <c r="CR82" s="45">
        <v>0</v>
      </c>
      <c r="CS82" s="45">
        <v>0</v>
      </c>
      <c r="CT82" s="45">
        <v>0</v>
      </c>
      <c r="CU82" s="45">
        <v>12.54297040180562</v>
      </c>
      <c r="CV82" s="45">
        <v>9999</v>
      </c>
      <c r="CW82" s="200">
        <v>0</v>
      </c>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row>
    <row r="83" spans="1:131">
      <c r="A83" s="24" t="s">
        <v>423</v>
      </c>
      <c r="B83" s="24" t="s">
        <v>632</v>
      </c>
      <c r="C83" s="45">
        <v>6.6762790697674417</v>
      </c>
      <c r="D83" s="45">
        <v>278.92666666666668</v>
      </c>
      <c r="E83" s="45">
        <v>0</v>
      </c>
      <c r="F83" s="45">
        <v>30.451059986919489</v>
      </c>
      <c r="G83" s="45">
        <v>0</v>
      </c>
      <c r="H83" s="45">
        <v>-479.41816791091384</v>
      </c>
      <c r="I83" s="45" t="s">
        <v>369</v>
      </c>
      <c r="J83" s="45"/>
      <c r="K83" s="45"/>
      <c r="L83" s="45">
        <v>315.58847519429145</v>
      </c>
      <c r="M83" s="45">
        <v>7.3766582543883921E-2</v>
      </c>
      <c r="N83" s="45">
        <v>6.9987269965734261E-2</v>
      </c>
      <c r="O83" s="45">
        <v>0</v>
      </c>
      <c r="P83" s="45">
        <v>0</v>
      </c>
      <c r="Q83" s="45">
        <v>0</v>
      </c>
      <c r="R83" s="45">
        <v>6.0723481419427285</v>
      </c>
      <c r="S83" s="45">
        <v>1.5034578168311736</v>
      </c>
      <c r="T83" s="45">
        <v>12.54297040180562</v>
      </c>
      <c r="U83" s="45">
        <v>60.867325909236541</v>
      </c>
      <c r="V83" s="45" t="s">
        <v>609</v>
      </c>
      <c r="W83" s="45" t="s">
        <v>609</v>
      </c>
      <c r="X83" s="45" t="s">
        <v>609</v>
      </c>
      <c r="Y83" s="45" t="s">
        <v>609</v>
      </c>
      <c r="Z83" s="45">
        <v>0</v>
      </c>
      <c r="AA83" s="45">
        <v>0</v>
      </c>
      <c r="AB83" s="45">
        <v>0</v>
      </c>
      <c r="AC83" s="45">
        <v>0</v>
      </c>
      <c r="AD83" s="45">
        <v>0</v>
      </c>
      <c r="AE83" s="45">
        <v>0</v>
      </c>
      <c r="AF83" s="45">
        <v>0</v>
      </c>
      <c r="AG83" s="45">
        <v>-479.41816791091384</v>
      </c>
      <c r="AH83" s="45">
        <v>6.0723481419427285</v>
      </c>
      <c r="AI83" s="45">
        <v>1.5034578168311736</v>
      </c>
      <c r="AJ83" s="45">
        <v>12.54297040180562</v>
      </c>
      <c r="AK83" s="45">
        <v>-418.55084200167732</v>
      </c>
      <c r="AL83" s="45">
        <v>-398.43206564109778</v>
      </c>
      <c r="AM83" s="45">
        <v>151.36325282849253</v>
      </c>
      <c r="AN83" s="45">
        <v>26.065310183233851</v>
      </c>
      <c r="AO83" s="45">
        <v>17.74285630117264</v>
      </c>
      <c r="AP83" s="45">
        <v>0</v>
      </c>
      <c r="AQ83" s="45">
        <v>195.17141931289905</v>
      </c>
      <c r="AR83" s="45">
        <v>6.0723481419427285</v>
      </c>
      <c r="AS83" s="199">
        <v>32.141012792862988</v>
      </c>
      <c r="AT83" s="45">
        <v>151.36325282849253</v>
      </c>
      <c r="AU83" s="45">
        <v>29.485645003658199</v>
      </c>
      <c r="AV83" s="45">
        <v>18.084889783215075</v>
      </c>
      <c r="AW83" s="45">
        <v>0</v>
      </c>
      <c r="AX83" s="45">
        <v>198.93378761536582</v>
      </c>
      <c r="AY83" s="45">
        <v>1.5034578168311736</v>
      </c>
      <c r="AZ83" s="199">
        <v>132.31750527903537</v>
      </c>
      <c r="BA83" s="45">
        <v>151.36325282849253</v>
      </c>
      <c r="BB83" s="45">
        <v>55.550955186892054</v>
      </c>
      <c r="BC83" s="45">
        <v>20.69142080153846</v>
      </c>
      <c r="BD83" s="45">
        <v>0</v>
      </c>
      <c r="BE83" s="45">
        <v>227.60562881692306</v>
      </c>
      <c r="BF83" s="45">
        <v>7.5758059587739019</v>
      </c>
      <c r="BG83" s="45">
        <v>-16.01011066305534</v>
      </c>
      <c r="BH83" s="199">
        <v>30.04375112767007</v>
      </c>
      <c r="BI83" s="45">
        <v>1.4158121731595648</v>
      </c>
      <c r="BJ83" s="45">
        <v>0.35054213446669585</v>
      </c>
      <c r="BK83" s="45">
        <v>2.9244848561622545</v>
      </c>
      <c r="BL83" s="45">
        <v>-97.588175667835316</v>
      </c>
      <c r="BM83" s="45">
        <v>-92.897336504046791</v>
      </c>
      <c r="BN83" s="45">
        <v>151.36325282849253</v>
      </c>
      <c r="BO83" s="45">
        <v>0</v>
      </c>
      <c r="BP83" s="45">
        <v>55.550955186892054</v>
      </c>
      <c r="BQ83" s="45">
        <v>0</v>
      </c>
      <c r="BR83" s="45">
        <v>0</v>
      </c>
      <c r="BS83" s="45">
        <v>0</v>
      </c>
      <c r="BT83" s="45">
        <v>0</v>
      </c>
      <c r="BU83" s="45">
        <v>0</v>
      </c>
      <c r="BV83" s="45">
        <v>0</v>
      </c>
      <c r="BW83" s="45">
        <v>20.69142080153846</v>
      </c>
      <c r="BX83" s="45">
        <v>80.986102269816058</v>
      </c>
      <c r="BY83" s="45"/>
      <c r="BZ83" s="45">
        <v>0</v>
      </c>
      <c r="CA83" s="45">
        <v>-479.41816791091384</v>
      </c>
      <c r="CB83" s="45">
        <v>227.60562881692306</v>
      </c>
      <c r="CC83" s="45">
        <v>-398.43206564109778</v>
      </c>
      <c r="CD83" s="199">
        <v>8.7301867470086698</v>
      </c>
      <c r="CE83" s="45">
        <v>-110.67380147472839</v>
      </c>
      <c r="CF83" s="45">
        <v>2.9981043904191012</v>
      </c>
      <c r="CG83" s="45">
        <v>0</v>
      </c>
      <c r="CH83" s="45">
        <v>2.9981043904191012</v>
      </c>
      <c r="CI83" s="45">
        <v>0.14990452571728841</v>
      </c>
      <c r="CJ83" s="45">
        <v>0</v>
      </c>
      <c r="CK83" s="45">
        <v>0.14990452571728841</v>
      </c>
      <c r="CL83" s="45"/>
      <c r="CM83" s="45">
        <v>0</v>
      </c>
      <c r="CN83" s="45"/>
      <c r="CO83" s="45">
        <v>0</v>
      </c>
      <c r="CP83" s="45">
        <v>0</v>
      </c>
      <c r="CQ83" s="45">
        <v>0</v>
      </c>
      <c r="CR83" s="45">
        <v>0</v>
      </c>
      <c r="CS83" s="45">
        <v>0</v>
      </c>
      <c r="CT83" s="45">
        <v>0</v>
      </c>
      <c r="CU83" s="45">
        <v>12.54297040180562</v>
      </c>
      <c r="CV83" s="45">
        <v>9999</v>
      </c>
      <c r="CW83" s="200">
        <v>0</v>
      </c>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row>
    <row r="84" spans="1:131">
      <c r="A84" s="24"/>
      <c r="B84" s="24"/>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row>
    <row r="85" spans="1:131">
      <c r="A85" s="24"/>
      <c r="B85" s="24"/>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row>
    <row r="86" spans="1:131" ht="13.5" thickBot="1">
      <c r="A86" s="187" t="s">
        <v>633</v>
      </c>
      <c r="B86" s="188"/>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row>
    <row r="87" spans="1:131" ht="26.25" thickBot="1">
      <c r="A87" s="213" t="s">
        <v>512</v>
      </c>
      <c r="B87" s="214"/>
      <c r="C87" s="215" t="s">
        <v>513</v>
      </c>
      <c r="D87" s="216"/>
      <c r="E87" s="216"/>
      <c r="F87" s="216"/>
      <c r="G87" s="216"/>
      <c r="H87" s="216"/>
      <c r="I87" s="216"/>
      <c r="J87" s="216"/>
      <c r="K87" s="217"/>
      <c r="L87" s="215" t="s">
        <v>514</v>
      </c>
      <c r="M87" s="216"/>
      <c r="N87" s="216"/>
      <c r="O87" s="216"/>
      <c r="P87" s="216"/>
      <c r="Q87" s="217"/>
      <c r="R87" s="215" t="s">
        <v>515</v>
      </c>
      <c r="S87" s="216"/>
      <c r="T87" s="216"/>
      <c r="U87" s="217"/>
      <c r="V87" s="215" t="s">
        <v>516</v>
      </c>
      <c r="W87" s="216"/>
      <c r="X87" s="216"/>
      <c r="Y87" s="217"/>
      <c r="Z87" s="215" t="s">
        <v>517</v>
      </c>
      <c r="AA87" s="216"/>
      <c r="AB87" s="216"/>
      <c r="AC87" s="217"/>
      <c r="AD87" s="215" t="s">
        <v>518</v>
      </c>
      <c r="AE87" s="216"/>
      <c r="AF87" s="216"/>
      <c r="AG87" s="217"/>
      <c r="AH87" s="215" t="s">
        <v>519</v>
      </c>
      <c r="AI87" s="216"/>
      <c r="AJ87" s="216"/>
      <c r="AK87" s="216"/>
      <c r="AL87" s="217"/>
      <c r="AM87" s="215" t="s">
        <v>520</v>
      </c>
      <c r="AN87" s="216"/>
      <c r="AO87" s="216"/>
      <c r="AP87" s="216"/>
      <c r="AQ87" s="216"/>
      <c r="AR87" s="216"/>
      <c r="AS87" s="217"/>
      <c r="AT87" s="215" t="s">
        <v>521</v>
      </c>
      <c r="AU87" s="216"/>
      <c r="AV87" s="216"/>
      <c r="AW87" s="216"/>
      <c r="AX87" s="216"/>
      <c r="AY87" s="216"/>
      <c r="AZ87" s="217"/>
      <c r="BA87" s="215" t="s">
        <v>522</v>
      </c>
      <c r="BB87" s="216"/>
      <c r="BC87" s="216"/>
      <c r="BD87" s="216"/>
      <c r="BE87" s="216"/>
      <c r="BF87" s="217"/>
      <c r="BG87" s="215" t="s">
        <v>523</v>
      </c>
      <c r="BH87" s="217"/>
      <c r="BI87" s="215" t="s">
        <v>524</v>
      </c>
      <c r="BJ87" s="216"/>
      <c r="BK87" s="216"/>
      <c r="BL87" s="216"/>
      <c r="BM87" s="217"/>
      <c r="BN87" s="215" t="s">
        <v>525</v>
      </c>
      <c r="BO87" s="216"/>
      <c r="BP87" s="216"/>
      <c r="BQ87" s="216"/>
      <c r="BR87" s="216"/>
      <c r="BS87" s="216"/>
      <c r="BT87" s="216"/>
      <c r="BU87" s="216"/>
      <c r="BV87" s="216"/>
      <c r="BW87" s="216"/>
      <c r="BX87" s="216"/>
      <c r="BY87" s="216"/>
      <c r="BZ87" s="216"/>
      <c r="CA87" s="216"/>
      <c r="CB87" s="216"/>
      <c r="CC87" s="217"/>
      <c r="CD87" s="215" t="s">
        <v>526</v>
      </c>
      <c r="CE87" s="217"/>
      <c r="CF87" s="215" t="s">
        <v>527</v>
      </c>
      <c r="CG87" s="216"/>
      <c r="CH87" s="216"/>
      <c r="CI87" s="216"/>
      <c r="CJ87" s="216"/>
      <c r="CK87" s="217"/>
      <c r="CL87" s="218"/>
      <c r="CM87" s="215" t="s">
        <v>19</v>
      </c>
      <c r="CN87" s="216"/>
      <c r="CO87" s="216"/>
      <c r="CP87" s="217"/>
      <c r="CQ87" s="215" t="s">
        <v>528</v>
      </c>
      <c r="CR87" s="216"/>
      <c r="CS87" s="216"/>
      <c r="CT87" s="216"/>
      <c r="CU87" s="217"/>
      <c r="CV87" s="215" t="s">
        <v>529</v>
      </c>
      <c r="CW87" s="217"/>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row>
    <row r="88" spans="1:131" ht="127.5">
      <c r="A88" s="195" t="s">
        <v>388</v>
      </c>
      <c r="B88" s="196" t="s">
        <v>389</v>
      </c>
      <c r="C88" s="197" t="s">
        <v>11</v>
      </c>
      <c r="D88" s="197" t="s">
        <v>530</v>
      </c>
      <c r="E88" s="197" t="s">
        <v>531</v>
      </c>
      <c r="F88" s="197" t="s">
        <v>532</v>
      </c>
      <c r="G88" s="197" t="s">
        <v>533</v>
      </c>
      <c r="H88" s="197" t="s">
        <v>534</v>
      </c>
      <c r="I88" s="197" t="s">
        <v>535</v>
      </c>
      <c r="J88" s="197" t="s">
        <v>536</v>
      </c>
      <c r="K88" s="197" t="s">
        <v>537</v>
      </c>
      <c r="L88" s="197" t="s">
        <v>538</v>
      </c>
      <c r="M88" s="197" t="s">
        <v>539</v>
      </c>
      <c r="N88" s="197" t="s">
        <v>540</v>
      </c>
      <c r="O88" s="197" t="s">
        <v>541</v>
      </c>
      <c r="P88" s="197" t="s">
        <v>542</v>
      </c>
      <c r="Q88" s="197" t="s">
        <v>543</v>
      </c>
      <c r="R88" s="197" t="s">
        <v>544</v>
      </c>
      <c r="S88" s="197" t="s">
        <v>545</v>
      </c>
      <c r="T88" s="197" t="s">
        <v>546</v>
      </c>
      <c r="U88" s="197" t="s">
        <v>453</v>
      </c>
      <c r="V88" s="197" t="s">
        <v>544</v>
      </c>
      <c r="W88" s="197" t="s">
        <v>545</v>
      </c>
      <c r="X88" s="197" t="s">
        <v>546</v>
      </c>
      <c r="Y88" s="197" t="s">
        <v>453</v>
      </c>
      <c r="Z88" s="197" t="s">
        <v>544</v>
      </c>
      <c r="AA88" s="197" t="s">
        <v>545</v>
      </c>
      <c r="AB88" s="197" t="s">
        <v>546</v>
      </c>
      <c r="AC88" s="197" t="s">
        <v>453</v>
      </c>
      <c r="AD88" s="197" t="s">
        <v>544</v>
      </c>
      <c r="AE88" s="197" t="s">
        <v>545</v>
      </c>
      <c r="AF88" s="197" t="s">
        <v>546</v>
      </c>
      <c r="AG88" s="197" t="s">
        <v>453</v>
      </c>
      <c r="AH88" s="197" t="s">
        <v>544</v>
      </c>
      <c r="AI88" s="197" t="s">
        <v>545</v>
      </c>
      <c r="AJ88" s="197" t="s">
        <v>546</v>
      </c>
      <c r="AK88" s="197" t="s">
        <v>453</v>
      </c>
      <c r="AL88" s="197" t="s">
        <v>547</v>
      </c>
      <c r="AM88" s="197" t="s">
        <v>548</v>
      </c>
      <c r="AN88" s="197" t="s">
        <v>549</v>
      </c>
      <c r="AO88" s="197" t="s">
        <v>550</v>
      </c>
      <c r="AP88" s="197" t="s">
        <v>551</v>
      </c>
      <c r="AQ88" s="197" t="s">
        <v>552</v>
      </c>
      <c r="AR88" s="197" t="s">
        <v>553</v>
      </c>
      <c r="AS88" s="197" t="s">
        <v>554</v>
      </c>
      <c r="AT88" s="197" t="s">
        <v>555</v>
      </c>
      <c r="AU88" s="197" t="s">
        <v>556</v>
      </c>
      <c r="AV88" s="197" t="s">
        <v>557</v>
      </c>
      <c r="AW88" s="197" t="s">
        <v>558</v>
      </c>
      <c r="AX88" s="197" t="s">
        <v>559</v>
      </c>
      <c r="AY88" s="197" t="s">
        <v>560</v>
      </c>
      <c r="AZ88" s="197" t="s">
        <v>561</v>
      </c>
      <c r="BA88" s="197" t="s">
        <v>562</v>
      </c>
      <c r="BB88" s="197" t="s">
        <v>563</v>
      </c>
      <c r="BC88" s="197" t="s">
        <v>564</v>
      </c>
      <c r="BD88" s="197" t="s">
        <v>565</v>
      </c>
      <c r="BE88" s="197" t="s">
        <v>566</v>
      </c>
      <c r="BF88" s="197" t="s">
        <v>567</v>
      </c>
      <c r="BG88" s="197" t="s">
        <v>568</v>
      </c>
      <c r="BH88" s="197" t="s">
        <v>569</v>
      </c>
      <c r="BI88" s="197" t="s">
        <v>570</v>
      </c>
      <c r="BJ88" s="197" t="s">
        <v>571</v>
      </c>
      <c r="BK88" s="197" t="s">
        <v>572</v>
      </c>
      <c r="BL88" s="197" t="s">
        <v>573</v>
      </c>
      <c r="BM88" s="197" t="s">
        <v>574</v>
      </c>
      <c r="BN88" s="197" t="s">
        <v>575</v>
      </c>
      <c r="BO88" s="197" t="s">
        <v>576</v>
      </c>
      <c r="BP88" s="197" t="s">
        <v>577</v>
      </c>
      <c r="BQ88" s="197" t="s">
        <v>578</v>
      </c>
      <c r="BR88" s="197" t="s">
        <v>579</v>
      </c>
      <c r="BS88" s="197" t="s">
        <v>580</v>
      </c>
      <c r="BT88" s="197" t="s">
        <v>581</v>
      </c>
      <c r="BU88" s="197" t="s">
        <v>582</v>
      </c>
      <c r="BV88" s="197" t="s">
        <v>583</v>
      </c>
      <c r="BW88" s="197" t="s">
        <v>584</v>
      </c>
      <c r="BX88" s="197" t="s">
        <v>585</v>
      </c>
      <c r="BY88" s="197" t="s">
        <v>586</v>
      </c>
      <c r="BZ88" s="197" t="s">
        <v>587</v>
      </c>
      <c r="CA88" s="197" t="s">
        <v>588</v>
      </c>
      <c r="CB88" s="197" t="s">
        <v>589</v>
      </c>
      <c r="CC88" s="197" t="s">
        <v>590</v>
      </c>
      <c r="CD88" s="197" t="s">
        <v>399</v>
      </c>
      <c r="CE88" s="197" t="s">
        <v>398</v>
      </c>
      <c r="CF88" s="197" t="s">
        <v>591</v>
      </c>
      <c r="CG88" s="197" t="s">
        <v>592</v>
      </c>
      <c r="CH88" s="197" t="s">
        <v>593</v>
      </c>
      <c r="CI88" s="197" t="s">
        <v>594</v>
      </c>
      <c r="CJ88" s="197" t="s">
        <v>595</v>
      </c>
      <c r="CK88" s="197" t="s">
        <v>596</v>
      </c>
      <c r="CL88" s="197"/>
      <c r="CM88" s="197" t="s">
        <v>597</v>
      </c>
      <c r="CN88" s="197" t="s">
        <v>598</v>
      </c>
      <c r="CO88" s="197" t="s">
        <v>599</v>
      </c>
      <c r="CP88" s="197" t="s">
        <v>600</v>
      </c>
      <c r="CQ88" s="197" t="s">
        <v>601</v>
      </c>
      <c r="CR88" s="197" t="s">
        <v>602</v>
      </c>
      <c r="CS88" s="197" t="s">
        <v>603</v>
      </c>
      <c r="CT88" s="197" t="s">
        <v>604</v>
      </c>
      <c r="CU88" s="197" t="s">
        <v>605</v>
      </c>
      <c r="CV88" s="197" t="s">
        <v>606</v>
      </c>
      <c r="CW88" s="197" t="s">
        <v>607</v>
      </c>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row>
    <row r="89" spans="1:131">
      <c r="A89" s="24" t="s">
        <v>414</v>
      </c>
      <c r="B89" s="24"/>
      <c r="C89" s="45">
        <v>16.279069767441861</v>
      </c>
      <c r="D89" s="45">
        <v>743.50510204081638</v>
      </c>
      <c r="E89" s="45">
        <v>0</v>
      </c>
      <c r="F89" s="45">
        <v>2.0115772129567233</v>
      </c>
      <c r="G89" s="45">
        <v>0</v>
      </c>
      <c r="H89" s="45">
        <v>-35.766633955204988</v>
      </c>
      <c r="I89" s="45"/>
      <c r="J89" s="45"/>
      <c r="K89" s="45"/>
      <c r="L89" s="45">
        <v>841.23057955103127</v>
      </c>
      <c r="M89" s="45">
        <v>0.1966317209355842</v>
      </c>
      <c r="N89" s="45">
        <v>0.18655760999581042</v>
      </c>
      <c r="O89" s="45">
        <v>0</v>
      </c>
      <c r="P89" s="45">
        <v>0</v>
      </c>
      <c r="Q89" s="45">
        <v>0</v>
      </c>
      <c r="R89" s="45">
        <v>0.40113536792213955</v>
      </c>
      <c r="S89" s="45">
        <v>9.9317445313180402E-2</v>
      </c>
      <c r="T89" s="45">
        <v>0.82858046497892279</v>
      </c>
      <c r="U89" s="45">
        <v>1.1804883425692743</v>
      </c>
      <c r="V89" s="45">
        <v>0.1206946327774034</v>
      </c>
      <c r="W89" s="45">
        <v>3.0173658194350843E-2</v>
      </c>
      <c r="X89" s="45">
        <v>0.25144715161959041</v>
      </c>
      <c r="Y89" s="45">
        <v>0</v>
      </c>
      <c r="Z89" s="45">
        <v>0</v>
      </c>
      <c r="AA89" s="45">
        <v>0</v>
      </c>
      <c r="AB89" s="45">
        <v>0</v>
      </c>
      <c r="AC89" s="45">
        <v>0</v>
      </c>
      <c r="AD89" s="45">
        <v>0</v>
      </c>
      <c r="AE89" s="45">
        <v>0</v>
      </c>
      <c r="AF89" s="45">
        <v>0</v>
      </c>
      <c r="AG89" s="45">
        <v>-35.766633955204988</v>
      </c>
      <c r="AH89" s="45">
        <v>0.521830000699543</v>
      </c>
      <c r="AI89" s="45">
        <v>0.12949110350753124</v>
      </c>
      <c r="AJ89" s="45">
        <v>1.0800276165985132</v>
      </c>
      <c r="AK89" s="45">
        <v>-34.586145612635711</v>
      </c>
      <c r="AL89" s="45">
        <v>-32.854796891830127</v>
      </c>
      <c r="AM89" s="45">
        <v>403.4728987528805</v>
      </c>
      <c r="AN89" s="45">
        <v>69.479520689467293</v>
      </c>
      <c r="AO89" s="45">
        <v>47.295241944234782</v>
      </c>
      <c r="AP89" s="45">
        <v>0</v>
      </c>
      <c r="AQ89" s="45">
        <v>520.24766138658254</v>
      </c>
      <c r="AR89" s="45">
        <v>0.521830000699543</v>
      </c>
      <c r="AS89" s="199">
        <v>996.9677111112062</v>
      </c>
      <c r="AT89" s="45">
        <v>403.4728987528805</v>
      </c>
      <c r="AU89" s="45">
        <v>78.596742861388336</v>
      </c>
      <c r="AV89" s="45">
        <v>48.206964161426889</v>
      </c>
      <c r="AW89" s="45">
        <v>0</v>
      </c>
      <c r="AX89" s="45">
        <v>530.27660577569577</v>
      </c>
      <c r="AY89" s="45">
        <v>0.12949110350753124</v>
      </c>
      <c r="AZ89" s="199">
        <v>4095.0813717087117</v>
      </c>
      <c r="BA89" s="45">
        <v>403.4728987528805</v>
      </c>
      <c r="BB89" s="45">
        <v>148.07626355085563</v>
      </c>
      <c r="BC89" s="45">
        <v>55.154916230373615</v>
      </c>
      <c r="BD89" s="45">
        <v>0</v>
      </c>
      <c r="BE89" s="45">
        <v>606.70407853410973</v>
      </c>
      <c r="BF89" s="45">
        <v>0.65132110420707423</v>
      </c>
      <c r="BG89" s="45">
        <v>-17.719494446739034</v>
      </c>
      <c r="BH89" s="199">
        <v>931.49765087486026</v>
      </c>
      <c r="BI89" s="45">
        <v>4.5644043094527936E-2</v>
      </c>
      <c r="BJ89" s="45">
        <v>1.132648084803935E-2</v>
      </c>
      <c r="BK89" s="45">
        <v>9.4469131727224612E-2</v>
      </c>
      <c r="BL89" s="45">
        <v>-3.0252218513701585</v>
      </c>
      <c r="BM89" s="45">
        <v>-2.8737821957003673</v>
      </c>
      <c r="BN89" s="45">
        <v>403.4728987528805</v>
      </c>
      <c r="BO89" s="45">
        <v>0</v>
      </c>
      <c r="BP89" s="45">
        <v>148.07626355085563</v>
      </c>
      <c r="BQ89" s="45">
        <v>0</v>
      </c>
      <c r="BR89" s="45">
        <v>0</v>
      </c>
      <c r="BS89" s="45">
        <v>0</v>
      </c>
      <c r="BT89" s="45">
        <v>0</v>
      </c>
      <c r="BU89" s="45">
        <v>0</v>
      </c>
      <c r="BV89" s="45">
        <v>0</v>
      </c>
      <c r="BW89" s="45">
        <v>55.154916230373615</v>
      </c>
      <c r="BX89" s="45">
        <v>2.5095216207835169</v>
      </c>
      <c r="BY89" s="45">
        <v>0.40231544259134466</v>
      </c>
      <c r="BZ89" s="45">
        <v>0</v>
      </c>
      <c r="CA89" s="45">
        <v>-35.766633955204988</v>
      </c>
      <c r="CB89" s="45">
        <v>606.70407853410973</v>
      </c>
      <c r="CC89" s="45">
        <v>-32.854796891830127</v>
      </c>
      <c r="CD89" s="199">
        <v>220.64102437953096</v>
      </c>
      <c r="CE89" s="45">
        <v>-20.65024716638197</v>
      </c>
      <c r="CF89" s="45">
        <v>7.991727493705282</v>
      </c>
      <c r="CG89" s="45">
        <v>0</v>
      </c>
      <c r="CH89" s="45">
        <v>7.991727493705282</v>
      </c>
      <c r="CI89" s="45">
        <v>0.39958452528673977</v>
      </c>
      <c r="CJ89" s="45">
        <v>0</v>
      </c>
      <c r="CK89" s="45">
        <v>0.39958452528673977</v>
      </c>
      <c r="CL89" s="45"/>
      <c r="CM89" s="45">
        <v>0</v>
      </c>
      <c r="CN89" s="45"/>
      <c r="CO89" s="45">
        <v>0</v>
      </c>
      <c r="CP89" s="45">
        <v>0</v>
      </c>
      <c r="CQ89" s="45">
        <v>0</v>
      </c>
      <c r="CR89" s="45">
        <v>0</v>
      </c>
      <c r="CS89" s="45">
        <v>0</v>
      </c>
      <c r="CT89" s="45">
        <v>0</v>
      </c>
      <c r="CU89" s="45">
        <v>1.0800276165985132</v>
      </c>
      <c r="CV89" s="45">
        <v>9999</v>
      </c>
      <c r="CW89" s="200">
        <v>0</v>
      </c>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row>
    <row r="90" spans="1:131">
      <c r="A90" s="24" t="s">
        <v>415</v>
      </c>
      <c r="B90" s="24"/>
      <c r="C90" s="45">
        <v>16.744186046511629</v>
      </c>
      <c r="D90" s="45">
        <v>647.87397959183659</v>
      </c>
      <c r="E90" s="45">
        <v>0</v>
      </c>
      <c r="F90" s="45">
        <v>6.6707622506870052</v>
      </c>
      <c r="G90" s="45">
        <v>0</v>
      </c>
      <c r="H90" s="45">
        <v>-54.45644007047715</v>
      </c>
      <c r="I90" s="45"/>
      <c r="J90" s="45"/>
      <c r="K90" s="45"/>
      <c r="L90" s="45">
        <v>733.02980952261714</v>
      </c>
      <c r="M90" s="45">
        <v>0.17134055328854339</v>
      </c>
      <c r="N90" s="45">
        <v>0.16256219477091402</v>
      </c>
      <c r="O90" s="45">
        <v>0</v>
      </c>
      <c r="P90" s="45">
        <v>0</v>
      </c>
      <c r="Q90" s="45">
        <v>0</v>
      </c>
      <c r="R90" s="45">
        <v>1.3302391041790051</v>
      </c>
      <c r="S90" s="45">
        <v>0.32935502587843651</v>
      </c>
      <c r="T90" s="45">
        <v>2.7477261383935736</v>
      </c>
      <c r="U90" s="45">
        <v>3.736580981107207</v>
      </c>
      <c r="V90" s="45">
        <v>0.4002457350412203</v>
      </c>
      <c r="W90" s="45">
        <v>0.10006143376030506</v>
      </c>
      <c r="X90" s="45">
        <v>0.83384528133587565</v>
      </c>
      <c r="Y90" s="45">
        <v>0</v>
      </c>
      <c r="Z90" s="45">
        <v>0</v>
      </c>
      <c r="AA90" s="45">
        <v>0</v>
      </c>
      <c r="AB90" s="45">
        <v>0</v>
      </c>
      <c r="AC90" s="45">
        <v>0</v>
      </c>
      <c r="AD90" s="45">
        <v>0</v>
      </c>
      <c r="AE90" s="45">
        <v>0</v>
      </c>
      <c r="AF90" s="45">
        <v>0</v>
      </c>
      <c r="AG90" s="45">
        <v>-54.45644007047715</v>
      </c>
      <c r="AH90" s="45">
        <v>1.7304848392202254</v>
      </c>
      <c r="AI90" s="45">
        <v>0.42941645963874159</v>
      </c>
      <c r="AJ90" s="45">
        <v>3.5815714197294493</v>
      </c>
      <c r="AK90" s="45">
        <v>-50.71985908936994</v>
      </c>
      <c r="AL90" s="45">
        <v>-44.978386370781529</v>
      </c>
      <c r="AM90" s="45">
        <v>351.5774025692325</v>
      </c>
      <c r="AN90" s="45">
        <v>60.542924918284392</v>
      </c>
      <c r="AO90" s="45">
        <v>41.212032748751689</v>
      </c>
      <c r="AP90" s="45">
        <v>0</v>
      </c>
      <c r="AQ90" s="45">
        <v>453.33236023626858</v>
      </c>
      <c r="AR90" s="45">
        <v>1.7304848392202254</v>
      </c>
      <c r="AS90" s="199">
        <v>261.96840906190482</v>
      </c>
      <c r="AT90" s="45">
        <v>351.5774025692325</v>
      </c>
      <c r="AU90" s="45">
        <v>68.487471627018536</v>
      </c>
      <c r="AV90" s="45">
        <v>42.00648741962511</v>
      </c>
      <c r="AW90" s="45">
        <v>0</v>
      </c>
      <c r="AX90" s="45">
        <v>462.07136161587613</v>
      </c>
      <c r="AY90" s="45">
        <v>0.42941645963874159</v>
      </c>
      <c r="AZ90" s="199">
        <v>1076.0448307095783</v>
      </c>
      <c r="BA90" s="45">
        <v>351.5774025692325</v>
      </c>
      <c r="BB90" s="45">
        <v>129.03039654530292</v>
      </c>
      <c r="BC90" s="45">
        <v>48.060779911453544</v>
      </c>
      <c r="BD90" s="45">
        <v>0</v>
      </c>
      <c r="BE90" s="45">
        <v>528.66857902598895</v>
      </c>
      <c r="BF90" s="45">
        <v>2.159901298858967</v>
      </c>
      <c r="BG90" s="45">
        <v>-17.559653435812884</v>
      </c>
      <c r="BH90" s="199">
        <v>244.76515630842673</v>
      </c>
      <c r="BI90" s="45">
        <v>0.17370658291496302</v>
      </c>
      <c r="BJ90" s="45">
        <v>4.3104951953753655E-2</v>
      </c>
      <c r="BK90" s="45">
        <v>0.35951920449498959</v>
      </c>
      <c r="BL90" s="45">
        <v>-5.0912745426379624</v>
      </c>
      <c r="BM90" s="45">
        <v>-4.5149438032742557</v>
      </c>
      <c r="BN90" s="45">
        <v>351.5774025692325</v>
      </c>
      <c r="BO90" s="45">
        <v>0</v>
      </c>
      <c r="BP90" s="45">
        <v>129.03039654530292</v>
      </c>
      <c r="BQ90" s="45">
        <v>0</v>
      </c>
      <c r="BR90" s="45">
        <v>0</v>
      </c>
      <c r="BS90" s="45">
        <v>0</v>
      </c>
      <c r="BT90" s="45">
        <v>0</v>
      </c>
      <c r="BU90" s="45">
        <v>0</v>
      </c>
      <c r="BV90" s="45">
        <v>0</v>
      </c>
      <c r="BW90" s="45">
        <v>48.060779911453544</v>
      </c>
      <c r="BX90" s="45">
        <v>8.1439012495582226</v>
      </c>
      <c r="BY90" s="45">
        <v>1.3341524501374011</v>
      </c>
      <c r="BZ90" s="45">
        <v>0</v>
      </c>
      <c r="CA90" s="45">
        <v>-54.45644007047715</v>
      </c>
      <c r="CB90" s="45">
        <v>528.66857902598895</v>
      </c>
      <c r="CC90" s="45">
        <v>-44.978386370781529</v>
      </c>
      <c r="CD90" s="199">
        <v>61.5237091466566</v>
      </c>
      <c r="CE90" s="45">
        <v>-22.291408773955855</v>
      </c>
      <c r="CF90" s="45">
        <v>6.9638154209681566</v>
      </c>
      <c r="CG90" s="45">
        <v>0</v>
      </c>
      <c r="CH90" s="45">
        <v>6.9638154209681566</v>
      </c>
      <c r="CI90" s="45">
        <v>0.34818915952324303</v>
      </c>
      <c r="CJ90" s="45">
        <v>0</v>
      </c>
      <c r="CK90" s="45">
        <v>0.34818915952324303</v>
      </c>
      <c r="CL90" s="45"/>
      <c r="CM90" s="45">
        <v>0</v>
      </c>
      <c r="CN90" s="45"/>
      <c r="CO90" s="45">
        <v>0</v>
      </c>
      <c r="CP90" s="45">
        <v>0</v>
      </c>
      <c r="CQ90" s="45">
        <v>0</v>
      </c>
      <c r="CR90" s="45">
        <v>0</v>
      </c>
      <c r="CS90" s="45">
        <v>0</v>
      </c>
      <c r="CT90" s="45">
        <v>0</v>
      </c>
      <c r="CU90" s="45">
        <v>3.5815714197294493</v>
      </c>
      <c r="CV90" s="45">
        <v>9999</v>
      </c>
      <c r="CW90" s="200">
        <v>0</v>
      </c>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row>
    <row r="91" spans="1:131">
      <c r="A91" s="24" t="s">
        <v>416</v>
      </c>
      <c r="B91" s="24"/>
      <c r="C91" s="45">
        <v>16.744186046511629</v>
      </c>
      <c r="D91" s="45">
        <v>649.36581632653053</v>
      </c>
      <c r="E91" s="45">
        <v>0</v>
      </c>
      <c r="F91" s="45">
        <v>7.3019593555087283</v>
      </c>
      <c r="G91" s="45">
        <v>0</v>
      </c>
      <c r="H91" s="45">
        <v>-57.917727227432479</v>
      </c>
      <c r="I91" s="45"/>
      <c r="J91" s="45"/>
      <c r="K91" s="45"/>
      <c r="L91" s="45">
        <v>734.71773160610712</v>
      </c>
      <c r="M91" s="45">
        <v>0.17173509318301433</v>
      </c>
      <c r="N91" s="45">
        <v>0.16293652104650316</v>
      </c>
      <c r="O91" s="45">
        <v>0</v>
      </c>
      <c r="P91" s="45">
        <v>0</v>
      </c>
      <c r="Q91" s="45">
        <v>0</v>
      </c>
      <c r="R91" s="45">
        <v>1.4561082387283526</v>
      </c>
      <c r="S91" s="45">
        <v>0.36051907145232021</v>
      </c>
      <c r="T91" s="45">
        <v>3.0077199319391883</v>
      </c>
      <c r="U91" s="45">
        <v>4.0901416400804571</v>
      </c>
      <c r="V91" s="45">
        <v>0.43811756133052371</v>
      </c>
      <c r="W91" s="45">
        <v>0.10952939033263091</v>
      </c>
      <c r="X91" s="45">
        <v>0.91274491943859104</v>
      </c>
      <c r="Y91" s="45">
        <v>0</v>
      </c>
      <c r="Z91" s="45">
        <v>0</v>
      </c>
      <c r="AA91" s="45">
        <v>0</v>
      </c>
      <c r="AB91" s="45">
        <v>0</v>
      </c>
      <c r="AC91" s="45">
        <v>0</v>
      </c>
      <c r="AD91" s="45">
        <v>0</v>
      </c>
      <c r="AE91" s="45">
        <v>0</v>
      </c>
      <c r="AF91" s="45">
        <v>0</v>
      </c>
      <c r="AG91" s="45">
        <v>-57.917727227432479</v>
      </c>
      <c r="AH91" s="45">
        <v>1.8942258000588763</v>
      </c>
      <c r="AI91" s="45">
        <v>0.47004846178495113</v>
      </c>
      <c r="AJ91" s="45">
        <v>3.9204648513777793</v>
      </c>
      <c r="AK91" s="45">
        <v>-53.827585587352019</v>
      </c>
      <c r="AL91" s="45">
        <v>-47.542846474130414</v>
      </c>
      <c r="AM91" s="45">
        <v>352.38696754755102</v>
      </c>
      <c r="AN91" s="45">
        <v>60.682334992255591</v>
      </c>
      <c r="AO91" s="45">
        <v>41.306930253980667</v>
      </c>
      <c r="AP91" s="45">
        <v>0</v>
      </c>
      <c r="AQ91" s="45">
        <v>454.37623279378727</v>
      </c>
      <c r="AR91" s="45">
        <v>1.8942258000588763</v>
      </c>
      <c r="AS91" s="199">
        <v>239.87437652874559</v>
      </c>
      <c r="AT91" s="45">
        <v>352.38696754755102</v>
      </c>
      <c r="AU91" s="45">
        <v>68.645175330605881</v>
      </c>
      <c r="AV91" s="45">
        <v>42.103214287815696</v>
      </c>
      <c r="AW91" s="45">
        <v>0</v>
      </c>
      <c r="AX91" s="45">
        <v>463.13535716597261</v>
      </c>
      <c r="AY91" s="45">
        <v>0.47004846178495113</v>
      </c>
      <c r="AZ91" s="199">
        <v>985.29278323190999</v>
      </c>
      <c r="BA91" s="45">
        <v>352.38696754755102</v>
      </c>
      <c r="BB91" s="45">
        <v>129.32751032286149</v>
      </c>
      <c r="BC91" s="45">
        <v>48.171447787041252</v>
      </c>
      <c r="BD91" s="45">
        <v>0</v>
      </c>
      <c r="BE91" s="45">
        <v>529.88592565745375</v>
      </c>
      <c r="BF91" s="45">
        <v>2.3642742618438275</v>
      </c>
      <c r="BG91" s="45">
        <v>-17.539683645065445</v>
      </c>
      <c r="BH91" s="199">
        <v>224.12202095547553</v>
      </c>
      <c r="BI91" s="45">
        <v>0.1897061196294951</v>
      </c>
      <c r="BJ91" s="45">
        <v>4.7075205986669852E-2</v>
      </c>
      <c r="BK91" s="45">
        <v>0.39263332495818976</v>
      </c>
      <c r="BL91" s="45">
        <v>-5.3908158100706354</v>
      </c>
      <c r="BM91" s="45">
        <v>-4.7614011594962813</v>
      </c>
      <c r="BN91" s="45">
        <v>352.38696754755102</v>
      </c>
      <c r="BO91" s="45">
        <v>0</v>
      </c>
      <c r="BP91" s="45">
        <v>129.32751032286149</v>
      </c>
      <c r="BQ91" s="45">
        <v>0</v>
      </c>
      <c r="BR91" s="45">
        <v>0</v>
      </c>
      <c r="BS91" s="45">
        <v>0</v>
      </c>
      <c r="BT91" s="45">
        <v>0</v>
      </c>
      <c r="BU91" s="45">
        <v>0</v>
      </c>
      <c r="BV91" s="45">
        <v>0</v>
      </c>
      <c r="BW91" s="45">
        <v>48.171447787041252</v>
      </c>
      <c r="BX91" s="45">
        <v>8.9144888822003185</v>
      </c>
      <c r="BY91" s="45">
        <v>1.4603918711017458</v>
      </c>
      <c r="BZ91" s="45">
        <v>0</v>
      </c>
      <c r="CA91" s="45">
        <v>-57.917727227432479</v>
      </c>
      <c r="CB91" s="45">
        <v>529.88592565745375</v>
      </c>
      <c r="CC91" s="45">
        <v>-47.542846474130414</v>
      </c>
      <c r="CD91" s="199">
        <v>56.656424961588399</v>
      </c>
      <c r="CE91" s="45">
        <v>-22.537866130177889</v>
      </c>
      <c r="CF91" s="45">
        <v>6.9798507549773587</v>
      </c>
      <c r="CG91" s="45">
        <v>0</v>
      </c>
      <c r="CH91" s="45">
        <v>6.9798507549773587</v>
      </c>
      <c r="CI91" s="45">
        <v>0.34899092251290081</v>
      </c>
      <c r="CJ91" s="45">
        <v>0</v>
      </c>
      <c r="CK91" s="45">
        <v>0.34899092251290081</v>
      </c>
      <c r="CL91" s="45"/>
      <c r="CM91" s="45">
        <v>0</v>
      </c>
      <c r="CN91" s="45"/>
      <c r="CO91" s="45">
        <v>0</v>
      </c>
      <c r="CP91" s="45">
        <v>0</v>
      </c>
      <c r="CQ91" s="45">
        <v>0</v>
      </c>
      <c r="CR91" s="45">
        <v>0</v>
      </c>
      <c r="CS91" s="45">
        <v>0</v>
      </c>
      <c r="CT91" s="45">
        <v>0</v>
      </c>
      <c r="CU91" s="45">
        <v>3.9204648513777793</v>
      </c>
      <c r="CV91" s="45">
        <v>9999</v>
      </c>
      <c r="CW91" s="200">
        <v>0</v>
      </c>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row>
    <row r="92" spans="1:131">
      <c r="A92" s="24" t="s">
        <v>417</v>
      </c>
      <c r="B92" s="24"/>
      <c r="C92" s="45">
        <v>6.6762790697674417</v>
      </c>
      <c r="D92" s="45">
        <v>278.92666666666668</v>
      </c>
      <c r="E92" s="45">
        <v>0</v>
      </c>
      <c r="F92" s="45">
        <v>4.7789999869194872</v>
      </c>
      <c r="G92" s="45">
        <v>0</v>
      </c>
      <c r="H92" s="45">
        <v>-479.41816791091384</v>
      </c>
      <c r="I92" s="45"/>
      <c r="J92" s="45"/>
      <c r="K92" s="45"/>
      <c r="L92" s="45">
        <v>315.58847519429145</v>
      </c>
      <c r="M92" s="45">
        <v>7.3766582543883921E-2</v>
      </c>
      <c r="N92" s="45">
        <v>6.9987269965734261E-2</v>
      </c>
      <c r="O92" s="45">
        <v>0</v>
      </c>
      <c r="P92" s="45">
        <v>0</v>
      </c>
      <c r="Q92" s="45">
        <v>0</v>
      </c>
      <c r="R92" s="45">
        <v>0.9529964376734521</v>
      </c>
      <c r="S92" s="45">
        <v>0.23595319473465187</v>
      </c>
      <c r="T92" s="45">
        <v>1.9684981544783511</v>
      </c>
      <c r="U92" s="45">
        <v>9.5525393811912522</v>
      </c>
      <c r="V92" s="45">
        <v>0.28673999921516924</v>
      </c>
      <c r="W92" s="45">
        <v>7.1684999803792296E-2</v>
      </c>
      <c r="X92" s="45">
        <v>0.59737499836493591</v>
      </c>
      <c r="Y92" s="45">
        <v>0</v>
      </c>
      <c r="Z92" s="45">
        <v>0</v>
      </c>
      <c r="AA92" s="45">
        <v>0</v>
      </c>
      <c r="AB92" s="45">
        <v>0</v>
      </c>
      <c r="AC92" s="45">
        <v>0</v>
      </c>
      <c r="AD92" s="45">
        <v>0</v>
      </c>
      <c r="AE92" s="45">
        <v>0</v>
      </c>
      <c r="AF92" s="45">
        <v>0</v>
      </c>
      <c r="AG92" s="45">
        <v>-479.41816791091384</v>
      </c>
      <c r="AH92" s="45">
        <v>1.2397364368886215</v>
      </c>
      <c r="AI92" s="45">
        <v>0.30763819453844415</v>
      </c>
      <c r="AJ92" s="45">
        <v>2.5658731528432872</v>
      </c>
      <c r="AK92" s="45">
        <v>-469.86562852972258</v>
      </c>
      <c r="AL92" s="45">
        <v>-465.75238074545223</v>
      </c>
      <c r="AM92" s="45">
        <v>151.36325282849253</v>
      </c>
      <c r="AN92" s="45">
        <v>26.065310183233851</v>
      </c>
      <c r="AO92" s="45">
        <v>17.74285630117264</v>
      </c>
      <c r="AP92" s="45">
        <v>0</v>
      </c>
      <c r="AQ92" s="45">
        <v>195.17141931289905</v>
      </c>
      <c r="AR92" s="45">
        <v>1.2397364368886215</v>
      </c>
      <c r="AS92" s="199">
        <v>157.4297677357315</v>
      </c>
      <c r="AT92" s="45">
        <v>151.36325282849253</v>
      </c>
      <c r="AU92" s="45">
        <v>29.485645003658199</v>
      </c>
      <c r="AV92" s="45">
        <v>18.084889783215075</v>
      </c>
      <c r="AW92" s="45">
        <v>0</v>
      </c>
      <c r="AX92" s="45">
        <v>198.93378761536582</v>
      </c>
      <c r="AY92" s="45">
        <v>0.30763819453844415</v>
      </c>
      <c r="AZ92" s="199">
        <v>646.64853437275633</v>
      </c>
      <c r="BA92" s="45">
        <v>151.36325282849253</v>
      </c>
      <c r="BB92" s="45">
        <v>55.550955186892054</v>
      </c>
      <c r="BC92" s="45">
        <v>20.69142080153846</v>
      </c>
      <c r="BD92" s="45">
        <v>0</v>
      </c>
      <c r="BE92" s="45">
        <v>227.60562881692306</v>
      </c>
      <c r="BF92" s="45">
        <v>1.5473746314270653</v>
      </c>
      <c r="BG92" s="45">
        <v>-17.415683311197924</v>
      </c>
      <c r="BH92" s="199">
        <v>147.09148269221262</v>
      </c>
      <c r="BI92" s="45">
        <v>0.28905357496430073</v>
      </c>
      <c r="BJ92" s="45">
        <v>7.1728084519378593E-2</v>
      </c>
      <c r="BK92" s="45">
        <v>0.59825200394663092</v>
      </c>
      <c r="BL92" s="45">
        <v>-109.55259169458955</v>
      </c>
      <c r="BM92" s="45">
        <v>-108.59355803115925</v>
      </c>
      <c r="BN92" s="45">
        <v>151.36325282849253</v>
      </c>
      <c r="BO92" s="45">
        <v>0</v>
      </c>
      <c r="BP92" s="45">
        <v>55.550955186892054</v>
      </c>
      <c r="BQ92" s="45">
        <v>0</v>
      </c>
      <c r="BR92" s="45">
        <v>0</v>
      </c>
      <c r="BS92" s="45">
        <v>0</v>
      </c>
      <c r="BT92" s="45">
        <v>0</v>
      </c>
      <c r="BU92" s="45">
        <v>0</v>
      </c>
      <c r="BV92" s="45">
        <v>0</v>
      </c>
      <c r="BW92" s="45">
        <v>20.69142080153846</v>
      </c>
      <c r="BX92" s="45">
        <v>12.709987168077706</v>
      </c>
      <c r="BY92" s="45">
        <v>0.95579999738389754</v>
      </c>
      <c r="BZ92" s="45">
        <v>0</v>
      </c>
      <c r="CA92" s="45">
        <v>-479.41816791091384</v>
      </c>
      <c r="CB92" s="45">
        <v>227.60562881692306</v>
      </c>
      <c r="CC92" s="45">
        <v>-465.75238074545223</v>
      </c>
      <c r="CD92" s="199">
        <v>51.736777996568115</v>
      </c>
      <c r="CE92" s="45">
        <v>-126.37002300184083</v>
      </c>
      <c r="CF92" s="45">
        <v>2.9981043904191012</v>
      </c>
      <c r="CG92" s="45">
        <v>0</v>
      </c>
      <c r="CH92" s="45">
        <v>2.9981043904191012</v>
      </c>
      <c r="CI92" s="45">
        <v>0.14990452571728841</v>
      </c>
      <c r="CJ92" s="45">
        <v>0</v>
      </c>
      <c r="CK92" s="45">
        <v>0.14990452571728841</v>
      </c>
      <c r="CL92" s="45"/>
      <c r="CM92" s="45">
        <v>0</v>
      </c>
      <c r="CN92" s="45"/>
      <c r="CO92" s="45">
        <v>0</v>
      </c>
      <c r="CP92" s="45">
        <v>0</v>
      </c>
      <c r="CQ92" s="45">
        <v>0</v>
      </c>
      <c r="CR92" s="45">
        <v>0</v>
      </c>
      <c r="CS92" s="45">
        <v>0</v>
      </c>
      <c r="CT92" s="45">
        <v>0</v>
      </c>
      <c r="CU92" s="45">
        <v>2.5658731528432872</v>
      </c>
      <c r="CV92" s="45">
        <v>9999</v>
      </c>
      <c r="CW92" s="200">
        <v>0</v>
      </c>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row>
    <row r="93" spans="1:131">
      <c r="A93" s="24" t="s">
        <v>418</v>
      </c>
      <c r="B93" s="24"/>
      <c r="C93" s="45">
        <v>6.6762790697674417</v>
      </c>
      <c r="D93" s="45">
        <v>278.92666666666668</v>
      </c>
      <c r="E93" s="45">
        <v>0</v>
      </c>
      <c r="F93" s="45">
        <v>4.7789999869194872</v>
      </c>
      <c r="G93" s="45">
        <v>0</v>
      </c>
      <c r="H93" s="45">
        <v>-479.41816791091384</v>
      </c>
      <c r="I93" s="45"/>
      <c r="J93" s="45"/>
      <c r="K93" s="45"/>
      <c r="L93" s="45">
        <v>315.58847519429145</v>
      </c>
      <c r="M93" s="45">
        <v>7.3766582543883921E-2</v>
      </c>
      <c r="N93" s="45">
        <v>6.9987269965734261E-2</v>
      </c>
      <c r="O93" s="45">
        <v>0</v>
      </c>
      <c r="P93" s="45">
        <v>0</v>
      </c>
      <c r="Q93" s="45">
        <v>0</v>
      </c>
      <c r="R93" s="45">
        <v>0.9529964376734521</v>
      </c>
      <c r="S93" s="45">
        <v>0.23595319473465187</v>
      </c>
      <c r="T93" s="45">
        <v>1.9684981544783511</v>
      </c>
      <c r="U93" s="45">
        <v>9.5525393811912522</v>
      </c>
      <c r="V93" s="45">
        <v>0.28673999921516924</v>
      </c>
      <c r="W93" s="45">
        <v>7.1684999803792296E-2</v>
      </c>
      <c r="X93" s="45">
        <v>0.59737499836493591</v>
      </c>
      <c r="Y93" s="45">
        <v>0</v>
      </c>
      <c r="Z93" s="45">
        <v>0</v>
      </c>
      <c r="AA93" s="45">
        <v>0</v>
      </c>
      <c r="AB93" s="45">
        <v>0</v>
      </c>
      <c r="AC93" s="45">
        <v>0</v>
      </c>
      <c r="AD93" s="45">
        <v>0</v>
      </c>
      <c r="AE93" s="45">
        <v>0</v>
      </c>
      <c r="AF93" s="45">
        <v>0</v>
      </c>
      <c r="AG93" s="45">
        <v>-479.41816791091384</v>
      </c>
      <c r="AH93" s="45">
        <v>1.2397364368886215</v>
      </c>
      <c r="AI93" s="45">
        <v>0.30763819453844415</v>
      </c>
      <c r="AJ93" s="45">
        <v>2.5658731528432872</v>
      </c>
      <c r="AK93" s="45">
        <v>-469.86562852972258</v>
      </c>
      <c r="AL93" s="45">
        <v>-465.75238074545223</v>
      </c>
      <c r="AM93" s="45">
        <v>151.36325282849253</v>
      </c>
      <c r="AN93" s="45">
        <v>26.065310183233851</v>
      </c>
      <c r="AO93" s="45">
        <v>17.74285630117264</v>
      </c>
      <c r="AP93" s="45">
        <v>0</v>
      </c>
      <c r="AQ93" s="45">
        <v>195.17141931289905</v>
      </c>
      <c r="AR93" s="45">
        <v>1.2397364368886215</v>
      </c>
      <c r="AS93" s="199">
        <v>157.4297677357315</v>
      </c>
      <c r="AT93" s="45">
        <v>151.36325282849253</v>
      </c>
      <c r="AU93" s="45">
        <v>29.485645003658199</v>
      </c>
      <c r="AV93" s="45">
        <v>18.084889783215075</v>
      </c>
      <c r="AW93" s="45">
        <v>0</v>
      </c>
      <c r="AX93" s="45">
        <v>198.93378761536582</v>
      </c>
      <c r="AY93" s="45">
        <v>0.30763819453844415</v>
      </c>
      <c r="AZ93" s="199">
        <v>646.64853437275633</v>
      </c>
      <c r="BA93" s="45">
        <v>151.36325282849253</v>
      </c>
      <c r="BB93" s="45">
        <v>55.550955186892054</v>
      </c>
      <c r="BC93" s="45">
        <v>20.69142080153846</v>
      </c>
      <c r="BD93" s="45">
        <v>0</v>
      </c>
      <c r="BE93" s="45">
        <v>227.60562881692306</v>
      </c>
      <c r="BF93" s="45">
        <v>1.5473746314270653</v>
      </c>
      <c r="BG93" s="45">
        <v>-17.415683311197924</v>
      </c>
      <c r="BH93" s="199">
        <v>147.09148269221262</v>
      </c>
      <c r="BI93" s="45">
        <v>0.28905357496430073</v>
      </c>
      <c r="BJ93" s="45">
        <v>7.1728084519378593E-2</v>
      </c>
      <c r="BK93" s="45">
        <v>0.59825200394663092</v>
      </c>
      <c r="BL93" s="45">
        <v>-109.55259169458955</v>
      </c>
      <c r="BM93" s="45">
        <v>-108.59355803115925</v>
      </c>
      <c r="BN93" s="45">
        <v>151.36325282849253</v>
      </c>
      <c r="BO93" s="45">
        <v>0</v>
      </c>
      <c r="BP93" s="45">
        <v>55.550955186892054</v>
      </c>
      <c r="BQ93" s="45">
        <v>0</v>
      </c>
      <c r="BR93" s="45">
        <v>0</v>
      </c>
      <c r="BS93" s="45">
        <v>0</v>
      </c>
      <c r="BT93" s="45">
        <v>0</v>
      </c>
      <c r="BU93" s="45">
        <v>0</v>
      </c>
      <c r="BV93" s="45">
        <v>0</v>
      </c>
      <c r="BW93" s="45">
        <v>20.69142080153846</v>
      </c>
      <c r="BX93" s="45">
        <v>12.709987168077706</v>
      </c>
      <c r="BY93" s="45">
        <v>0.95579999738389754</v>
      </c>
      <c r="BZ93" s="45">
        <v>0</v>
      </c>
      <c r="CA93" s="45">
        <v>-479.41816791091384</v>
      </c>
      <c r="CB93" s="45">
        <v>227.60562881692306</v>
      </c>
      <c r="CC93" s="45">
        <v>-465.75238074545223</v>
      </c>
      <c r="CD93" s="199">
        <v>51.736777996568115</v>
      </c>
      <c r="CE93" s="45">
        <v>-126.37002300184083</v>
      </c>
      <c r="CF93" s="45">
        <v>2.9981043904191012</v>
      </c>
      <c r="CG93" s="45">
        <v>0</v>
      </c>
      <c r="CH93" s="45">
        <v>2.9981043904191012</v>
      </c>
      <c r="CI93" s="45">
        <v>0.14990452571728841</v>
      </c>
      <c r="CJ93" s="45">
        <v>0</v>
      </c>
      <c r="CK93" s="45">
        <v>0.14990452571728841</v>
      </c>
      <c r="CL93" s="45"/>
      <c r="CM93" s="45">
        <v>0</v>
      </c>
      <c r="CN93" s="45"/>
      <c r="CO93" s="45">
        <v>0</v>
      </c>
      <c r="CP93" s="45">
        <v>0</v>
      </c>
      <c r="CQ93" s="45">
        <v>0</v>
      </c>
      <c r="CR93" s="45">
        <v>0</v>
      </c>
      <c r="CS93" s="45">
        <v>0</v>
      </c>
      <c r="CT93" s="45">
        <v>0</v>
      </c>
      <c r="CU93" s="45">
        <v>2.5658731528432872</v>
      </c>
      <c r="CV93" s="45">
        <v>9999</v>
      </c>
      <c r="CW93" s="200">
        <v>0</v>
      </c>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row>
    <row r="94" spans="1:131">
      <c r="A94" s="24" t="s">
        <v>419</v>
      </c>
      <c r="B94" s="24"/>
      <c r="C94" s="45">
        <v>16.744186046511629</v>
      </c>
      <c r="D94" s="45">
        <v>1606.9202380952379</v>
      </c>
      <c r="E94" s="45">
        <v>0</v>
      </c>
      <c r="F94" s="45">
        <v>51.863052062075326</v>
      </c>
      <c r="G94" s="45">
        <v>0</v>
      </c>
      <c r="H94" s="45">
        <v>-106.4505816687022</v>
      </c>
      <c r="I94" s="45"/>
      <c r="J94" s="45"/>
      <c r="K94" s="45"/>
      <c r="L94" s="45">
        <v>1818.1320336264869</v>
      </c>
      <c r="M94" s="45">
        <v>0.42497555289881439</v>
      </c>
      <c r="N94" s="45">
        <v>0.40320261185845763</v>
      </c>
      <c r="O94" s="45">
        <v>0</v>
      </c>
      <c r="P94" s="45">
        <v>0</v>
      </c>
      <c r="Q94" s="45">
        <v>0</v>
      </c>
      <c r="R94" s="45">
        <v>10.34218539387145</v>
      </c>
      <c r="S94" s="45">
        <v>2.5606304365412442</v>
      </c>
      <c r="T94" s="45">
        <v>21.362695657929471</v>
      </c>
      <c r="U94" s="45">
        <v>29.05072713952076</v>
      </c>
      <c r="V94" s="45">
        <v>3.1117831237245195</v>
      </c>
      <c r="W94" s="45">
        <v>0.77794578093112976</v>
      </c>
      <c r="X94" s="45">
        <v>6.4828815077594157</v>
      </c>
      <c r="Y94" s="45">
        <v>0</v>
      </c>
      <c r="Z94" s="45">
        <v>0</v>
      </c>
      <c r="AA94" s="45">
        <v>0</v>
      </c>
      <c r="AB94" s="45">
        <v>0</v>
      </c>
      <c r="AC94" s="45">
        <v>0</v>
      </c>
      <c r="AD94" s="45">
        <v>0</v>
      </c>
      <c r="AE94" s="45">
        <v>0</v>
      </c>
      <c r="AF94" s="45">
        <v>0</v>
      </c>
      <c r="AG94" s="45">
        <v>-106.4505816687022</v>
      </c>
      <c r="AH94" s="45">
        <v>13.453968517595969</v>
      </c>
      <c r="AI94" s="45">
        <v>3.3385762174723741</v>
      </c>
      <c r="AJ94" s="45">
        <v>27.845577165688887</v>
      </c>
      <c r="AK94" s="45">
        <v>-77.399854529181439</v>
      </c>
      <c r="AL94" s="45">
        <v>-32.761732628424213</v>
      </c>
      <c r="AM94" s="45">
        <v>872.01656686595436</v>
      </c>
      <c r="AN94" s="45">
        <v>150.1644677657271</v>
      </c>
      <c r="AO94" s="45">
        <v>102.21810346316815</v>
      </c>
      <c r="AP94" s="45">
        <v>0</v>
      </c>
      <c r="AQ94" s="45">
        <v>1124.3991380948496</v>
      </c>
      <c r="AR94" s="45">
        <v>13.453968517595969</v>
      </c>
      <c r="AS94" s="199">
        <v>83.573789891383186</v>
      </c>
      <c r="AT94" s="45">
        <v>872.01656686595436</v>
      </c>
      <c r="AU94" s="45">
        <v>169.86930742729305</v>
      </c>
      <c r="AV94" s="45">
        <v>104.18858742932474</v>
      </c>
      <c r="AW94" s="45">
        <v>0</v>
      </c>
      <c r="AX94" s="45">
        <v>1146.0744617225723</v>
      </c>
      <c r="AY94" s="45">
        <v>3.3385762174723741</v>
      </c>
      <c r="AZ94" s="199">
        <v>343.28240155926761</v>
      </c>
      <c r="BA94" s="45">
        <v>872.01656686595436</v>
      </c>
      <c r="BB94" s="45">
        <v>320.03377519302012</v>
      </c>
      <c r="BC94" s="45">
        <v>119.20503420589746</v>
      </c>
      <c r="BD94" s="45">
        <v>0</v>
      </c>
      <c r="BE94" s="45">
        <v>1311.255376264872</v>
      </c>
      <c r="BF94" s="45">
        <v>16.792544735068343</v>
      </c>
      <c r="BG94" s="45">
        <v>-17.096852703131638</v>
      </c>
      <c r="BH94" s="199">
        <v>78.085566955587169</v>
      </c>
      <c r="BI94" s="45">
        <v>0.54449651294926582</v>
      </c>
      <c r="BJ94" s="45">
        <v>0.13511575460070124</v>
      </c>
      <c r="BK94" s="45">
        <v>1.1269403260419177</v>
      </c>
      <c r="BL94" s="45">
        <v>-3.1324549956246104</v>
      </c>
      <c r="BM94" s="45">
        <v>-1.3259024020327259</v>
      </c>
      <c r="BN94" s="45">
        <v>872.01656686595436</v>
      </c>
      <c r="BO94" s="45">
        <v>0</v>
      </c>
      <c r="BP94" s="45">
        <v>320.03377519302012</v>
      </c>
      <c r="BQ94" s="45">
        <v>0</v>
      </c>
      <c r="BR94" s="45">
        <v>0</v>
      </c>
      <c r="BS94" s="45">
        <v>0</v>
      </c>
      <c r="BT94" s="45">
        <v>0</v>
      </c>
      <c r="BU94" s="45">
        <v>0</v>
      </c>
      <c r="BV94" s="45">
        <v>0</v>
      </c>
      <c r="BW94" s="45">
        <v>119.20503420589746</v>
      </c>
      <c r="BX94" s="45">
        <v>63.316238627862923</v>
      </c>
      <c r="BY94" s="45">
        <v>10.372610412415066</v>
      </c>
      <c r="BZ94" s="45">
        <v>0</v>
      </c>
      <c r="CA94" s="45">
        <v>-106.4505816687022</v>
      </c>
      <c r="CB94" s="45">
        <v>1311.255376264872</v>
      </c>
      <c r="CC94" s="45">
        <v>-32.761732628424213</v>
      </c>
      <c r="CD94" s="199">
        <v>19.239084018786379</v>
      </c>
      <c r="CE94" s="45">
        <v>-19.102367372714326</v>
      </c>
      <c r="CF94" s="45">
        <v>17.27233426068965</v>
      </c>
      <c r="CG94" s="45">
        <v>0</v>
      </c>
      <c r="CH94" s="45">
        <v>17.27233426068965</v>
      </c>
      <c r="CI94" s="45">
        <v>0.86361271597258116</v>
      </c>
      <c r="CJ94" s="45">
        <v>0</v>
      </c>
      <c r="CK94" s="45">
        <v>0.86361271597258116</v>
      </c>
      <c r="CL94" s="45"/>
      <c r="CM94" s="45">
        <v>0</v>
      </c>
      <c r="CN94" s="45"/>
      <c r="CO94" s="45">
        <v>0</v>
      </c>
      <c r="CP94" s="45">
        <v>0</v>
      </c>
      <c r="CQ94" s="45">
        <v>0</v>
      </c>
      <c r="CR94" s="45">
        <v>0</v>
      </c>
      <c r="CS94" s="45">
        <v>0</v>
      </c>
      <c r="CT94" s="45">
        <v>0</v>
      </c>
      <c r="CU94" s="45">
        <v>27.845577165688887</v>
      </c>
      <c r="CV94" s="45">
        <v>9999</v>
      </c>
      <c r="CW94" s="200">
        <v>0</v>
      </c>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row>
    <row r="95" spans="1:131">
      <c r="A95" s="24" t="s">
        <v>421</v>
      </c>
      <c r="B95" s="24"/>
      <c r="C95" s="45">
        <v>6.6762790697674417</v>
      </c>
      <c r="D95" s="45">
        <v>68.226666666666659</v>
      </c>
      <c r="E95" s="45">
        <v>0</v>
      </c>
      <c r="F95" s="45">
        <v>4.0008899869194874</v>
      </c>
      <c r="G95" s="45">
        <v>0</v>
      </c>
      <c r="H95" s="45">
        <v>-38.781804660785241</v>
      </c>
      <c r="I95" s="45"/>
      <c r="J95" s="45"/>
      <c r="K95" s="45"/>
      <c r="L95" s="45">
        <v>77.194303284934591</v>
      </c>
      <c r="M95" s="45">
        <v>1.8043624507137073E-2</v>
      </c>
      <c r="N95" s="45">
        <v>1.7119188336942193E-2</v>
      </c>
      <c r="O95" s="45">
        <v>0</v>
      </c>
      <c r="P95" s="45">
        <v>0</v>
      </c>
      <c r="Q95" s="45">
        <v>0</v>
      </c>
      <c r="R95" s="45">
        <v>0.79783090928932687</v>
      </c>
      <c r="S95" s="45">
        <v>0.1975356302112157</v>
      </c>
      <c r="T95" s="45">
        <v>1.6479900768107303</v>
      </c>
      <c r="U95" s="45">
        <v>7.9972084671416068</v>
      </c>
      <c r="V95" s="45">
        <v>0.24005339921516924</v>
      </c>
      <c r="W95" s="45">
        <v>6.0013349803792304E-2</v>
      </c>
      <c r="X95" s="45">
        <v>0.50011124836493592</v>
      </c>
      <c r="Y95" s="45">
        <v>0</v>
      </c>
      <c r="Z95" s="45">
        <v>0</v>
      </c>
      <c r="AA95" s="45">
        <v>0</v>
      </c>
      <c r="AB95" s="45">
        <v>0</v>
      </c>
      <c r="AC95" s="45">
        <v>0</v>
      </c>
      <c r="AD95" s="45">
        <v>0</v>
      </c>
      <c r="AE95" s="45">
        <v>0</v>
      </c>
      <c r="AF95" s="45">
        <v>0</v>
      </c>
      <c r="AG95" s="45">
        <v>-38.781804660785241</v>
      </c>
      <c r="AH95" s="45">
        <v>1.0378843085044962</v>
      </c>
      <c r="AI95" s="45">
        <v>0.25754898001500803</v>
      </c>
      <c r="AJ95" s="45">
        <v>2.1481013251756664</v>
      </c>
      <c r="AK95" s="45">
        <v>-30.784596193643633</v>
      </c>
      <c r="AL95" s="45">
        <v>-27.341061579948462</v>
      </c>
      <c r="AM95" s="45">
        <v>37.024105008408256</v>
      </c>
      <c r="AN95" s="45">
        <v>6.3756873829492875</v>
      </c>
      <c r="AO95" s="45">
        <v>4.3399792391357543</v>
      </c>
      <c r="AP95" s="45">
        <v>0</v>
      </c>
      <c r="AQ95" s="45">
        <v>47.739771630493294</v>
      </c>
      <c r="AR95" s="45">
        <v>1.0378843085044962</v>
      </c>
      <c r="AS95" s="199">
        <v>45.997199533040714</v>
      </c>
      <c r="AT95" s="45">
        <v>37.024105008408256</v>
      </c>
      <c r="AU95" s="45">
        <v>7.2123160440602803</v>
      </c>
      <c r="AV95" s="45">
        <v>4.423642105246854</v>
      </c>
      <c r="AW95" s="45">
        <v>0</v>
      </c>
      <c r="AX95" s="45">
        <v>48.660063157715392</v>
      </c>
      <c r="AY95" s="45">
        <v>0.25754898001500803</v>
      </c>
      <c r="AZ95" s="199">
        <v>188.93518100859822</v>
      </c>
      <c r="BA95" s="45">
        <v>37.024105008408256</v>
      </c>
      <c r="BB95" s="45">
        <v>13.588003427009568</v>
      </c>
      <c r="BC95" s="45">
        <v>5.0612108435417831</v>
      </c>
      <c r="BD95" s="45">
        <v>0</v>
      </c>
      <c r="BE95" s="45">
        <v>55.67331927895961</v>
      </c>
      <c r="BF95" s="45">
        <v>1.2954332885195041</v>
      </c>
      <c r="BG95" s="45">
        <v>-16.541655603319395</v>
      </c>
      <c r="BH95" s="199">
        <v>42.976600780875636</v>
      </c>
      <c r="BI95" s="45">
        <v>0.98931321106027581</v>
      </c>
      <c r="BJ95" s="45">
        <v>0.24549615630193586</v>
      </c>
      <c r="BK95" s="45">
        <v>2.0475740911378906</v>
      </c>
      <c r="BL95" s="45">
        <v>-29.343933097332869</v>
      </c>
      <c r="BM95" s="45">
        <v>-26.061549638832769</v>
      </c>
      <c r="BN95" s="45">
        <v>37.024105008408256</v>
      </c>
      <c r="BO95" s="45">
        <v>0</v>
      </c>
      <c r="BP95" s="45">
        <v>13.588003427009568</v>
      </c>
      <c r="BQ95" s="45">
        <v>0</v>
      </c>
      <c r="BR95" s="45">
        <v>0</v>
      </c>
      <c r="BS95" s="45">
        <v>0</v>
      </c>
      <c r="BT95" s="45">
        <v>0</v>
      </c>
      <c r="BU95" s="45">
        <v>0</v>
      </c>
      <c r="BV95" s="45">
        <v>0</v>
      </c>
      <c r="BW95" s="45">
        <v>5.0612108435417831</v>
      </c>
      <c r="BX95" s="45">
        <v>10.640565083452881</v>
      </c>
      <c r="BY95" s="45">
        <v>0.8001779973838975</v>
      </c>
      <c r="BZ95" s="45">
        <v>0</v>
      </c>
      <c r="CA95" s="45">
        <v>-38.781804660785241</v>
      </c>
      <c r="CB95" s="45">
        <v>55.673319278959603</v>
      </c>
      <c r="CC95" s="45">
        <v>-27.341061579948462</v>
      </c>
      <c r="CD95" s="199">
        <v>8.2560305106367604</v>
      </c>
      <c r="CE95" s="45">
        <v>-43.838014609514374</v>
      </c>
      <c r="CF95" s="45">
        <v>0.73334927535431171</v>
      </c>
      <c r="CG95" s="45">
        <v>0</v>
      </c>
      <c r="CH95" s="45">
        <v>0.73334927535431171</v>
      </c>
      <c r="CI95" s="45">
        <v>3.666729406034392E-2</v>
      </c>
      <c r="CJ95" s="45">
        <v>0</v>
      </c>
      <c r="CK95" s="45">
        <v>3.666729406034392E-2</v>
      </c>
      <c r="CL95" s="45"/>
      <c r="CM95" s="45">
        <v>0</v>
      </c>
      <c r="CN95" s="45"/>
      <c r="CO95" s="45">
        <v>0</v>
      </c>
      <c r="CP95" s="45">
        <v>0</v>
      </c>
      <c r="CQ95" s="45">
        <v>0</v>
      </c>
      <c r="CR95" s="45">
        <v>0</v>
      </c>
      <c r="CS95" s="45">
        <v>0</v>
      </c>
      <c r="CT95" s="45">
        <v>0</v>
      </c>
      <c r="CU95" s="45">
        <v>2.1481013251756664</v>
      </c>
      <c r="CV95" s="45">
        <v>9999</v>
      </c>
      <c r="CW95" s="200">
        <v>0</v>
      </c>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row>
    <row r="96" spans="1:131">
      <c r="A96" s="24" t="s">
        <v>422</v>
      </c>
      <c r="B96" s="24"/>
      <c r="C96" s="45">
        <v>6.6762790697674417</v>
      </c>
      <c r="D96" s="45">
        <v>68.226666666666659</v>
      </c>
      <c r="E96" s="45">
        <v>0</v>
      </c>
      <c r="F96" s="45">
        <v>4.0008899869194874</v>
      </c>
      <c r="G96" s="45">
        <v>0</v>
      </c>
      <c r="H96" s="45">
        <v>-38.781804660785241</v>
      </c>
      <c r="I96" s="45"/>
      <c r="J96" s="45"/>
      <c r="K96" s="45"/>
      <c r="L96" s="45">
        <v>77.194303284934591</v>
      </c>
      <c r="M96" s="45">
        <v>1.8043624507137073E-2</v>
      </c>
      <c r="N96" s="45">
        <v>1.7119188336942193E-2</v>
      </c>
      <c r="O96" s="45">
        <v>0</v>
      </c>
      <c r="P96" s="45">
        <v>0</v>
      </c>
      <c r="Q96" s="45">
        <v>0</v>
      </c>
      <c r="R96" s="45">
        <v>0.79783090928932687</v>
      </c>
      <c r="S96" s="45">
        <v>0.1975356302112157</v>
      </c>
      <c r="T96" s="45">
        <v>1.6479900768107303</v>
      </c>
      <c r="U96" s="45">
        <v>7.9972084671416068</v>
      </c>
      <c r="V96" s="45">
        <v>0.24005339921516924</v>
      </c>
      <c r="W96" s="45">
        <v>6.0013349803792304E-2</v>
      </c>
      <c r="X96" s="45">
        <v>0.50011124836493592</v>
      </c>
      <c r="Y96" s="45">
        <v>0</v>
      </c>
      <c r="Z96" s="45">
        <v>0</v>
      </c>
      <c r="AA96" s="45">
        <v>0</v>
      </c>
      <c r="AB96" s="45">
        <v>0</v>
      </c>
      <c r="AC96" s="45">
        <v>0</v>
      </c>
      <c r="AD96" s="45">
        <v>0</v>
      </c>
      <c r="AE96" s="45">
        <v>0</v>
      </c>
      <c r="AF96" s="45">
        <v>0</v>
      </c>
      <c r="AG96" s="45">
        <v>-38.781804660785241</v>
      </c>
      <c r="AH96" s="45">
        <v>1.0378843085044962</v>
      </c>
      <c r="AI96" s="45">
        <v>0.25754898001500803</v>
      </c>
      <c r="AJ96" s="45">
        <v>2.1481013251756664</v>
      </c>
      <c r="AK96" s="45">
        <v>-30.784596193643633</v>
      </c>
      <c r="AL96" s="45">
        <v>-27.341061579948462</v>
      </c>
      <c r="AM96" s="45">
        <v>37.024105008408256</v>
      </c>
      <c r="AN96" s="45">
        <v>6.3756873829492875</v>
      </c>
      <c r="AO96" s="45">
        <v>4.3399792391357543</v>
      </c>
      <c r="AP96" s="45">
        <v>0</v>
      </c>
      <c r="AQ96" s="45">
        <v>47.739771630493294</v>
      </c>
      <c r="AR96" s="45">
        <v>1.0378843085044962</v>
      </c>
      <c r="AS96" s="199">
        <v>45.997199533040714</v>
      </c>
      <c r="AT96" s="45">
        <v>37.024105008408256</v>
      </c>
      <c r="AU96" s="45">
        <v>7.2123160440602803</v>
      </c>
      <c r="AV96" s="45">
        <v>4.423642105246854</v>
      </c>
      <c r="AW96" s="45">
        <v>0</v>
      </c>
      <c r="AX96" s="45">
        <v>48.660063157715392</v>
      </c>
      <c r="AY96" s="45">
        <v>0.25754898001500803</v>
      </c>
      <c r="AZ96" s="199">
        <v>188.93518100859822</v>
      </c>
      <c r="BA96" s="45">
        <v>37.024105008408256</v>
      </c>
      <c r="BB96" s="45">
        <v>13.588003427009568</v>
      </c>
      <c r="BC96" s="45">
        <v>5.0612108435417831</v>
      </c>
      <c r="BD96" s="45">
        <v>0</v>
      </c>
      <c r="BE96" s="45">
        <v>55.67331927895961</v>
      </c>
      <c r="BF96" s="45">
        <v>1.2954332885195041</v>
      </c>
      <c r="BG96" s="45">
        <v>-16.541655603319395</v>
      </c>
      <c r="BH96" s="199">
        <v>42.976600780875636</v>
      </c>
      <c r="BI96" s="45">
        <v>0.98931321106027581</v>
      </c>
      <c r="BJ96" s="45">
        <v>0.24549615630193586</v>
      </c>
      <c r="BK96" s="45">
        <v>2.0475740911378906</v>
      </c>
      <c r="BL96" s="45">
        <v>-29.343933097332869</v>
      </c>
      <c r="BM96" s="45">
        <v>-26.061549638832769</v>
      </c>
      <c r="BN96" s="45">
        <v>37.024105008408256</v>
      </c>
      <c r="BO96" s="45">
        <v>0</v>
      </c>
      <c r="BP96" s="45">
        <v>13.588003427009568</v>
      </c>
      <c r="BQ96" s="45">
        <v>0</v>
      </c>
      <c r="BR96" s="45">
        <v>0</v>
      </c>
      <c r="BS96" s="45">
        <v>0</v>
      </c>
      <c r="BT96" s="45">
        <v>0</v>
      </c>
      <c r="BU96" s="45">
        <v>0</v>
      </c>
      <c r="BV96" s="45">
        <v>0</v>
      </c>
      <c r="BW96" s="45">
        <v>5.0612108435417831</v>
      </c>
      <c r="BX96" s="45">
        <v>10.640565083452881</v>
      </c>
      <c r="BY96" s="45">
        <v>0.8001779973838975</v>
      </c>
      <c r="BZ96" s="45">
        <v>0</v>
      </c>
      <c r="CA96" s="45">
        <v>-38.781804660785241</v>
      </c>
      <c r="CB96" s="45">
        <v>55.673319278959603</v>
      </c>
      <c r="CC96" s="45">
        <v>-27.341061579948462</v>
      </c>
      <c r="CD96" s="199">
        <v>8.2560305106367604</v>
      </c>
      <c r="CE96" s="45">
        <v>-43.838014609514374</v>
      </c>
      <c r="CF96" s="45">
        <v>0.73334927535431171</v>
      </c>
      <c r="CG96" s="45">
        <v>0</v>
      </c>
      <c r="CH96" s="45">
        <v>0.73334927535431171</v>
      </c>
      <c r="CI96" s="45">
        <v>3.666729406034392E-2</v>
      </c>
      <c r="CJ96" s="45">
        <v>0</v>
      </c>
      <c r="CK96" s="45">
        <v>3.666729406034392E-2</v>
      </c>
      <c r="CL96" s="45"/>
      <c r="CM96" s="45">
        <v>0</v>
      </c>
      <c r="CN96" s="45"/>
      <c r="CO96" s="45">
        <v>0</v>
      </c>
      <c r="CP96" s="45">
        <v>0</v>
      </c>
      <c r="CQ96" s="45">
        <v>0</v>
      </c>
      <c r="CR96" s="45">
        <v>0</v>
      </c>
      <c r="CS96" s="45">
        <v>0</v>
      </c>
      <c r="CT96" s="45">
        <v>0</v>
      </c>
      <c r="CU96" s="45">
        <v>2.1481013251756664</v>
      </c>
      <c r="CV96" s="45">
        <v>9999</v>
      </c>
      <c r="CW96" s="200">
        <v>0</v>
      </c>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row>
    <row r="97" spans="1:131">
      <c r="A97" s="24" t="s">
        <v>423</v>
      </c>
      <c r="B97" s="24"/>
      <c r="C97" s="45">
        <v>6.6762790697674417</v>
      </c>
      <c r="D97" s="45">
        <v>278.92666666666668</v>
      </c>
      <c r="E97" s="45">
        <v>0</v>
      </c>
      <c r="F97" s="45">
        <v>30.451059986919489</v>
      </c>
      <c r="G97" s="45">
        <v>0</v>
      </c>
      <c r="H97" s="45">
        <v>-479.41816791091384</v>
      </c>
      <c r="I97" s="45"/>
      <c r="J97" s="45"/>
      <c r="K97" s="45"/>
      <c r="L97" s="45">
        <v>315.58847519429145</v>
      </c>
      <c r="M97" s="45">
        <v>7.3766582543883921E-2</v>
      </c>
      <c r="N97" s="45">
        <v>6.9987269965734261E-2</v>
      </c>
      <c r="O97" s="45">
        <v>0</v>
      </c>
      <c r="P97" s="45">
        <v>0</v>
      </c>
      <c r="Q97" s="45">
        <v>0</v>
      </c>
      <c r="R97" s="45">
        <v>6.0723481419427285</v>
      </c>
      <c r="S97" s="45">
        <v>1.5034578168311736</v>
      </c>
      <c r="T97" s="45">
        <v>12.54297040180562</v>
      </c>
      <c r="U97" s="45">
        <v>60.867325909236541</v>
      </c>
      <c r="V97" s="45">
        <v>1.8270635992151694</v>
      </c>
      <c r="W97" s="45">
        <v>0.45676589980379229</v>
      </c>
      <c r="X97" s="45">
        <v>3.8063824983649361</v>
      </c>
      <c r="Y97" s="45">
        <v>0</v>
      </c>
      <c r="Z97" s="45">
        <v>0</v>
      </c>
      <c r="AA97" s="45">
        <v>0</v>
      </c>
      <c r="AB97" s="45">
        <v>0</v>
      </c>
      <c r="AC97" s="45">
        <v>0</v>
      </c>
      <c r="AD97" s="45">
        <v>0</v>
      </c>
      <c r="AE97" s="45">
        <v>0</v>
      </c>
      <c r="AF97" s="45">
        <v>0</v>
      </c>
      <c r="AG97" s="45">
        <v>-479.41816791091384</v>
      </c>
      <c r="AH97" s="45">
        <v>7.8994117411578983</v>
      </c>
      <c r="AI97" s="45">
        <v>1.9602237166349659</v>
      </c>
      <c r="AJ97" s="45">
        <v>16.349352900170558</v>
      </c>
      <c r="AK97" s="45">
        <v>-418.55084200167732</v>
      </c>
      <c r="AL97" s="45">
        <v>-392.34185364371388</v>
      </c>
      <c r="AM97" s="45">
        <v>151.36325282849253</v>
      </c>
      <c r="AN97" s="45">
        <v>26.065310183233851</v>
      </c>
      <c r="AO97" s="45">
        <v>17.74285630117264</v>
      </c>
      <c r="AP97" s="45">
        <v>0</v>
      </c>
      <c r="AQ97" s="45">
        <v>195.17141931289905</v>
      </c>
      <c r="AR97" s="45">
        <v>7.8994117411578983</v>
      </c>
      <c r="AS97" s="199">
        <v>24.707082718072215</v>
      </c>
      <c r="AT97" s="45">
        <v>151.36325282849253</v>
      </c>
      <c r="AU97" s="45">
        <v>29.485645003658199</v>
      </c>
      <c r="AV97" s="45">
        <v>18.084889783215075</v>
      </c>
      <c r="AW97" s="45">
        <v>0</v>
      </c>
      <c r="AX97" s="45">
        <v>198.93378761536582</v>
      </c>
      <c r="AY97" s="45">
        <v>1.9602237166349659</v>
      </c>
      <c r="AZ97" s="199">
        <v>101.48524677421368</v>
      </c>
      <c r="BA97" s="45">
        <v>151.36325282849253</v>
      </c>
      <c r="BB97" s="45">
        <v>55.550955186892054</v>
      </c>
      <c r="BC97" s="45">
        <v>20.69142080153846</v>
      </c>
      <c r="BD97" s="45">
        <v>0</v>
      </c>
      <c r="BE97" s="45">
        <v>227.60562881692306</v>
      </c>
      <c r="BF97" s="45">
        <v>9.859635457792864</v>
      </c>
      <c r="BG97" s="45">
        <v>-15.477619190144257</v>
      </c>
      <c r="BH97" s="199">
        <v>23.084588653531608</v>
      </c>
      <c r="BI97" s="45">
        <v>1.8418053514884303</v>
      </c>
      <c r="BJ97" s="45">
        <v>0.45704042904891229</v>
      </c>
      <c r="BK97" s="45">
        <v>3.8119706443473915</v>
      </c>
      <c r="BL97" s="45">
        <v>-97.588175667835316</v>
      </c>
      <c r="BM97" s="45">
        <v>-91.47735924295057</v>
      </c>
      <c r="BN97" s="45">
        <v>151.36325282849253</v>
      </c>
      <c r="BO97" s="45">
        <v>0</v>
      </c>
      <c r="BP97" s="45">
        <v>55.550955186892054</v>
      </c>
      <c r="BQ97" s="45">
        <v>0</v>
      </c>
      <c r="BR97" s="45">
        <v>0</v>
      </c>
      <c r="BS97" s="45">
        <v>0</v>
      </c>
      <c r="BT97" s="45">
        <v>0</v>
      </c>
      <c r="BU97" s="45">
        <v>0</v>
      </c>
      <c r="BV97" s="45">
        <v>0</v>
      </c>
      <c r="BW97" s="45">
        <v>20.69142080153846</v>
      </c>
      <c r="BX97" s="45">
        <v>80.986102269816058</v>
      </c>
      <c r="BY97" s="45">
        <v>6.0902119973838982</v>
      </c>
      <c r="BZ97" s="45">
        <v>0</v>
      </c>
      <c r="CA97" s="45">
        <v>-479.41816791091384</v>
      </c>
      <c r="CB97" s="45">
        <v>227.60562881692306</v>
      </c>
      <c r="CC97" s="45">
        <v>-392.34185364371388</v>
      </c>
      <c r="CD97" s="199">
        <v>8.1195880036709323</v>
      </c>
      <c r="CE97" s="45">
        <v>-109.25382421363217</v>
      </c>
      <c r="CF97" s="45">
        <v>2.9981043904191012</v>
      </c>
      <c r="CG97" s="45">
        <v>0</v>
      </c>
      <c r="CH97" s="45">
        <v>2.9981043904191012</v>
      </c>
      <c r="CI97" s="45">
        <v>0.14990452571728841</v>
      </c>
      <c r="CJ97" s="45">
        <v>0</v>
      </c>
      <c r="CK97" s="45">
        <v>0.14990452571728841</v>
      </c>
      <c r="CL97" s="45"/>
      <c r="CM97" s="45">
        <v>0</v>
      </c>
      <c r="CN97" s="45"/>
      <c r="CO97" s="45">
        <v>0</v>
      </c>
      <c r="CP97" s="45">
        <v>0</v>
      </c>
      <c r="CQ97" s="45">
        <v>0</v>
      </c>
      <c r="CR97" s="45">
        <v>0</v>
      </c>
      <c r="CS97" s="45">
        <v>0</v>
      </c>
      <c r="CT97" s="45">
        <v>0</v>
      </c>
      <c r="CU97" s="45">
        <v>16.349352900170558</v>
      </c>
      <c r="CV97" s="45">
        <v>9999</v>
      </c>
      <c r="CW97" s="200">
        <v>0</v>
      </c>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row>
    <row r="98" spans="1:131">
      <c r="A98" s="24" t="s">
        <v>424</v>
      </c>
      <c r="B98" s="24"/>
      <c r="C98" s="45">
        <v>16.279069767441861</v>
      </c>
      <c r="D98" s="45">
        <v>1298.0734693877553</v>
      </c>
      <c r="E98" s="45">
        <v>0</v>
      </c>
      <c r="F98" s="45">
        <v>134.02315442591345</v>
      </c>
      <c r="G98" s="45">
        <v>0</v>
      </c>
      <c r="H98" s="45">
        <v>-78.170699817618811</v>
      </c>
      <c r="I98" s="45"/>
      <c r="J98" s="45"/>
      <c r="K98" s="45"/>
      <c r="L98" s="45">
        <v>1468.6907917047924</v>
      </c>
      <c r="M98" s="45">
        <v>0.34329612464787984</v>
      </c>
      <c r="N98" s="45">
        <v>0.32570789814789353</v>
      </c>
      <c r="O98" s="45">
        <v>0</v>
      </c>
      <c r="P98" s="45">
        <v>0</v>
      </c>
      <c r="Q98" s="45">
        <v>0</v>
      </c>
      <c r="R98" s="45">
        <v>26.726007341126671</v>
      </c>
      <c r="S98" s="45">
        <v>6.617114781704359</v>
      </c>
      <c r="T98" s="45">
        <v>55.204924224081694</v>
      </c>
      <c r="U98" s="45">
        <v>78.651105418719141</v>
      </c>
      <c r="V98" s="45">
        <v>8.0413892655548072</v>
      </c>
      <c r="W98" s="45">
        <v>2.0103473163887013</v>
      </c>
      <c r="X98" s="45">
        <v>16.752894303239181</v>
      </c>
      <c r="Y98" s="45">
        <v>0</v>
      </c>
      <c r="Z98" s="45">
        <v>0</v>
      </c>
      <c r="AA98" s="45">
        <v>0</v>
      </c>
      <c r="AB98" s="45">
        <v>0</v>
      </c>
      <c r="AC98" s="45">
        <v>0</v>
      </c>
      <c r="AD98" s="45">
        <v>0</v>
      </c>
      <c r="AE98" s="45">
        <v>0</v>
      </c>
      <c r="AF98" s="45">
        <v>0</v>
      </c>
      <c r="AG98" s="45">
        <v>-78.170699817618811</v>
      </c>
      <c r="AH98" s="45">
        <v>34.76739660668148</v>
      </c>
      <c r="AI98" s="45">
        <v>8.6274620980930603</v>
      </c>
      <c r="AJ98" s="45">
        <v>71.957818527320882</v>
      </c>
      <c r="AK98" s="45">
        <v>0.4804056011003297</v>
      </c>
      <c r="AL98" s="45">
        <v>115.83308283319576</v>
      </c>
      <c r="AM98" s="45">
        <v>704.4167740752556</v>
      </c>
      <c r="AN98" s="45">
        <v>121.30316554011218</v>
      </c>
      <c r="AO98" s="45">
        <v>82.571993961536776</v>
      </c>
      <c r="AP98" s="45">
        <v>0</v>
      </c>
      <c r="AQ98" s="45">
        <v>908.29193357690463</v>
      </c>
      <c r="AR98" s="45">
        <v>34.76739660668148</v>
      </c>
      <c r="AS98" s="199">
        <v>26.124818716002228</v>
      </c>
      <c r="AT98" s="45">
        <v>704.4167740752556</v>
      </c>
      <c r="AU98" s="45">
        <v>137.22077549786442</v>
      </c>
      <c r="AV98" s="45">
        <v>84.163754957312008</v>
      </c>
      <c r="AW98" s="45">
        <v>0</v>
      </c>
      <c r="AX98" s="45">
        <v>925.80130453043205</v>
      </c>
      <c r="AY98" s="45">
        <v>8.6274620980930603</v>
      </c>
      <c r="AZ98" s="199">
        <v>107.30864928807547</v>
      </c>
      <c r="BA98" s="45">
        <v>704.4167740752556</v>
      </c>
      <c r="BB98" s="45">
        <v>258.52394103797661</v>
      </c>
      <c r="BC98" s="45">
        <v>96.294071511323224</v>
      </c>
      <c r="BD98" s="45">
        <v>0</v>
      </c>
      <c r="BE98" s="45">
        <v>1059.2347866245555</v>
      </c>
      <c r="BF98" s="45">
        <v>43.394858704774542</v>
      </c>
      <c r="BG98" s="45">
        <v>-15.602372454547242</v>
      </c>
      <c r="BH98" s="199">
        <v>24.409223079415455</v>
      </c>
      <c r="BI98" s="45">
        <v>1.7418546579976537</v>
      </c>
      <c r="BJ98" s="45">
        <v>0.43223785813671239</v>
      </c>
      <c r="BK98" s="45">
        <v>3.6051034478973989</v>
      </c>
      <c r="BL98" s="45">
        <v>2.4068432372758082E-2</v>
      </c>
      <c r="BM98" s="45">
        <v>5.8032643964045239</v>
      </c>
      <c r="BN98" s="45">
        <v>704.4167740752556</v>
      </c>
      <c r="BO98" s="45">
        <v>0</v>
      </c>
      <c r="BP98" s="45">
        <v>258.52394103797661</v>
      </c>
      <c r="BQ98" s="45">
        <v>0</v>
      </c>
      <c r="BR98" s="45">
        <v>0</v>
      </c>
      <c r="BS98" s="45">
        <v>0</v>
      </c>
      <c r="BT98" s="45">
        <v>0</v>
      </c>
      <c r="BU98" s="45">
        <v>0</v>
      </c>
      <c r="BV98" s="45">
        <v>0</v>
      </c>
      <c r="BW98" s="45">
        <v>96.294071511323224</v>
      </c>
      <c r="BX98" s="45">
        <v>167.19915176563188</v>
      </c>
      <c r="BY98" s="45">
        <v>26.804630885182689</v>
      </c>
      <c r="BZ98" s="45">
        <v>0</v>
      </c>
      <c r="CA98" s="45">
        <v>-78.170699817618811</v>
      </c>
      <c r="CB98" s="45">
        <v>1059.2347866245555</v>
      </c>
      <c r="CC98" s="45">
        <v>115.83308283319576</v>
      </c>
      <c r="CD98" s="199">
        <v>5.8628005645095005</v>
      </c>
      <c r="CE98" s="45">
        <v>-11.973200574277085</v>
      </c>
      <c r="CF98" s="45">
        <v>13.952627097891837</v>
      </c>
      <c r="CG98" s="45">
        <v>0</v>
      </c>
      <c r="CH98" s="45">
        <v>13.952627097891837</v>
      </c>
      <c r="CI98" s="45">
        <v>0.69762812605977631</v>
      </c>
      <c r="CJ98" s="45">
        <v>0</v>
      </c>
      <c r="CK98" s="45">
        <v>0.69762812605977631</v>
      </c>
      <c r="CL98" s="45"/>
      <c r="CM98" s="45">
        <v>0</v>
      </c>
      <c r="CN98" s="45"/>
      <c r="CO98" s="45">
        <v>0</v>
      </c>
      <c r="CP98" s="45">
        <v>0</v>
      </c>
      <c r="CQ98" s="45">
        <v>0</v>
      </c>
      <c r="CR98" s="45">
        <v>0</v>
      </c>
      <c r="CS98" s="45">
        <v>0</v>
      </c>
      <c r="CT98" s="45">
        <v>0</v>
      </c>
      <c r="CU98" s="45">
        <v>71.957818527320882</v>
      </c>
      <c r="CV98" s="45">
        <v>9999</v>
      </c>
      <c r="CW98" s="200">
        <v>0</v>
      </c>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row>
    <row r="99" spans="1:131">
      <c r="A99" s="24" t="s">
        <v>425</v>
      </c>
      <c r="B99" s="24"/>
      <c r="C99" s="45">
        <v>16.279069767441861</v>
      </c>
      <c r="D99" s="45">
        <v>3159.841836734694</v>
      </c>
      <c r="E99" s="45">
        <v>0</v>
      </c>
      <c r="F99" s="45">
        <v>532.0694632777404</v>
      </c>
      <c r="G99" s="45">
        <v>0</v>
      </c>
      <c r="H99" s="45">
        <v>-83.592944891673298</v>
      </c>
      <c r="I99" s="45"/>
      <c r="J99" s="45"/>
      <c r="K99" s="45"/>
      <c r="L99" s="45">
        <v>3575.1679071329308</v>
      </c>
      <c r="M99" s="45">
        <v>0.83567030883305371</v>
      </c>
      <c r="N99" s="45">
        <v>0.79285608048676826</v>
      </c>
      <c r="O99" s="45">
        <v>0</v>
      </c>
      <c r="P99" s="45">
        <v>0</v>
      </c>
      <c r="Q99" s="45">
        <v>0</v>
      </c>
      <c r="R99" s="45">
        <v>106.10175862866241</v>
      </c>
      <c r="S99" s="45">
        <v>26.269824236191074</v>
      </c>
      <c r="T99" s="45">
        <v>219.16253596636892</v>
      </c>
      <c r="U99" s="45">
        <v>312.24344498973795</v>
      </c>
      <c r="V99" s="45">
        <v>31.924167796664424</v>
      </c>
      <c r="W99" s="45">
        <v>7.9810419491661042</v>
      </c>
      <c r="X99" s="45">
        <v>66.50868290971755</v>
      </c>
      <c r="Y99" s="45">
        <v>0</v>
      </c>
      <c r="Z99" s="45">
        <v>0</v>
      </c>
      <c r="AA99" s="45">
        <v>0</v>
      </c>
      <c r="AB99" s="45">
        <v>0</v>
      </c>
      <c r="AC99" s="45">
        <v>0</v>
      </c>
      <c r="AD99" s="45">
        <v>0</v>
      </c>
      <c r="AE99" s="45">
        <v>0</v>
      </c>
      <c r="AF99" s="45">
        <v>0</v>
      </c>
      <c r="AG99" s="45">
        <v>-83.592944891673298</v>
      </c>
      <c r="AH99" s="45">
        <v>138.02592642532684</v>
      </c>
      <c r="AI99" s="45">
        <v>34.250866185357175</v>
      </c>
      <c r="AJ99" s="45">
        <v>285.67121887608647</v>
      </c>
      <c r="AK99" s="45">
        <v>228.65050009806464</v>
      </c>
      <c r="AL99" s="45">
        <v>686.59851158483502</v>
      </c>
      <c r="AM99" s="45">
        <v>1714.7300562814178</v>
      </c>
      <c r="AN99" s="45">
        <v>295.28283755986934</v>
      </c>
      <c r="AO99" s="45">
        <v>201.00128938412871</v>
      </c>
      <c r="AP99" s="45">
        <v>0</v>
      </c>
      <c r="AQ99" s="45">
        <v>2211.0141832254158</v>
      </c>
      <c r="AR99" s="45">
        <v>138.02592642532684</v>
      </c>
      <c r="AS99" s="199">
        <v>16.018832406979659</v>
      </c>
      <c r="AT99" s="45">
        <v>1714.7300562814178</v>
      </c>
      <c r="AU99" s="45">
        <v>334.0303592306214</v>
      </c>
      <c r="AV99" s="45">
        <v>204.87604155120394</v>
      </c>
      <c r="AW99" s="45">
        <v>0</v>
      </c>
      <c r="AX99" s="45">
        <v>2253.6364570632431</v>
      </c>
      <c r="AY99" s="45">
        <v>34.250866185357175</v>
      </c>
      <c r="AZ99" s="199">
        <v>65.797940550382663</v>
      </c>
      <c r="BA99" s="45">
        <v>1714.7300562814178</v>
      </c>
      <c r="BB99" s="45">
        <v>629.31319679049079</v>
      </c>
      <c r="BC99" s="45">
        <v>234.40432530719087</v>
      </c>
      <c r="BD99" s="45">
        <v>0</v>
      </c>
      <c r="BE99" s="45">
        <v>2578.4475783790995</v>
      </c>
      <c r="BF99" s="45">
        <v>172.276792610684</v>
      </c>
      <c r="BG99" s="45">
        <v>-14.230777531497223</v>
      </c>
      <c r="BH99" s="199">
        <v>14.966888687125426</v>
      </c>
      <c r="BI99" s="45">
        <v>2.8407586778912282</v>
      </c>
      <c r="BJ99" s="45">
        <v>0.70492876129314641</v>
      </c>
      <c r="BK99" s="45">
        <v>5.8794968095001172</v>
      </c>
      <c r="BL99" s="45">
        <v>4.7059339442952632</v>
      </c>
      <c r="BM99" s="45">
        <v>14.131118192979754</v>
      </c>
      <c r="BN99" s="45">
        <v>1714.7300562814178</v>
      </c>
      <c r="BO99" s="45">
        <v>0</v>
      </c>
      <c r="BP99" s="45">
        <v>629.31319679049079</v>
      </c>
      <c r="BQ99" s="45">
        <v>0</v>
      </c>
      <c r="BR99" s="45">
        <v>0</v>
      </c>
      <c r="BS99" s="45">
        <v>0</v>
      </c>
      <c r="BT99" s="45">
        <v>0</v>
      </c>
      <c r="BU99" s="45">
        <v>0</v>
      </c>
      <c r="BV99" s="45">
        <v>0</v>
      </c>
      <c r="BW99" s="45">
        <v>234.40432530719087</v>
      </c>
      <c r="BX99" s="45">
        <v>663.77756382096027</v>
      </c>
      <c r="BY99" s="45">
        <v>106.41389265554808</v>
      </c>
      <c r="BZ99" s="45">
        <v>0</v>
      </c>
      <c r="CA99" s="45">
        <v>-83.592944891673298</v>
      </c>
      <c r="CB99" s="45">
        <v>2578.4475783790995</v>
      </c>
      <c r="CC99" s="45">
        <v>686.59851158483514</v>
      </c>
      <c r="CD99" s="199">
        <v>3.4563360848601774</v>
      </c>
      <c r="CE99" s="45">
        <v>-3.645346777701838</v>
      </c>
      <c r="CF99" s="45">
        <v>33.964252313908865</v>
      </c>
      <c r="CG99" s="45">
        <v>0</v>
      </c>
      <c r="CH99" s="45">
        <v>33.964252313908865</v>
      </c>
      <c r="CI99" s="45">
        <v>1.6982047558881415</v>
      </c>
      <c r="CJ99" s="45">
        <v>0</v>
      </c>
      <c r="CK99" s="45">
        <v>1.6982047558881415</v>
      </c>
      <c r="CL99" s="45"/>
      <c r="CM99" s="45">
        <v>0</v>
      </c>
      <c r="CN99" s="45"/>
      <c r="CO99" s="45">
        <v>0</v>
      </c>
      <c r="CP99" s="45">
        <v>0</v>
      </c>
      <c r="CQ99" s="45">
        <v>0</v>
      </c>
      <c r="CR99" s="45">
        <v>0</v>
      </c>
      <c r="CS99" s="45">
        <v>0</v>
      </c>
      <c r="CT99" s="45">
        <v>0</v>
      </c>
      <c r="CU99" s="45">
        <v>285.67121887608647</v>
      </c>
      <c r="CV99" s="45">
        <v>9999</v>
      </c>
      <c r="CW99" s="200">
        <v>0</v>
      </c>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row>
    <row r="100" spans="1:131">
      <c r="A100" s="24" t="s">
        <v>426</v>
      </c>
      <c r="B100" s="24"/>
      <c r="C100" s="45">
        <v>16.744186046511629</v>
      </c>
      <c r="D100" s="45">
        <v>1606.9202380952379</v>
      </c>
      <c r="E100" s="45">
        <v>0</v>
      </c>
      <c r="F100" s="45">
        <v>332.28218672874203</v>
      </c>
      <c r="G100" s="45">
        <v>0</v>
      </c>
      <c r="H100" s="45">
        <v>-106.4505816687022</v>
      </c>
      <c r="I100" s="45"/>
      <c r="J100" s="45"/>
      <c r="K100" s="45"/>
      <c r="L100" s="45">
        <v>1818.1320336264869</v>
      </c>
      <c r="M100" s="45">
        <v>0.42497555289881439</v>
      </c>
      <c r="N100" s="45">
        <v>0.40320261185845763</v>
      </c>
      <c r="O100" s="45">
        <v>0</v>
      </c>
      <c r="P100" s="45">
        <v>0</v>
      </c>
      <c r="Q100" s="45">
        <v>0</v>
      </c>
      <c r="R100" s="45">
        <v>66.261506826024373</v>
      </c>
      <c r="S100" s="45">
        <v>16.405742566783498</v>
      </c>
      <c r="T100" s="45">
        <v>136.86898370618874</v>
      </c>
      <c r="U100" s="45">
        <v>186.12555096885092</v>
      </c>
      <c r="V100" s="45">
        <v>19.936931203724523</v>
      </c>
      <c r="W100" s="45">
        <v>4.9842328009311299</v>
      </c>
      <c r="X100" s="45">
        <v>41.535273341092754</v>
      </c>
      <c r="Y100" s="45">
        <v>0</v>
      </c>
      <c r="Z100" s="45">
        <v>0</v>
      </c>
      <c r="AA100" s="45">
        <v>0</v>
      </c>
      <c r="AB100" s="45">
        <v>0</v>
      </c>
      <c r="AC100" s="45">
        <v>0</v>
      </c>
      <c r="AD100" s="45">
        <v>0</v>
      </c>
      <c r="AE100" s="45">
        <v>0</v>
      </c>
      <c r="AF100" s="45">
        <v>0</v>
      </c>
      <c r="AG100" s="45">
        <v>-106.4505816687022</v>
      </c>
      <c r="AH100" s="45">
        <v>86.1984380297489</v>
      </c>
      <c r="AI100" s="45">
        <v>21.389975367714626</v>
      </c>
      <c r="AJ100" s="45">
        <v>178.4042570472815</v>
      </c>
      <c r="AK100" s="45">
        <v>79.674969300148717</v>
      </c>
      <c r="AL100" s="45">
        <v>365.66763974489373</v>
      </c>
      <c r="AM100" s="45">
        <v>872.01656686595436</v>
      </c>
      <c r="AN100" s="45">
        <v>150.1644677657271</v>
      </c>
      <c r="AO100" s="45">
        <v>102.21810346316815</v>
      </c>
      <c r="AP100" s="45">
        <v>0</v>
      </c>
      <c r="AQ100" s="45">
        <v>1124.3991380948496</v>
      </c>
      <c r="AR100" s="45">
        <v>86.1984380297489</v>
      </c>
      <c r="AS100" s="199">
        <v>13.044309894650246</v>
      </c>
      <c r="AT100" s="45">
        <v>872.01656686595436</v>
      </c>
      <c r="AU100" s="45">
        <v>169.86930742729305</v>
      </c>
      <c r="AV100" s="45">
        <v>104.18858742932474</v>
      </c>
      <c r="AW100" s="45">
        <v>0</v>
      </c>
      <c r="AX100" s="45">
        <v>1146.0744617225723</v>
      </c>
      <c r="AY100" s="45">
        <v>21.389975367714626</v>
      </c>
      <c r="AZ100" s="199">
        <v>53.579980435714852</v>
      </c>
      <c r="BA100" s="45">
        <v>872.01656686595436</v>
      </c>
      <c r="BB100" s="45">
        <v>320.03377519302012</v>
      </c>
      <c r="BC100" s="45">
        <v>119.20503420589746</v>
      </c>
      <c r="BD100" s="45">
        <v>0</v>
      </c>
      <c r="BE100" s="45">
        <v>1311.255376264872</v>
      </c>
      <c r="BF100" s="45">
        <v>107.58841339746353</v>
      </c>
      <c r="BG100" s="45">
        <v>-13.422246670553561</v>
      </c>
      <c r="BH100" s="199">
        <v>12.187700653421716</v>
      </c>
      <c r="BI100" s="45">
        <v>3.4885430917641407</v>
      </c>
      <c r="BJ100" s="45">
        <v>0.86567520836390455</v>
      </c>
      <c r="BK100" s="45">
        <v>7.2202113250452937</v>
      </c>
      <c r="BL100" s="45">
        <v>3.2245313266886293</v>
      </c>
      <c r="BM100" s="45">
        <v>14.798960951861966</v>
      </c>
      <c r="BN100" s="45">
        <v>872.01656686595436</v>
      </c>
      <c r="BO100" s="45">
        <v>0</v>
      </c>
      <c r="BP100" s="45">
        <v>320.03377519302012</v>
      </c>
      <c r="BQ100" s="45">
        <v>0</v>
      </c>
      <c r="BR100" s="45">
        <v>0</v>
      </c>
      <c r="BS100" s="45">
        <v>0</v>
      </c>
      <c r="BT100" s="45">
        <v>0</v>
      </c>
      <c r="BU100" s="45">
        <v>0</v>
      </c>
      <c r="BV100" s="45">
        <v>0</v>
      </c>
      <c r="BW100" s="45">
        <v>119.20503420589746</v>
      </c>
      <c r="BX100" s="45">
        <v>405.66178406784752</v>
      </c>
      <c r="BY100" s="45">
        <v>66.456437345748412</v>
      </c>
      <c r="BZ100" s="45">
        <v>0</v>
      </c>
      <c r="CA100" s="45">
        <v>-106.4505816687022</v>
      </c>
      <c r="CB100" s="45">
        <v>1311.255376264872</v>
      </c>
      <c r="CC100" s="45">
        <v>365.66763974489379</v>
      </c>
      <c r="CD100" s="199">
        <v>3.0028621934750586</v>
      </c>
      <c r="CE100" s="45">
        <v>-2.9775040188196331</v>
      </c>
      <c r="CF100" s="45">
        <v>17.27233426068965</v>
      </c>
      <c r="CG100" s="45">
        <v>0</v>
      </c>
      <c r="CH100" s="45">
        <v>17.27233426068965</v>
      </c>
      <c r="CI100" s="45">
        <v>0.86361271597258116</v>
      </c>
      <c r="CJ100" s="45">
        <v>0</v>
      </c>
      <c r="CK100" s="45">
        <v>0.86361271597258116</v>
      </c>
      <c r="CL100" s="45"/>
      <c r="CM100" s="45">
        <v>0</v>
      </c>
      <c r="CN100" s="45"/>
      <c r="CO100" s="45">
        <v>0</v>
      </c>
      <c r="CP100" s="45">
        <v>0</v>
      </c>
      <c r="CQ100" s="45">
        <v>0</v>
      </c>
      <c r="CR100" s="45">
        <v>0</v>
      </c>
      <c r="CS100" s="45">
        <v>0</v>
      </c>
      <c r="CT100" s="45">
        <v>0</v>
      </c>
      <c r="CU100" s="45">
        <v>178.4042570472815</v>
      </c>
      <c r="CV100" s="45">
        <v>9999</v>
      </c>
      <c r="CW100" s="200">
        <v>0</v>
      </c>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row>
    <row r="101" spans="1:131">
      <c r="A101" s="24" t="s">
        <v>427</v>
      </c>
      <c r="B101" s="24"/>
      <c r="C101" s="45">
        <v>16.744186046511629</v>
      </c>
      <c r="D101" s="45">
        <v>1606.9202380952379</v>
      </c>
      <c r="E101" s="45">
        <v>0</v>
      </c>
      <c r="F101" s="45">
        <v>371.54658006207535</v>
      </c>
      <c r="G101" s="45">
        <v>0</v>
      </c>
      <c r="H101" s="45">
        <v>-106.4505816687022</v>
      </c>
      <c r="I101" s="45"/>
      <c r="J101" s="45"/>
      <c r="K101" s="45"/>
      <c r="L101" s="45">
        <v>1818.1320336264869</v>
      </c>
      <c r="M101" s="45">
        <v>0.42497555289881439</v>
      </c>
      <c r="N101" s="45">
        <v>0.40320261185845763</v>
      </c>
      <c r="O101" s="45">
        <v>0</v>
      </c>
      <c r="P101" s="45">
        <v>0</v>
      </c>
      <c r="Q101" s="45">
        <v>0</v>
      </c>
      <c r="R101" s="45">
        <v>74.091351370174664</v>
      </c>
      <c r="S101" s="45">
        <v>18.344340405594089</v>
      </c>
      <c r="T101" s="45">
        <v>153.04221786080956</v>
      </c>
      <c r="U101" s="45">
        <v>208.11922723110064</v>
      </c>
      <c r="V101" s="45">
        <v>22.292794803724522</v>
      </c>
      <c r="W101" s="45">
        <v>5.5731987009311297</v>
      </c>
      <c r="X101" s="45">
        <v>46.443322507759419</v>
      </c>
      <c r="Y101" s="45">
        <v>0</v>
      </c>
      <c r="Z101" s="45">
        <v>0</v>
      </c>
      <c r="AA101" s="45">
        <v>0</v>
      </c>
      <c r="AB101" s="45">
        <v>0</v>
      </c>
      <c r="AC101" s="45">
        <v>0</v>
      </c>
      <c r="AD101" s="45">
        <v>0</v>
      </c>
      <c r="AE101" s="45">
        <v>0</v>
      </c>
      <c r="AF101" s="45">
        <v>0</v>
      </c>
      <c r="AG101" s="45">
        <v>-106.4505816687022</v>
      </c>
      <c r="AH101" s="45">
        <v>96.384146173899182</v>
      </c>
      <c r="AI101" s="45">
        <v>23.917539106525219</v>
      </c>
      <c r="AJ101" s="45">
        <v>199.48554036856899</v>
      </c>
      <c r="AK101" s="45">
        <v>101.66864556239844</v>
      </c>
      <c r="AL101" s="45">
        <v>421.45587121139181</v>
      </c>
      <c r="AM101" s="45">
        <v>872.01656686595436</v>
      </c>
      <c r="AN101" s="45">
        <v>150.1644677657271</v>
      </c>
      <c r="AO101" s="45">
        <v>102.21810346316815</v>
      </c>
      <c r="AP101" s="45">
        <v>0</v>
      </c>
      <c r="AQ101" s="45">
        <v>1124.3991380948496</v>
      </c>
      <c r="AR101" s="45">
        <v>96.384146173899182</v>
      </c>
      <c r="AS101" s="199">
        <v>11.665810018861139</v>
      </c>
      <c r="AT101" s="45">
        <v>872.01656686595436</v>
      </c>
      <c r="AU101" s="45">
        <v>169.86930742729305</v>
      </c>
      <c r="AV101" s="45">
        <v>104.18858742932474</v>
      </c>
      <c r="AW101" s="45">
        <v>0</v>
      </c>
      <c r="AX101" s="45">
        <v>1146.0744617225723</v>
      </c>
      <c r="AY101" s="45">
        <v>23.917539106525219</v>
      </c>
      <c r="AZ101" s="199">
        <v>47.917741729954926</v>
      </c>
      <c r="BA101" s="45">
        <v>872.01656686595436</v>
      </c>
      <c r="BB101" s="45">
        <v>320.03377519302012</v>
      </c>
      <c r="BC101" s="45">
        <v>119.20503420589746</v>
      </c>
      <c r="BD101" s="45">
        <v>0</v>
      </c>
      <c r="BE101" s="45">
        <v>1311.255376264872</v>
      </c>
      <c r="BF101" s="45">
        <v>120.30168528042441</v>
      </c>
      <c r="BG101" s="45">
        <v>-12.907726943575256</v>
      </c>
      <c r="BH101" s="199">
        <v>10.899725745390207</v>
      </c>
      <c r="BI101" s="45">
        <v>3.9007696076174549</v>
      </c>
      <c r="BJ101" s="45">
        <v>0.9679684194888919</v>
      </c>
      <c r="BK101" s="45">
        <v>8.0733934357306278</v>
      </c>
      <c r="BL101" s="45">
        <v>4.1146389567211887</v>
      </c>
      <c r="BM101" s="45">
        <v>17.056770419558163</v>
      </c>
      <c r="BN101" s="45">
        <v>872.01656686595436</v>
      </c>
      <c r="BO101" s="45">
        <v>0</v>
      </c>
      <c r="BP101" s="45">
        <v>320.03377519302012</v>
      </c>
      <c r="BQ101" s="45">
        <v>0</v>
      </c>
      <c r="BR101" s="45">
        <v>0</v>
      </c>
      <c r="BS101" s="45">
        <v>0</v>
      </c>
      <c r="BT101" s="45">
        <v>0</v>
      </c>
      <c r="BU101" s="45">
        <v>0</v>
      </c>
      <c r="BV101" s="45">
        <v>0</v>
      </c>
      <c r="BW101" s="45">
        <v>119.20503420589746</v>
      </c>
      <c r="BX101" s="45">
        <v>453.59713686767896</v>
      </c>
      <c r="BY101" s="45">
        <v>74.309316012415067</v>
      </c>
      <c r="BZ101" s="45">
        <v>0</v>
      </c>
      <c r="CA101" s="45">
        <v>-106.4505816687022</v>
      </c>
      <c r="CB101" s="45">
        <v>1311.255376264872</v>
      </c>
      <c r="CC101" s="45">
        <v>421.45587121139187</v>
      </c>
      <c r="CD101" s="199">
        <v>2.6855249641276591</v>
      </c>
      <c r="CE101" s="45">
        <v>-0.71969455112343683</v>
      </c>
      <c r="CF101" s="45">
        <v>17.27233426068965</v>
      </c>
      <c r="CG101" s="45">
        <v>0</v>
      </c>
      <c r="CH101" s="45">
        <v>17.27233426068965</v>
      </c>
      <c r="CI101" s="45">
        <v>0.86361271597258116</v>
      </c>
      <c r="CJ101" s="45">
        <v>0</v>
      </c>
      <c r="CK101" s="45">
        <v>0.86361271597258116</v>
      </c>
      <c r="CL101" s="45"/>
      <c r="CM101" s="45">
        <v>0</v>
      </c>
      <c r="CN101" s="45"/>
      <c r="CO101" s="45">
        <v>0</v>
      </c>
      <c r="CP101" s="45">
        <v>0</v>
      </c>
      <c r="CQ101" s="45">
        <v>0</v>
      </c>
      <c r="CR101" s="45">
        <v>0</v>
      </c>
      <c r="CS101" s="45">
        <v>0</v>
      </c>
      <c r="CT101" s="45">
        <v>0</v>
      </c>
      <c r="CU101" s="45">
        <v>199.48554036856899</v>
      </c>
      <c r="CV101" s="45">
        <v>9999</v>
      </c>
      <c r="CW101" s="200">
        <v>0</v>
      </c>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row>
    <row r="102" spans="1:131">
      <c r="A102" s="24" t="s">
        <v>428</v>
      </c>
      <c r="B102" s="24"/>
      <c r="C102" s="45">
        <v>16.279069767441861</v>
      </c>
      <c r="D102" s="45">
        <v>743.50510204081638</v>
      </c>
      <c r="E102" s="45">
        <v>0</v>
      </c>
      <c r="F102" s="45">
        <v>179.07824387962339</v>
      </c>
      <c r="G102" s="45">
        <v>0</v>
      </c>
      <c r="H102" s="45">
        <v>-35.766633955204988</v>
      </c>
      <c r="I102" s="45"/>
      <c r="J102" s="45"/>
      <c r="K102" s="45"/>
      <c r="L102" s="45">
        <v>841.23057955103127</v>
      </c>
      <c r="M102" s="45">
        <v>0.1966317209355842</v>
      </c>
      <c r="N102" s="45">
        <v>0.18655760999581042</v>
      </c>
      <c r="O102" s="45">
        <v>0</v>
      </c>
      <c r="P102" s="45">
        <v>0</v>
      </c>
      <c r="Q102" s="45">
        <v>0</v>
      </c>
      <c r="R102" s="45">
        <v>35.710594046706774</v>
      </c>
      <c r="S102" s="45">
        <v>8.8416162097763387</v>
      </c>
      <c r="T102" s="45">
        <v>73.763380110718884</v>
      </c>
      <c r="U102" s="45">
        <v>105.09155599200004</v>
      </c>
      <c r="V102" s="45">
        <v>10.744694632777403</v>
      </c>
      <c r="W102" s="45">
        <v>2.6861736581943503</v>
      </c>
      <c r="X102" s="45">
        <v>22.384780484952923</v>
      </c>
      <c r="Y102" s="45">
        <v>0</v>
      </c>
      <c r="Z102" s="45">
        <v>0</v>
      </c>
      <c r="AA102" s="45">
        <v>0</v>
      </c>
      <c r="AB102" s="45">
        <v>0</v>
      </c>
      <c r="AC102" s="45">
        <v>0</v>
      </c>
      <c r="AD102" s="45">
        <v>0</v>
      </c>
      <c r="AE102" s="45">
        <v>0</v>
      </c>
      <c r="AF102" s="45">
        <v>0</v>
      </c>
      <c r="AG102" s="45">
        <v>-35.766633955204988</v>
      </c>
      <c r="AH102" s="45">
        <v>46.455288679484177</v>
      </c>
      <c r="AI102" s="45">
        <v>11.527789867970689</v>
      </c>
      <c r="AJ102" s="45">
        <v>96.148160595671811</v>
      </c>
      <c r="AK102" s="45">
        <v>69.324922036795044</v>
      </c>
      <c r="AL102" s="45">
        <v>223.45616117992174</v>
      </c>
      <c r="AM102" s="45">
        <v>403.4728987528805</v>
      </c>
      <c r="AN102" s="45">
        <v>69.479520689467293</v>
      </c>
      <c r="AO102" s="45">
        <v>47.295241944234782</v>
      </c>
      <c r="AP102" s="45">
        <v>0</v>
      </c>
      <c r="AQ102" s="45">
        <v>520.24766138658254</v>
      </c>
      <c r="AR102" s="45">
        <v>46.455288679484177</v>
      </c>
      <c r="AS102" s="199">
        <v>11.198889861087807</v>
      </c>
      <c r="AT102" s="45">
        <v>403.4728987528805</v>
      </c>
      <c r="AU102" s="45">
        <v>78.596742861388336</v>
      </c>
      <c r="AV102" s="45">
        <v>48.206964161426889</v>
      </c>
      <c r="AW102" s="45">
        <v>0</v>
      </c>
      <c r="AX102" s="45">
        <v>530.27660577569577</v>
      </c>
      <c r="AY102" s="45">
        <v>11.527789867970689</v>
      </c>
      <c r="AZ102" s="199">
        <v>45.999850088267074</v>
      </c>
      <c r="BA102" s="45">
        <v>403.4728987528805</v>
      </c>
      <c r="BB102" s="45">
        <v>148.07626355085563</v>
      </c>
      <c r="BC102" s="45">
        <v>55.154916230373615</v>
      </c>
      <c r="BD102" s="45">
        <v>0</v>
      </c>
      <c r="BE102" s="45">
        <v>606.70407853410973</v>
      </c>
      <c r="BF102" s="45">
        <v>57.983078547454866</v>
      </c>
      <c r="BG102" s="45">
        <v>-12.70473254359705</v>
      </c>
      <c r="BH102" s="199">
        <v>10.463467855325536</v>
      </c>
      <c r="BI102" s="45">
        <v>4.0634060816982238</v>
      </c>
      <c r="BJ102" s="45">
        <v>1.0083263453863309</v>
      </c>
      <c r="BK102" s="45">
        <v>8.410000919466647</v>
      </c>
      <c r="BL102" s="45">
        <v>6.063794194910944</v>
      </c>
      <c r="BM102" s="45">
        <v>19.545527541462146</v>
      </c>
      <c r="BN102" s="45">
        <v>403.4728987528805</v>
      </c>
      <c r="BO102" s="45">
        <v>0</v>
      </c>
      <c r="BP102" s="45">
        <v>148.07626355085563</v>
      </c>
      <c r="BQ102" s="45">
        <v>0</v>
      </c>
      <c r="BR102" s="45">
        <v>0</v>
      </c>
      <c r="BS102" s="45">
        <v>0</v>
      </c>
      <c r="BT102" s="45">
        <v>0</v>
      </c>
      <c r="BU102" s="45">
        <v>0</v>
      </c>
      <c r="BV102" s="45">
        <v>0</v>
      </c>
      <c r="BW102" s="45">
        <v>55.154916230373615</v>
      </c>
      <c r="BX102" s="45">
        <v>223.40714635920205</v>
      </c>
      <c r="BY102" s="45">
        <v>35.815648775924679</v>
      </c>
      <c r="BZ102" s="45">
        <v>0</v>
      </c>
      <c r="CA102" s="45">
        <v>-35.766633955204988</v>
      </c>
      <c r="CB102" s="45">
        <v>606.70407853410973</v>
      </c>
      <c r="CC102" s="45">
        <v>223.45616117992174</v>
      </c>
      <c r="CD102" s="199">
        <v>2.478449906978319</v>
      </c>
      <c r="CE102" s="45">
        <v>1.7690625707805467</v>
      </c>
      <c r="CF102" s="45">
        <v>7.991727493705282</v>
      </c>
      <c r="CG102" s="45">
        <v>0</v>
      </c>
      <c r="CH102" s="45">
        <v>7.991727493705282</v>
      </c>
      <c r="CI102" s="45">
        <v>0.39958452528673977</v>
      </c>
      <c r="CJ102" s="45">
        <v>0</v>
      </c>
      <c r="CK102" s="45">
        <v>0.39958452528673977</v>
      </c>
      <c r="CL102" s="45"/>
      <c r="CM102" s="45">
        <v>0</v>
      </c>
      <c r="CN102" s="45"/>
      <c r="CO102" s="45">
        <v>0</v>
      </c>
      <c r="CP102" s="45">
        <v>0</v>
      </c>
      <c r="CQ102" s="45">
        <v>0</v>
      </c>
      <c r="CR102" s="45">
        <v>0</v>
      </c>
      <c r="CS102" s="45">
        <v>0</v>
      </c>
      <c r="CT102" s="45">
        <v>0</v>
      </c>
      <c r="CU102" s="45">
        <v>96.148160595671811</v>
      </c>
      <c r="CV102" s="45">
        <v>9999</v>
      </c>
      <c r="CW102" s="200">
        <v>0</v>
      </c>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row>
    <row r="103" spans="1:131">
      <c r="A103" s="24" t="s">
        <v>429</v>
      </c>
      <c r="B103" s="24"/>
      <c r="C103" s="45">
        <v>14.186046511627909</v>
      </c>
      <c r="D103" s="45">
        <v>640.16615646258492</v>
      </c>
      <c r="E103" s="45">
        <v>0</v>
      </c>
      <c r="F103" s="45">
        <v>154.26033291735365</v>
      </c>
      <c r="G103" s="45">
        <v>0</v>
      </c>
      <c r="H103" s="45">
        <v>-54.45644007047715</v>
      </c>
      <c r="I103" s="45"/>
      <c r="J103" s="45"/>
      <c r="K103" s="45"/>
      <c r="L103" s="45">
        <v>724.30887875791984</v>
      </c>
      <c r="M103" s="45">
        <v>0.16930209716711028</v>
      </c>
      <c r="N103" s="45">
        <v>0.16062817568037027</v>
      </c>
      <c r="O103" s="45">
        <v>0</v>
      </c>
      <c r="P103" s="45">
        <v>0</v>
      </c>
      <c r="Q103" s="45">
        <v>0</v>
      </c>
      <c r="R103" s="45">
        <v>30.761571070712684</v>
      </c>
      <c r="S103" s="45">
        <v>7.6162834217002446</v>
      </c>
      <c r="T103" s="45">
        <v>63.540736867163027</v>
      </c>
      <c r="U103" s="45">
        <v>112.52368215561623</v>
      </c>
      <c r="V103" s="45">
        <v>9.2556199750412187</v>
      </c>
      <c r="W103" s="45">
        <v>2.3139049937603042</v>
      </c>
      <c r="X103" s="45">
        <v>19.282541614669206</v>
      </c>
      <c r="Y103" s="45">
        <v>0</v>
      </c>
      <c r="Z103" s="45">
        <v>0</v>
      </c>
      <c r="AA103" s="45">
        <v>0</v>
      </c>
      <c r="AB103" s="45">
        <v>0</v>
      </c>
      <c r="AC103" s="45">
        <v>0</v>
      </c>
      <c r="AD103" s="45">
        <v>0</v>
      </c>
      <c r="AE103" s="45">
        <v>0</v>
      </c>
      <c r="AF103" s="45">
        <v>0</v>
      </c>
      <c r="AG103" s="45">
        <v>-54.45644007047715</v>
      </c>
      <c r="AH103" s="45">
        <v>40.017191045753904</v>
      </c>
      <c r="AI103" s="45">
        <v>9.9301884154605489</v>
      </c>
      <c r="AJ103" s="45">
        <v>82.823278481832233</v>
      </c>
      <c r="AK103" s="45">
        <v>58.067242085139078</v>
      </c>
      <c r="AL103" s="45">
        <v>190.83790002818577</v>
      </c>
      <c r="AM103" s="45">
        <v>347.39465018125691</v>
      </c>
      <c r="AN103" s="45">
        <v>59.822639536099899</v>
      </c>
      <c r="AO103" s="45">
        <v>40.721728971735686</v>
      </c>
      <c r="AP103" s="45">
        <v>0</v>
      </c>
      <c r="AQ103" s="45">
        <v>447.93901868909251</v>
      </c>
      <c r="AR103" s="45">
        <v>40.017191045753904</v>
      </c>
      <c r="AS103" s="199">
        <v>11.193664697178237</v>
      </c>
      <c r="AT103" s="45">
        <v>347.39465018125691</v>
      </c>
      <c r="AU103" s="45">
        <v>67.672669158484041</v>
      </c>
      <c r="AV103" s="45">
        <v>41.506731933974095</v>
      </c>
      <c r="AW103" s="45">
        <v>0</v>
      </c>
      <c r="AX103" s="45">
        <v>456.57405127371504</v>
      </c>
      <c r="AY103" s="45">
        <v>9.9301884154605489</v>
      </c>
      <c r="AZ103" s="199">
        <v>45.97838753621874</v>
      </c>
      <c r="BA103" s="45">
        <v>347.39465018125691</v>
      </c>
      <c r="BB103" s="45">
        <v>127.49530869458394</v>
      </c>
      <c r="BC103" s="45">
        <v>47.488995887584089</v>
      </c>
      <c r="BD103" s="45">
        <v>0</v>
      </c>
      <c r="BE103" s="45">
        <v>522.37895476342499</v>
      </c>
      <c r="BF103" s="45">
        <v>49.947379461214453</v>
      </c>
      <c r="BG103" s="45">
        <v>-12.70236507646686</v>
      </c>
      <c r="BH103" s="199">
        <v>10.458585823688047</v>
      </c>
      <c r="BI103" s="45">
        <v>4.0653028655828951</v>
      </c>
      <c r="BJ103" s="45">
        <v>1.0087970286318555</v>
      </c>
      <c r="BK103" s="45">
        <v>8.4139266787664511</v>
      </c>
      <c r="BL103" s="45">
        <v>5.8989878968593734</v>
      </c>
      <c r="BM103" s="45">
        <v>19.387014469840576</v>
      </c>
      <c r="BN103" s="45">
        <v>347.39465018125691</v>
      </c>
      <c r="BO103" s="45">
        <v>0</v>
      </c>
      <c r="BP103" s="45">
        <v>127.49530869458394</v>
      </c>
      <c r="BQ103" s="45">
        <v>0</v>
      </c>
      <c r="BR103" s="45">
        <v>0</v>
      </c>
      <c r="BS103" s="45">
        <v>0</v>
      </c>
      <c r="BT103" s="45">
        <v>0</v>
      </c>
      <c r="BU103" s="45">
        <v>0</v>
      </c>
      <c r="BV103" s="45">
        <v>0</v>
      </c>
      <c r="BW103" s="45">
        <v>47.488995887584089</v>
      </c>
      <c r="BX103" s="45">
        <v>214.4422735151922</v>
      </c>
      <c r="BY103" s="45">
        <v>30.85206658347073</v>
      </c>
      <c r="BZ103" s="45">
        <v>0</v>
      </c>
      <c r="CA103" s="45">
        <v>-54.45644007047715</v>
      </c>
      <c r="CB103" s="45">
        <v>522.37895476342499</v>
      </c>
      <c r="CC103" s="45">
        <v>190.83790002818577</v>
      </c>
      <c r="CD103" s="199">
        <v>2.3516049926055604</v>
      </c>
      <c r="CE103" s="45">
        <v>1.6105494991589702</v>
      </c>
      <c r="CF103" s="45">
        <v>6.8809661952539356</v>
      </c>
      <c r="CG103" s="45">
        <v>0</v>
      </c>
      <c r="CH103" s="45">
        <v>6.8809661952539356</v>
      </c>
      <c r="CI103" s="45">
        <v>0.34404671741001186</v>
      </c>
      <c r="CJ103" s="45">
        <v>0</v>
      </c>
      <c r="CK103" s="45">
        <v>0.34404671741001186</v>
      </c>
      <c r="CL103" s="45"/>
      <c r="CM103" s="45">
        <v>0</v>
      </c>
      <c r="CN103" s="45"/>
      <c r="CO103" s="45">
        <v>0</v>
      </c>
      <c r="CP103" s="45">
        <v>0</v>
      </c>
      <c r="CQ103" s="45">
        <v>0</v>
      </c>
      <c r="CR103" s="45">
        <v>0</v>
      </c>
      <c r="CS103" s="45">
        <v>0</v>
      </c>
      <c r="CT103" s="45">
        <v>0</v>
      </c>
      <c r="CU103" s="45">
        <v>82.823278481832233</v>
      </c>
      <c r="CV103" s="45">
        <v>9999</v>
      </c>
      <c r="CW103" s="200">
        <v>0</v>
      </c>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row>
    <row r="104" spans="1:131">
      <c r="A104" s="24" t="s">
        <v>430</v>
      </c>
      <c r="B104" s="24"/>
      <c r="C104" s="45">
        <v>16.279069767441861</v>
      </c>
      <c r="D104" s="45">
        <v>1298.0734693877553</v>
      </c>
      <c r="E104" s="45">
        <v>0</v>
      </c>
      <c r="F104" s="45">
        <v>338.08982109258011</v>
      </c>
      <c r="G104" s="45">
        <v>0</v>
      </c>
      <c r="H104" s="45">
        <v>-78.170699817618811</v>
      </c>
      <c r="I104" s="45"/>
      <c r="J104" s="45"/>
      <c r="K104" s="45"/>
      <c r="L104" s="45">
        <v>1468.6907917047924</v>
      </c>
      <c r="M104" s="45">
        <v>0.34329612464787984</v>
      </c>
      <c r="N104" s="45">
        <v>0.32570789814789353</v>
      </c>
      <c r="O104" s="45">
        <v>0</v>
      </c>
      <c r="P104" s="45">
        <v>0</v>
      </c>
      <c r="Q104" s="45">
        <v>0</v>
      </c>
      <c r="R104" s="45">
        <v>67.419626699469944</v>
      </c>
      <c r="S104" s="45">
        <v>16.692482446622179</v>
      </c>
      <c r="T104" s="45">
        <v>139.26118240013969</v>
      </c>
      <c r="U104" s="45">
        <v>198.40704595897046</v>
      </c>
      <c r="V104" s="45">
        <v>20.285389265554809</v>
      </c>
      <c r="W104" s="45">
        <v>5.0713473163887004</v>
      </c>
      <c r="X104" s="45">
        <v>42.261227636572514</v>
      </c>
      <c r="Y104" s="45">
        <v>0</v>
      </c>
      <c r="Z104" s="45">
        <v>0</v>
      </c>
      <c r="AA104" s="45">
        <v>0</v>
      </c>
      <c r="AB104" s="45">
        <v>0</v>
      </c>
      <c r="AC104" s="45">
        <v>0</v>
      </c>
      <c r="AD104" s="45">
        <v>0</v>
      </c>
      <c r="AE104" s="45">
        <v>0</v>
      </c>
      <c r="AF104" s="45">
        <v>0</v>
      </c>
      <c r="AG104" s="45">
        <v>-78.170699817618811</v>
      </c>
      <c r="AH104" s="45">
        <v>87.705015965024756</v>
      </c>
      <c r="AI104" s="45">
        <v>21.763829763010879</v>
      </c>
      <c r="AJ104" s="45">
        <v>181.52241003671219</v>
      </c>
      <c r="AK104" s="45">
        <v>120.23634614135165</v>
      </c>
      <c r="AL104" s="45">
        <v>411.22760190609949</v>
      </c>
      <c r="AM104" s="45">
        <v>704.4167740752556</v>
      </c>
      <c r="AN104" s="45">
        <v>121.30316554011218</v>
      </c>
      <c r="AO104" s="45">
        <v>82.571993961536776</v>
      </c>
      <c r="AP104" s="45">
        <v>0</v>
      </c>
      <c r="AQ104" s="45">
        <v>908.29193357690463</v>
      </c>
      <c r="AR104" s="45">
        <v>87.705015965024756</v>
      </c>
      <c r="AS104" s="199">
        <v>10.356214220850443</v>
      </c>
      <c r="AT104" s="45">
        <v>704.4167740752556</v>
      </c>
      <c r="AU104" s="45">
        <v>137.22077549786442</v>
      </c>
      <c r="AV104" s="45">
        <v>84.163754957312008</v>
      </c>
      <c r="AW104" s="45">
        <v>0</v>
      </c>
      <c r="AX104" s="45">
        <v>925.80130453043205</v>
      </c>
      <c r="AY104" s="45">
        <v>21.763829763010879</v>
      </c>
      <c r="AZ104" s="199">
        <v>42.538529046201916</v>
      </c>
      <c r="BA104" s="45">
        <v>704.4167740752556</v>
      </c>
      <c r="BB104" s="45">
        <v>258.52394103797661</v>
      </c>
      <c r="BC104" s="45">
        <v>96.294071511323224</v>
      </c>
      <c r="BD104" s="45">
        <v>0</v>
      </c>
      <c r="BE104" s="45">
        <v>1059.2347866245555</v>
      </c>
      <c r="BF104" s="45">
        <v>109.46884572803563</v>
      </c>
      <c r="BG104" s="45">
        <v>-12.292050333769698</v>
      </c>
      <c r="BH104" s="199">
        <v>9.6761300402866954</v>
      </c>
      <c r="BI104" s="45">
        <v>4.3940417028256364</v>
      </c>
      <c r="BJ104" s="45">
        <v>1.0903729340862744</v>
      </c>
      <c r="BK104" s="45">
        <v>9.0943149707287443</v>
      </c>
      <c r="BL104" s="45">
        <v>6.0238689124823113</v>
      </c>
      <c r="BM104" s="45">
        <v>20.602598520122967</v>
      </c>
      <c r="BN104" s="45">
        <v>704.4167740752556</v>
      </c>
      <c r="BO104" s="45">
        <v>0</v>
      </c>
      <c r="BP104" s="45">
        <v>258.52394103797661</v>
      </c>
      <c r="BQ104" s="45">
        <v>0</v>
      </c>
      <c r="BR104" s="45">
        <v>0</v>
      </c>
      <c r="BS104" s="45">
        <v>0</v>
      </c>
      <c r="BT104" s="45">
        <v>0</v>
      </c>
      <c r="BU104" s="45">
        <v>0</v>
      </c>
      <c r="BV104" s="45">
        <v>0</v>
      </c>
      <c r="BW104" s="45">
        <v>96.294071511323224</v>
      </c>
      <c r="BX104" s="45">
        <v>421.78033750520228</v>
      </c>
      <c r="BY104" s="45">
        <v>67.617964218516022</v>
      </c>
      <c r="BZ104" s="45">
        <v>0</v>
      </c>
      <c r="CA104" s="45">
        <v>-78.170699817618811</v>
      </c>
      <c r="CB104" s="45">
        <v>1059.2347866245555</v>
      </c>
      <c r="CC104" s="45">
        <v>411.22760190609949</v>
      </c>
      <c r="CD104" s="199">
        <v>2.3240895655667346</v>
      </c>
      <c r="CE104" s="45">
        <v>2.8261335494413626</v>
      </c>
      <c r="CF104" s="45">
        <v>13.952627097891837</v>
      </c>
      <c r="CG104" s="45">
        <v>0</v>
      </c>
      <c r="CH104" s="45">
        <v>13.952627097891837</v>
      </c>
      <c r="CI104" s="45">
        <v>0.69762812605977631</v>
      </c>
      <c r="CJ104" s="45">
        <v>0</v>
      </c>
      <c r="CK104" s="45">
        <v>0.69762812605977631</v>
      </c>
      <c r="CL104" s="45"/>
      <c r="CM104" s="45">
        <v>0</v>
      </c>
      <c r="CN104" s="45"/>
      <c r="CO104" s="45">
        <v>0</v>
      </c>
      <c r="CP104" s="45">
        <v>0</v>
      </c>
      <c r="CQ104" s="45">
        <v>0</v>
      </c>
      <c r="CR104" s="45">
        <v>0</v>
      </c>
      <c r="CS104" s="45">
        <v>0</v>
      </c>
      <c r="CT104" s="45">
        <v>0</v>
      </c>
      <c r="CU104" s="45">
        <v>181.52241003671219</v>
      </c>
      <c r="CV104" s="45">
        <v>9999</v>
      </c>
      <c r="CW104" s="200">
        <v>0</v>
      </c>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row>
    <row r="105" spans="1:131">
      <c r="A105" s="24" t="s">
        <v>431</v>
      </c>
      <c r="B105" s="24"/>
      <c r="C105" s="45">
        <v>16.744186046511629</v>
      </c>
      <c r="D105" s="45">
        <v>649.36581632653053</v>
      </c>
      <c r="E105" s="45">
        <v>0</v>
      </c>
      <c r="F105" s="45">
        <v>186.95819668884204</v>
      </c>
      <c r="G105" s="45">
        <v>0</v>
      </c>
      <c r="H105" s="45">
        <v>-57.917727227432479</v>
      </c>
      <c r="I105" s="45"/>
      <c r="J105" s="45"/>
      <c r="K105" s="45"/>
      <c r="L105" s="45">
        <v>734.71773160610712</v>
      </c>
      <c r="M105" s="45">
        <v>0.17173509318301433</v>
      </c>
      <c r="N105" s="45">
        <v>0.16293652104650316</v>
      </c>
      <c r="O105" s="45">
        <v>0</v>
      </c>
      <c r="P105" s="45">
        <v>0</v>
      </c>
      <c r="Q105" s="45">
        <v>0</v>
      </c>
      <c r="R105" s="45">
        <v>37.281961901231682</v>
      </c>
      <c r="S105" s="45">
        <v>9.2306725070733666</v>
      </c>
      <c r="T105" s="45">
        <v>77.00917893992586</v>
      </c>
      <c r="U105" s="45">
        <v>104.72333082140382</v>
      </c>
      <c r="V105" s="45">
        <v>11.217491801330523</v>
      </c>
      <c r="W105" s="45">
        <v>2.8043729503326302</v>
      </c>
      <c r="X105" s="45">
        <v>23.369774586105255</v>
      </c>
      <c r="Y105" s="45">
        <v>0</v>
      </c>
      <c r="Z105" s="45">
        <v>0</v>
      </c>
      <c r="AA105" s="45">
        <v>0</v>
      </c>
      <c r="AB105" s="45">
        <v>0</v>
      </c>
      <c r="AC105" s="45">
        <v>0</v>
      </c>
      <c r="AD105" s="45">
        <v>0</v>
      </c>
      <c r="AE105" s="45">
        <v>0</v>
      </c>
      <c r="AF105" s="45">
        <v>0</v>
      </c>
      <c r="AG105" s="45">
        <v>-57.917727227432479</v>
      </c>
      <c r="AH105" s="45">
        <v>48.499453702562207</v>
      </c>
      <c r="AI105" s="45">
        <v>12.035045457405996</v>
      </c>
      <c r="AJ105" s="45">
        <v>100.37895352603111</v>
      </c>
      <c r="AK105" s="45">
        <v>46.805603593971341</v>
      </c>
      <c r="AL105" s="45">
        <v>207.71905627997066</v>
      </c>
      <c r="AM105" s="45">
        <v>352.38696754755102</v>
      </c>
      <c r="AN105" s="45">
        <v>60.682334992255591</v>
      </c>
      <c r="AO105" s="45">
        <v>41.306930253980667</v>
      </c>
      <c r="AP105" s="45">
        <v>0</v>
      </c>
      <c r="AQ105" s="45">
        <v>454.37623279378727</v>
      </c>
      <c r="AR105" s="45">
        <v>48.499453702562207</v>
      </c>
      <c r="AS105" s="199">
        <v>9.3686876470895744</v>
      </c>
      <c r="AT105" s="45">
        <v>352.38696754755102</v>
      </c>
      <c r="AU105" s="45">
        <v>68.645175330605881</v>
      </c>
      <c r="AV105" s="45">
        <v>42.103214287815696</v>
      </c>
      <c r="AW105" s="45">
        <v>0</v>
      </c>
      <c r="AX105" s="45">
        <v>463.13535716597261</v>
      </c>
      <c r="AY105" s="45">
        <v>12.035045457405996</v>
      </c>
      <c r="AZ105" s="199">
        <v>38.482227491793424</v>
      </c>
      <c r="BA105" s="45">
        <v>352.38696754755102</v>
      </c>
      <c r="BB105" s="45">
        <v>129.32751032286149</v>
      </c>
      <c r="BC105" s="45">
        <v>48.171447787041252</v>
      </c>
      <c r="BD105" s="45">
        <v>0</v>
      </c>
      <c r="BE105" s="45">
        <v>529.88592565745375</v>
      </c>
      <c r="BF105" s="45">
        <v>60.534499159968199</v>
      </c>
      <c r="BG105" s="45">
        <v>-11.713953870370561</v>
      </c>
      <c r="BH105" s="199">
        <v>8.7534535349368223</v>
      </c>
      <c r="BI105" s="45">
        <v>4.8572050733220138</v>
      </c>
      <c r="BJ105" s="45">
        <v>1.2053060269890263</v>
      </c>
      <c r="BK105" s="45">
        <v>10.052920705282817</v>
      </c>
      <c r="BL105" s="45">
        <v>4.6875665163322484</v>
      </c>
      <c r="BM105" s="45">
        <v>20.802998321926108</v>
      </c>
      <c r="BN105" s="45">
        <v>352.38696754755102</v>
      </c>
      <c r="BO105" s="45">
        <v>0</v>
      </c>
      <c r="BP105" s="45">
        <v>129.32751032286149</v>
      </c>
      <c r="BQ105" s="45">
        <v>0</v>
      </c>
      <c r="BR105" s="45">
        <v>0</v>
      </c>
      <c r="BS105" s="45">
        <v>0</v>
      </c>
      <c r="BT105" s="45">
        <v>0</v>
      </c>
      <c r="BU105" s="45">
        <v>0</v>
      </c>
      <c r="BV105" s="45">
        <v>0</v>
      </c>
      <c r="BW105" s="45">
        <v>48.171447787041252</v>
      </c>
      <c r="BX105" s="45">
        <v>228.24514416963473</v>
      </c>
      <c r="BY105" s="45">
        <v>37.39163933776841</v>
      </c>
      <c r="BZ105" s="45">
        <v>0</v>
      </c>
      <c r="CA105" s="45">
        <v>-57.917727227432479</v>
      </c>
      <c r="CB105" s="45">
        <v>529.88592565745375</v>
      </c>
      <c r="CC105" s="45">
        <v>207.71905627997069</v>
      </c>
      <c r="CD105" s="199">
        <v>2.2128097062600687</v>
      </c>
      <c r="CE105" s="45">
        <v>3.0265333512445065</v>
      </c>
      <c r="CF105" s="45">
        <v>6.9798507549773587</v>
      </c>
      <c r="CG105" s="45">
        <v>0</v>
      </c>
      <c r="CH105" s="45">
        <v>6.9798507549773587</v>
      </c>
      <c r="CI105" s="45">
        <v>0.34899092251290081</v>
      </c>
      <c r="CJ105" s="45">
        <v>0</v>
      </c>
      <c r="CK105" s="45">
        <v>0.34899092251290081</v>
      </c>
      <c r="CL105" s="45"/>
      <c r="CM105" s="45">
        <v>0</v>
      </c>
      <c r="CN105" s="45"/>
      <c r="CO105" s="45">
        <v>0</v>
      </c>
      <c r="CP105" s="45">
        <v>0</v>
      </c>
      <c r="CQ105" s="45">
        <v>0</v>
      </c>
      <c r="CR105" s="45">
        <v>0</v>
      </c>
      <c r="CS105" s="45">
        <v>0</v>
      </c>
      <c r="CT105" s="45">
        <v>0</v>
      </c>
      <c r="CU105" s="45">
        <v>100.37895352603111</v>
      </c>
      <c r="CV105" s="45">
        <v>9999</v>
      </c>
      <c r="CW105" s="200">
        <v>0</v>
      </c>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row>
    <row r="106" spans="1:131">
      <c r="A106" s="24" t="s">
        <v>432</v>
      </c>
      <c r="B106" s="24"/>
      <c r="C106" s="45">
        <v>16.279069767441861</v>
      </c>
      <c r="D106" s="45">
        <v>743.50510204081638</v>
      </c>
      <c r="E106" s="45">
        <v>0</v>
      </c>
      <c r="F106" s="45">
        <v>204.91157721295673</v>
      </c>
      <c r="G106" s="45">
        <v>0</v>
      </c>
      <c r="H106" s="45">
        <v>-35.766633955204988</v>
      </c>
      <c r="I106" s="45"/>
      <c r="J106" s="45"/>
      <c r="K106" s="45"/>
      <c r="L106" s="45">
        <v>841.23057955103127</v>
      </c>
      <c r="M106" s="45">
        <v>0.1966317209355842</v>
      </c>
      <c r="N106" s="45">
        <v>0.18655760999581042</v>
      </c>
      <c r="O106" s="45">
        <v>0</v>
      </c>
      <c r="P106" s="45">
        <v>0</v>
      </c>
      <c r="Q106" s="45">
        <v>0</v>
      </c>
      <c r="R106" s="45">
        <v>40.862105808012885</v>
      </c>
      <c r="S106" s="45">
        <v>10.117083367618763</v>
      </c>
      <c r="T106" s="45">
        <v>84.404281790961448</v>
      </c>
      <c r="U106" s="45">
        <v>120.25177388136542</v>
      </c>
      <c r="V106" s="45">
        <v>12.294694632777404</v>
      </c>
      <c r="W106" s="45">
        <v>3.0736736581943505</v>
      </c>
      <c r="X106" s="45">
        <v>25.613947151619591</v>
      </c>
      <c r="Y106" s="45">
        <v>0</v>
      </c>
      <c r="Z106" s="45">
        <v>0</v>
      </c>
      <c r="AA106" s="45">
        <v>0</v>
      </c>
      <c r="AB106" s="45">
        <v>0</v>
      </c>
      <c r="AC106" s="45">
        <v>0</v>
      </c>
      <c r="AD106" s="45">
        <v>0</v>
      </c>
      <c r="AE106" s="45">
        <v>0</v>
      </c>
      <c r="AF106" s="45">
        <v>0</v>
      </c>
      <c r="AG106" s="45">
        <v>-35.766633955204988</v>
      </c>
      <c r="AH106" s="45">
        <v>53.156800440790292</v>
      </c>
      <c r="AI106" s="45">
        <v>13.190757025813113</v>
      </c>
      <c r="AJ106" s="45">
        <v>110.01822894258103</v>
      </c>
      <c r="AK106" s="45">
        <v>84.485139926160429</v>
      </c>
      <c r="AL106" s="45">
        <v>260.85092633534487</v>
      </c>
      <c r="AM106" s="45">
        <v>403.4728987528805</v>
      </c>
      <c r="AN106" s="45">
        <v>69.479520689467293</v>
      </c>
      <c r="AO106" s="45">
        <v>47.295241944234782</v>
      </c>
      <c r="AP106" s="45">
        <v>0</v>
      </c>
      <c r="AQ106" s="45">
        <v>520.24766138658254</v>
      </c>
      <c r="AR106" s="45">
        <v>53.156800440790292</v>
      </c>
      <c r="AS106" s="199">
        <v>9.7870386681017454</v>
      </c>
      <c r="AT106" s="45">
        <v>403.4728987528805</v>
      </c>
      <c r="AU106" s="45">
        <v>78.596742861388336</v>
      </c>
      <c r="AV106" s="45">
        <v>48.206964161426889</v>
      </c>
      <c r="AW106" s="45">
        <v>0</v>
      </c>
      <c r="AX106" s="45">
        <v>530.27660577569577</v>
      </c>
      <c r="AY106" s="45">
        <v>13.190757025813113</v>
      </c>
      <c r="AZ106" s="199">
        <v>40.200619626151301</v>
      </c>
      <c r="BA106" s="45">
        <v>403.4728987528805</v>
      </c>
      <c r="BB106" s="45">
        <v>148.07626355085563</v>
      </c>
      <c r="BC106" s="45">
        <v>55.154916230373615</v>
      </c>
      <c r="BD106" s="45">
        <v>0</v>
      </c>
      <c r="BE106" s="45">
        <v>606.70407853410973</v>
      </c>
      <c r="BF106" s="45">
        <v>66.347557466603405</v>
      </c>
      <c r="BG106" s="45">
        <v>-11.973098418044511</v>
      </c>
      <c r="BH106" s="199">
        <v>9.1443317840223326</v>
      </c>
      <c r="BI106" s="45">
        <v>4.6495818309297503</v>
      </c>
      <c r="BJ106" s="45">
        <v>1.1537847217073356</v>
      </c>
      <c r="BK106" s="45">
        <v>9.6232044464805853</v>
      </c>
      <c r="BL106" s="45">
        <v>7.3898460465426945</v>
      </c>
      <c r="BM106" s="45">
        <v>22.816417045660369</v>
      </c>
      <c r="BN106" s="45">
        <v>403.4728987528805</v>
      </c>
      <c r="BO106" s="45">
        <v>0</v>
      </c>
      <c r="BP106" s="45">
        <v>148.07626355085563</v>
      </c>
      <c r="BQ106" s="45">
        <v>0</v>
      </c>
      <c r="BR106" s="45">
        <v>0</v>
      </c>
      <c r="BS106" s="45">
        <v>0</v>
      </c>
      <c r="BT106" s="45">
        <v>0</v>
      </c>
      <c r="BU106" s="45">
        <v>0</v>
      </c>
      <c r="BV106" s="45">
        <v>0</v>
      </c>
      <c r="BW106" s="45">
        <v>55.154916230373615</v>
      </c>
      <c r="BX106" s="45">
        <v>255.63524484795852</v>
      </c>
      <c r="BY106" s="45">
        <v>40.98231544259135</v>
      </c>
      <c r="BZ106" s="45">
        <v>0</v>
      </c>
      <c r="CA106" s="45">
        <v>-35.766633955204988</v>
      </c>
      <c r="CB106" s="45">
        <v>606.70407853410973</v>
      </c>
      <c r="CC106" s="45">
        <v>260.85092633534487</v>
      </c>
      <c r="CD106" s="199">
        <v>2.1659901452226444</v>
      </c>
      <c r="CE106" s="45">
        <v>5.0399520749787641</v>
      </c>
      <c r="CF106" s="45">
        <v>7.991727493705282</v>
      </c>
      <c r="CG106" s="45">
        <v>0</v>
      </c>
      <c r="CH106" s="45">
        <v>7.991727493705282</v>
      </c>
      <c r="CI106" s="45">
        <v>0.39958452528673977</v>
      </c>
      <c r="CJ106" s="45">
        <v>0</v>
      </c>
      <c r="CK106" s="45">
        <v>0.39958452528673977</v>
      </c>
      <c r="CL106" s="45"/>
      <c r="CM106" s="45">
        <v>0</v>
      </c>
      <c r="CN106" s="45"/>
      <c r="CO106" s="45">
        <v>0</v>
      </c>
      <c r="CP106" s="45">
        <v>0</v>
      </c>
      <c r="CQ106" s="45">
        <v>0</v>
      </c>
      <c r="CR106" s="45">
        <v>0</v>
      </c>
      <c r="CS106" s="45">
        <v>0</v>
      </c>
      <c r="CT106" s="45">
        <v>0</v>
      </c>
      <c r="CU106" s="45">
        <v>110.01822894258103</v>
      </c>
      <c r="CV106" s="45">
        <v>9999</v>
      </c>
      <c r="CW106" s="200">
        <v>0</v>
      </c>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row>
    <row r="107" spans="1:131">
      <c r="A107" s="24" t="s">
        <v>433</v>
      </c>
      <c r="B107" s="24"/>
      <c r="C107" s="45">
        <v>16.279069767441861</v>
      </c>
      <c r="D107" s="45">
        <v>1298.0734693877553</v>
      </c>
      <c r="E107" s="45">
        <v>0</v>
      </c>
      <c r="F107" s="45">
        <v>366.92315442591342</v>
      </c>
      <c r="G107" s="45">
        <v>0</v>
      </c>
      <c r="H107" s="45">
        <v>-78.170699817618811</v>
      </c>
      <c r="I107" s="45"/>
      <c r="J107" s="45"/>
      <c r="K107" s="45"/>
      <c r="L107" s="45">
        <v>1468.6907917047924</v>
      </c>
      <c r="M107" s="45">
        <v>0.34329612464787984</v>
      </c>
      <c r="N107" s="45">
        <v>0.32570789814789353</v>
      </c>
      <c r="O107" s="45">
        <v>0</v>
      </c>
      <c r="P107" s="45">
        <v>0</v>
      </c>
      <c r="Q107" s="45">
        <v>0</v>
      </c>
      <c r="R107" s="45">
        <v>73.169378536282579</v>
      </c>
      <c r="S107" s="45">
        <v>18.116068371181786</v>
      </c>
      <c r="T107" s="45">
        <v>151.13780169486202</v>
      </c>
      <c r="U107" s="45">
        <v>215.32780528064922</v>
      </c>
      <c r="V107" s="45">
        <v>22.015389265554806</v>
      </c>
      <c r="W107" s="45">
        <v>5.5038473163887005</v>
      </c>
      <c r="X107" s="45">
        <v>45.865394303239178</v>
      </c>
      <c r="Y107" s="45">
        <v>0</v>
      </c>
      <c r="Z107" s="45">
        <v>0</v>
      </c>
      <c r="AA107" s="45">
        <v>0</v>
      </c>
      <c r="AB107" s="45">
        <v>0</v>
      </c>
      <c r="AC107" s="45">
        <v>0</v>
      </c>
      <c r="AD107" s="45">
        <v>0</v>
      </c>
      <c r="AE107" s="45">
        <v>0</v>
      </c>
      <c r="AF107" s="45">
        <v>0</v>
      </c>
      <c r="AG107" s="45">
        <v>-78.170699817618811</v>
      </c>
      <c r="AH107" s="45">
        <v>95.184767801837381</v>
      </c>
      <c r="AI107" s="45">
        <v>23.619915687570487</v>
      </c>
      <c r="AJ107" s="45">
        <v>197.00319599810121</v>
      </c>
      <c r="AK107" s="45">
        <v>137.1571054630304</v>
      </c>
      <c r="AL107" s="45">
        <v>452.96498495053947</v>
      </c>
      <c r="AM107" s="45">
        <v>704.4167740752556</v>
      </c>
      <c r="AN107" s="45">
        <v>121.30316554011218</v>
      </c>
      <c r="AO107" s="45">
        <v>82.571993961536776</v>
      </c>
      <c r="AP107" s="45">
        <v>0</v>
      </c>
      <c r="AQ107" s="45">
        <v>908.29193357690463</v>
      </c>
      <c r="AR107" s="45">
        <v>95.184767801837381</v>
      </c>
      <c r="AS107" s="199">
        <v>9.5424084604361621</v>
      </c>
      <c r="AT107" s="45">
        <v>704.4167740752556</v>
      </c>
      <c r="AU107" s="45">
        <v>137.22077549786442</v>
      </c>
      <c r="AV107" s="45">
        <v>84.163754957312008</v>
      </c>
      <c r="AW107" s="45">
        <v>0</v>
      </c>
      <c r="AX107" s="45">
        <v>925.80130453043205</v>
      </c>
      <c r="AY107" s="45">
        <v>23.619915687570487</v>
      </c>
      <c r="AZ107" s="199">
        <v>39.195792092417022</v>
      </c>
      <c r="BA107" s="45">
        <v>704.4167740752556</v>
      </c>
      <c r="BB107" s="45">
        <v>258.52394103797661</v>
      </c>
      <c r="BC107" s="45">
        <v>96.294071511323224</v>
      </c>
      <c r="BD107" s="45">
        <v>0</v>
      </c>
      <c r="BE107" s="45">
        <v>1059.2347866245555</v>
      </c>
      <c r="BF107" s="45">
        <v>118.80468348940786</v>
      </c>
      <c r="BG107" s="45">
        <v>-11.824322690111977</v>
      </c>
      <c r="BH107" s="199">
        <v>8.9157662434999239</v>
      </c>
      <c r="BI107" s="45">
        <v>4.7687790098782674</v>
      </c>
      <c r="BJ107" s="45">
        <v>1.1833632706913662</v>
      </c>
      <c r="BK107" s="45">
        <v>9.86990594871782</v>
      </c>
      <c r="BL107" s="45">
        <v>6.8716028908055327</v>
      </c>
      <c r="BM107" s="45">
        <v>22.693651120092987</v>
      </c>
      <c r="BN107" s="45">
        <v>704.4167740752556</v>
      </c>
      <c r="BO107" s="45">
        <v>0</v>
      </c>
      <c r="BP107" s="45">
        <v>258.52394103797661</v>
      </c>
      <c r="BQ107" s="45">
        <v>0</v>
      </c>
      <c r="BR107" s="45">
        <v>0</v>
      </c>
      <c r="BS107" s="45">
        <v>0</v>
      </c>
      <c r="BT107" s="45">
        <v>0</v>
      </c>
      <c r="BU107" s="45">
        <v>0</v>
      </c>
      <c r="BV107" s="45">
        <v>0</v>
      </c>
      <c r="BW107" s="45">
        <v>96.294071511323224</v>
      </c>
      <c r="BX107" s="45">
        <v>457.75105388297561</v>
      </c>
      <c r="BY107" s="45">
        <v>73.384630885182688</v>
      </c>
      <c r="BZ107" s="45">
        <v>0</v>
      </c>
      <c r="CA107" s="45">
        <v>-78.170699817618811</v>
      </c>
      <c r="CB107" s="45">
        <v>1059.2347866245555</v>
      </c>
      <c r="CC107" s="45">
        <v>452.96498495053947</v>
      </c>
      <c r="CD107" s="199">
        <v>2.1414593653948404</v>
      </c>
      <c r="CE107" s="45">
        <v>4.9171861494113802</v>
      </c>
      <c r="CF107" s="45">
        <v>13.952627097891837</v>
      </c>
      <c r="CG107" s="45">
        <v>0</v>
      </c>
      <c r="CH107" s="45">
        <v>13.952627097891837</v>
      </c>
      <c r="CI107" s="45">
        <v>0.69762812605977631</v>
      </c>
      <c r="CJ107" s="45">
        <v>0</v>
      </c>
      <c r="CK107" s="45">
        <v>0.69762812605977631</v>
      </c>
      <c r="CL107" s="45"/>
      <c r="CM107" s="45">
        <v>0</v>
      </c>
      <c r="CN107" s="45"/>
      <c r="CO107" s="45">
        <v>0</v>
      </c>
      <c r="CP107" s="45">
        <v>0</v>
      </c>
      <c r="CQ107" s="45">
        <v>0</v>
      </c>
      <c r="CR107" s="45">
        <v>0</v>
      </c>
      <c r="CS107" s="45">
        <v>0</v>
      </c>
      <c r="CT107" s="45">
        <v>0</v>
      </c>
      <c r="CU107" s="45">
        <v>197.00319599810121</v>
      </c>
      <c r="CV107" s="45">
        <v>9999</v>
      </c>
      <c r="CW107" s="200">
        <v>0</v>
      </c>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row>
    <row r="108" spans="1:131">
      <c r="A108" s="24" t="s">
        <v>434</v>
      </c>
      <c r="B108" s="24"/>
      <c r="C108" s="45">
        <v>16.279069767441861</v>
      </c>
      <c r="D108" s="45">
        <v>3159.841836734694</v>
      </c>
      <c r="E108" s="45">
        <v>0</v>
      </c>
      <c r="F108" s="45">
        <v>984.136129944407</v>
      </c>
      <c r="G108" s="45">
        <v>0</v>
      </c>
      <c r="H108" s="45">
        <v>-83.592944891673298</v>
      </c>
      <c r="I108" s="45"/>
      <c r="J108" s="45"/>
      <c r="K108" s="45"/>
      <c r="L108" s="45">
        <v>3575.1679071329308</v>
      </c>
      <c r="M108" s="45">
        <v>0.83567030883305371</v>
      </c>
      <c r="N108" s="45">
        <v>0.79285608048676826</v>
      </c>
      <c r="O108" s="45">
        <v>0</v>
      </c>
      <c r="P108" s="45">
        <v>0</v>
      </c>
      <c r="Q108" s="45">
        <v>0</v>
      </c>
      <c r="R108" s="45">
        <v>196.24989089554438</v>
      </c>
      <c r="S108" s="45">
        <v>48.589676616396147</v>
      </c>
      <c r="T108" s="45">
        <v>405.37145027275545</v>
      </c>
      <c r="U108" s="45">
        <v>577.53747726789697</v>
      </c>
      <c r="V108" s="45">
        <v>59.048167796664423</v>
      </c>
      <c r="W108" s="45">
        <v>14.762041949166102</v>
      </c>
      <c r="X108" s="45">
        <v>123.01701624305088</v>
      </c>
      <c r="Y108" s="45">
        <v>0</v>
      </c>
      <c r="Z108" s="45">
        <v>0</v>
      </c>
      <c r="AA108" s="45">
        <v>0</v>
      </c>
      <c r="AB108" s="45">
        <v>0</v>
      </c>
      <c r="AC108" s="45">
        <v>0</v>
      </c>
      <c r="AD108" s="45">
        <v>0</v>
      </c>
      <c r="AE108" s="45">
        <v>0</v>
      </c>
      <c r="AF108" s="45">
        <v>0</v>
      </c>
      <c r="AG108" s="45">
        <v>-83.592944891673298</v>
      </c>
      <c r="AH108" s="45">
        <v>255.2980586922088</v>
      </c>
      <c r="AI108" s="45">
        <v>63.351718565562251</v>
      </c>
      <c r="AJ108" s="45">
        <v>528.38846651580639</v>
      </c>
      <c r="AK108" s="45">
        <v>493.94453237622366</v>
      </c>
      <c r="AL108" s="45">
        <v>1340.9827761498011</v>
      </c>
      <c r="AM108" s="45">
        <v>1714.7300562814178</v>
      </c>
      <c r="AN108" s="45">
        <v>295.28283755986934</v>
      </c>
      <c r="AO108" s="45">
        <v>201.00128938412871</v>
      </c>
      <c r="AP108" s="45">
        <v>0</v>
      </c>
      <c r="AQ108" s="45">
        <v>2211.0141832254158</v>
      </c>
      <c r="AR108" s="45">
        <v>255.2980586922088</v>
      </c>
      <c r="AS108" s="199">
        <v>8.6605209399224137</v>
      </c>
      <c r="AT108" s="45">
        <v>1714.7300562814178</v>
      </c>
      <c r="AU108" s="45">
        <v>334.0303592306214</v>
      </c>
      <c r="AV108" s="45">
        <v>204.87604155120394</v>
      </c>
      <c r="AW108" s="45">
        <v>0</v>
      </c>
      <c r="AX108" s="45">
        <v>2253.6364570632431</v>
      </c>
      <c r="AY108" s="45">
        <v>63.351718565562251</v>
      </c>
      <c r="AZ108" s="199">
        <v>35.573406816595991</v>
      </c>
      <c r="BA108" s="45">
        <v>1714.7300562814178</v>
      </c>
      <c r="BB108" s="45">
        <v>629.31319679049079</v>
      </c>
      <c r="BC108" s="45">
        <v>234.40432530719087</v>
      </c>
      <c r="BD108" s="45">
        <v>0</v>
      </c>
      <c r="BE108" s="45">
        <v>2578.4475783790995</v>
      </c>
      <c r="BF108" s="45">
        <v>318.64977725777101</v>
      </c>
      <c r="BG108" s="45">
        <v>-11.218225200830501</v>
      </c>
      <c r="BH108" s="199">
        <v>8.0917915605296979</v>
      </c>
      <c r="BI108" s="45">
        <v>5.2543764382631197</v>
      </c>
      <c r="BJ108" s="45">
        <v>1.303863331587978</v>
      </c>
      <c r="BK108" s="45">
        <v>10.874943283677085</v>
      </c>
      <c r="BL108" s="45">
        <v>10.166040924954867</v>
      </c>
      <c r="BM108" s="45">
        <v>27.59922397848305</v>
      </c>
      <c r="BN108" s="45">
        <v>1714.7300562814178</v>
      </c>
      <c r="BO108" s="45">
        <v>0</v>
      </c>
      <c r="BP108" s="45">
        <v>629.31319679049079</v>
      </c>
      <c r="BQ108" s="45">
        <v>0</v>
      </c>
      <c r="BR108" s="45">
        <v>0</v>
      </c>
      <c r="BS108" s="45">
        <v>0</v>
      </c>
      <c r="BT108" s="45">
        <v>0</v>
      </c>
      <c r="BU108" s="45">
        <v>0</v>
      </c>
      <c r="BV108" s="45">
        <v>0</v>
      </c>
      <c r="BW108" s="45">
        <v>234.40432530719087</v>
      </c>
      <c r="BX108" s="45">
        <v>1227.7484950525929</v>
      </c>
      <c r="BY108" s="45">
        <v>196.82722598888142</v>
      </c>
      <c r="BZ108" s="45">
        <v>0</v>
      </c>
      <c r="CA108" s="45">
        <v>-83.592944891673298</v>
      </c>
      <c r="CB108" s="45">
        <v>2578.4475783790995</v>
      </c>
      <c r="CC108" s="45">
        <v>1340.9827761498009</v>
      </c>
      <c r="CD108" s="199">
        <v>1.8686549854469063</v>
      </c>
      <c r="CE108" s="45">
        <v>9.8227590078014497</v>
      </c>
      <c r="CF108" s="45">
        <v>33.964252313908865</v>
      </c>
      <c r="CG108" s="45">
        <v>0</v>
      </c>
      <c r="CH108" s="45">
        <v>33.964252313908865</v>
      </c>
      <c r="CI108" s="45">
        <v>1.6982047558881415</v>
      </c>
      <c r="CJ108" s="45">
        <v>0</v>
      </c>
      <c r="CK108" s="45">
        <v>1.6982047558881415</v>
      </c>
      <c r="CL108" s="45"/>
      <c r="CM108" s="45">
        <v>0</v>
      </c>
      <c r="CN108" s="45"/>
      <c r="CO108" s="45">
        <v>0</v>
      </c>
      <c r="CP108" s="45">
        <v>0</v>
      </c>
      <c r="CQ108" s="45">
        <v>0</v>
      </c>
      <c r="CR108" s="45">
        <v>0</v>
      </c>
      <c r="CS108" s="45">
        <v>0</v>
      </c>
      <c r="CT108" s="45">
        <v>0</v>
      </c>
      <c r="CU108" s="45">
        <v>528.38846651580639</v>
      </c>
      <c r="CV108" s="45">
        <v>9999</v>
      </c>
      <c r="CW108" s="200">
        <v>0</v>
      </c>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row>
    <row r="109" spans="1:131">
      <c r="A109" s="24" t="s">
        <v>435</v>
      </c>
      <c r="B109" s="24"/>
      <c r="C109" s="45">
        <v>16.279069767441861</v>
      </c>
      <c r="D109" s="45">
        <v>3159.841836734694</v>
      </c>
      <c r="E109" s="45">
        <v>0</v>
      </c>
      <c r="F109" s="45">
        <v>1014.9694632777404</v>
      </c>
      <c r="G109" s="45">
        <v>0</v>
      </c>
      <c r="H109" s="45">
        <v>-83.592944891673298</v>
      </c>
      <c r="I109" s="45"/>
      <c r="J109" s="45"/>
      <c r="K109" s="45"/>
      <c r="L109" s="45">
        <v>3575.1679071329308</v>
      </c>
      <c r="M109" s="45">
        <v>0.83567030883305371</v>
      </c>
      <c r="N109" s="45">
        <v>0.79285608048676826</v>
      </c>
      <c r="O109" s="45">
        <v>0</v>
      </c>
      <c r="P109" s="45">
        <v>0</v>
      </c>
      <c r="Q109" s="45">
        <v>0</v>
      </c>
      <c r="R109" s="45">
        <v>202.39846944936139</v>
      </c>
      <c r="S109" s="45">
        <v>50.112008385433882</v>
      </c>
      <c r="T109" s="45">
        <v>418.07188131046433</v>
      </c>
      <c r="U109" s="45">
        <v>595.63193087778461</v>
      </c>
      <c r="V109" s="45">
        <v>60.898167796664424</v>
      </c>
      <c r="W109" s="45">
        <v>15.224541949166102</v>
      </c>
      <c r="X109" s="45">
        <v>126.87118290971755</v>
      </c>
      <c r="Y109" s="45">
        <v>0</v>
      </c>
      <c r="Z109" s="45">
        <v>0</v>
      </c>
      <c r="AA109" s="45">
        <v>0</v>
      </c>
      <c r="AB109" s="45">
        <v>0</v>
      </c>
      <c r="AC109" s="45">
        <v>0</v>
      </c>
      <c r="AD109" s="45">
        <v>0</v>
      </c>
      <c r="AE109" s="45">
        <v>0</v>
      </c>
      <c r="AF109" s="45">
        <v>0</v>
      </c>
      <c r="AG109" s="45">
        <v>-83.592944891673298</v>
      </c>
      <c r="AH109" s="45">
        <v>263.2966372460258</v>
      </c>
      <c r="AI109" s="45">
        <v>65.336550334599991</v>
      </c>
      <c r="AJ109" s="45">
        <v>544.9430642201819</v>
      </c>
      <c r="AK109" s="45">
        <v>512.03898598611136</v>
      </c>
      <c r="AL109" s="45">
        <v>1385.6152377869189</v>
      </c>
      <c r="AM109" s="45">
        <v>1714.7300562814178</v>
      </c>
      <c r="AN109" s="45">
        <v>295.28283755986934</v>
      </c>
      <c r="AO109" s="45">
        <v>201.00128938412871</v>
      </c>
      <c r="AP109" s="45">
        <v>0</v>
      </c>
      <c r="AQ109" s="45">
        <v>2211.0141832254158</v>
      </c>
      <c r="AR109" s="45">
        <v>263.2966372460258</v>
      </c>
      <c r="AS109" s="199">
        <v>8.3974265921194888</v>
      </c>
      <c r="AT109" s="45">
        <v>1714.7300562814178</v>
      </c>
      <c r="AU109" s="45">
        <v>334.0303592306214</v>
      </c>
      <c r="AV109" s="45">
        <v>204.87604155120394</v>
      </c>
      <c r="AW109" s="45">
        <v>0</v>
      </c>
      <c r="AX109" s="45">
        <v>2253.6364570632431</v>
      </c>
      <c r="AY109" s="45">
        <v>65.336550334599991</v>
      </c>
      <c r="AZ109" s="199">
        <v>34.492737151287812</v>
      </c>
      <c r="BA109" s="45">
        <v>1714.7300562814178</v>
      </c>
      <c r="BB109" s="45">
        <v>629.31319679049079</v>
      </c>
      <c r="BC109" s="45">
        <v>234.40432530719087</v>
      </c>
      <c r="BD109" s="45">
        <v>0</v>
      </c>
      <c r="BE109" s="45">
        <v>2578.4475783790995</v>
      </c>
      <c r="BF109" s="45">
        <v>328.63318758062576</v>
      </c>
      <c r="BG109" s="45">
        <v>-11.01275322723761</v>
      </c>
      <c r="BH109" s="199">
        <v>7.8459744049633207</v>
      </c>
      <c r="BI109" s="45">
        <v>5.4189979121124043</v>
      </c>
      <c r="BJ109" s="45">
        <v>1.3447138313315794</v>
      </c>
      <c r="BK109" s="45">
        <v>11.215659106462345</v>
      </c>
      <c r="BL109" s="45">
        <v>10.538449047437547</v>
      </c>
      <c r="BM109" s="45">
        <v>28.517819897343873</v>
      </c>
      <c r="BN109" s="45">
        <v>1714.7300562814178</v>
      </c>
      <c r="BO109" s="45">
        <v>0</v>
      </c>
      <c r="BP109" s="45">
        <v>629.31319679049079</v>
      </c>
      <c r="BQ109" s="45">
        <v>0</v>
      </c>
      <c r="BR109" s="45">
        <v>0</v>
      </c>
      <c r="BS109" s="45">
        <v>0</v>
      </c>
      <c r="BT109" s="45">
        <v>0</v>
      </c>
      <c r="BU109" s="45">
        <v>0</v>
      </c>
      <c r="BV109" s="45">
        <v>0</v>
      </c>
      <c r="BW109" s="45">
        <v>234.40432530719087</v>
      </c>
      <c r="BX109" s="45">
        <v>1266.2142900230442</v>
      </c>
      <c r="BY109" s="45">
        <v>202.99389265554808</v>
      </c>
      <c r="BZ109" s="45">
        <v>0</v>
      </c>
      <c r="CA109" s="45">
        <v>-83.592944891673298</v>
      </c>
      <c r="CB109" s="45">
        <v>2578.4475783790995</v>
      </c>
      <c r="CC109" s="45">
        <v>1385.6152377869189</v>
      </c>
      <c r="CD109" s="199">
        <v>1.8118878962527039</v>
      </c>
      <c r="CE109" s="45">
        <v>10.741354926662279</v>
      </c>
      <c r="CF109" s="45">
        <v>33.964252313908865</v>
      </c>
      <c r="CG109" s="45">
        <v>0</v>
      </c>
      <c r="CH109" s="45">
        <v>33.964252313908865</v>
      </c>
      <c r="CI109" s="45">
        <v>1.6982047558881415</v>
      </c>
      <c r="CJ109" s="45">
        <v>0</v>
      </c>
      <c r="CK109" s="45">
        <v>1.6982047558881415</v>
      </c>
      <c r="CL109" s="45"/>
      <c r="CM109" s="45">
        <v>0</v>
      </c>
      <c r="CN109" s="45"/>
      <c r="CO109" s="45">
        <v>0</v>
      </c>
      <c r="CP109" s="45">
        <v>0</v>
      </c>
      <c r="CQ109" s="45">
        <v>0</v>
      </c>
      <c r="CR109" s="45">
        <v>0</v>
      </c>
      <c r="CS109" s="45">
        <v>0</v>
      </c>
      <c r="CT109" s="45">
        <v>0</v>
      </c>
      <c r="CU109" s="45">
        <v>544.9430642201819</v>
      </c>
      <c r="CV109" s="45">
        <v>9999</v>
      </c>
      <c r="CW109" s="200">
        <v>0</v>
      </c>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row>
    <row r="110" spans="1:131">
      <c r="A110" s="24" t="s">
        <v>436</v>
      </c>
      <c r="B110" s="24"/>
      <c r="C110" s="45">
        <v>16.744186046511629</v>
      </c>
      <c r="D110" s="45">
        <v>649.36581632653053</v>
      </c>
      <c r="E110" s="45">
        <v>0</v>
      </c>
      <c r="F110" s="45">
        <v>228.79070335550873</v>
      </c>
      <c r="G110" s="45">
        <v>0</v>
      </c>
      <c r="H110" s="45">
        <v>-57.917727227432479</v>
      </c>
      <c r="I110" s="45"/>
      <c r="J110" s="45"/>
      <c r="K110" s="45"/>
      <c r="L110" s="45">
        <v>734.71773160610712</v>
      </c>
      <c r="M110" s="45">
        <v>0.17173509318301433</v>
      </c>
      <c r="N110" s="45">
        <v>0.16293652104650316</v>
      </c>
      <c r="O110" s="45">
        <v>0</v>
      </c>
      <c r="P110" s="45">
        <v>0</v>
      </c>
      <c r="Q110" s="45">
        <v>0</v>
      </c>
      <c r="R110" s="45">
        <v>45.623922550196198</v>
      </c>
      <c r="S110" s="45">
        <v>11.296065605791723</v>
      </c>
      <c r="T110" s="45">
        <v>94.240234055206827</v>
      </c>
      <c r="U110" s="45">
        <v>128.15551786818534</v>
      </c>
      <c r="V110" s="45">
        <v>13.727442201330524</v>
      </c>
      <c r="W110" s="45">
        <v>3.4318605503326305</v>
      </c>
      <c r="X110" s="45">
        <v>28.598837919438591</v>
      </c>
      <c r="Y110" s="45">
        <v>0</v>
      </c>
      <c r="Z110" s="45">
        <v>0</v>
      </c>
      <c r="AA110" s="45">
        <v>0</v>
      </c>
      <c r="AB110" s="45">
        <v>0</v>
      </c>
      <c r="AC110" s="45">
        <v>0</v>
      </c>
      <c r="AD110" s="45">
        <v>0</v>
      </c>
      <c r="AE110" s="45">
        <v>0</v>
      </c>
      <c r="AF110" s="45">
        <v>0</v>
      </c>
      <c r="AG110" s="45">
        <v>-57.917727227432479</v>
      </c>
      <c r="AH110" s="45">
        <v>59.351364751526724</v>
      </c>
      <c r="AI110" s="45">
        <v>14.727926156124354</v>
      </c>
      <c r="AJ110" s="45">
        <v>122.83907197464542</v>
      </c>
      <c r="AK110" s="45">
        <v>70.237790640752863</v>
      </c>
      <c r="AL110" s="45">
        <v>267.1561535230494</v>
      </c>
      <c r="AM110" s="45">
        <v>352.38696754755102</v>
      </c>
      <c r="AN110" s="45">
        <v>60.682334992255591</v>
      </c>
      <c r="AO110" s="45">
        <v>41.306930253980667</v>
      </c>
      <c r="AP110" s="45">
        <v>0</v>
      </c>
      <c r="AQ110" s="45">
        <v>454.37623279378727</v>
      </c>
      <c r="AR110" s="45">
        <v>59.351364751526724</v>
      </c>
      <c r="AS110" s="199">
        <v>7.6556998258763569</v>
      </c>
      <c r="AT110" s="45">
        <v>352.38696754755102</v>
      </c>
      <c r="AU110" s="45">
        <v>68.645175330605881</v>
      </c>
      <c r="AV110" s="45">
        <v>42.103214287815696</v>
      </c>
      <c r="AW110" s="45">
        <v>0</v>
      </c>
      <c r="AX110" s="45">
        <v>463.13535716597261</v>
      </c>
      <c r="AY110" s="45">
        <v>14.727926156124354</v>
      </c>
      <c r="AZ110" s="199">
        <v>31.446067304824567</v>
      </c>
      <c r="BA110" s="45">
        <v>352.38696754755102</v>
      </c>
      <c r="BB110" s="45">
        <v>129.32751032286149</v>
      </c>
      <c r="BC110" s="45">
        <v>48.171447787041252</v>
      </c>
      <c r="BD110" s="45">
        <v>0</v>
      </c>
      <c r="BE110" s="45">
        <v>529.88592565745375</v>
      </c>
      <c r="BF110" s="45">
        <v>74.079290907651085</v>
      </c>
      <c r="BG110" s="45">
        <v>-10.357447226039852</v>
      </c>
      <c r="BH110" s="199">
        <v>7.1529562333152121</v>
      </c>
      <c r="BI110" s="45">
        <v>5.944020560472234</v>
      </c>
      <c r="BJ110" s="45">
        <v>1.4749971841695191</v>
      </c>
      <c r="BK110" s="45">
        <v>12.302294521843136</v>
      </c>
      <c r="BL110" s="45">
        <v>7.0342926980468441</v>
      </c>
      <c r="BM110" s="45">
        <v>26.755604964531734</v>
      </c>
      <c r="BN110" s="45">
        <v>352.38696754755102</v>
      </c>
      <c r="BO110" s="45">
        <v>0</v>
      </c>
      <c r="BP110" s="45">
        <v>129.32751032286149</v>
      </c>
      <c r="BQ110" s="45">
        <v>0</v>
      </c>
      <c r="BR110" s="45">
        <v>0</v>
      </c>
      <c r="BS110" s="45">
        <v>0</v>
      </c>
      <c r="BT110" s="45">
        <v>0</v>
      </c>
      <c r="BU110" s="45">
        <v>0</v>
      </c>
      <c r="BV110" s="45">
        <v>0</v>
      </c>
      <c r="BW110" s="45">
        <v>48.171447787041252</v>
      </c>
      <c r="BX110" s="45">
        <v>279.31574007938013</v>
      </c>
      <c r="BY110" s="45">
        <v>45.758140671101749</v>
      </c>
      <c r="BZ110" s="45">
        <v>0</v>
      </c>
      <c r="CA110" s="45">
        <v>-57.917727227432479</v>
      </c>
      <c r="CB110" s="45">
        <v>529.88592565745375</v>
      </c>
      <c r="CC110" s="45">
        <v>267.1561535230494</v>
      </c>
      <c r="CD110" s="199">
        <v>1.8082155709583718</v>
      </c>
      <c r="CE110" s="45">
        <v>8.9791399938501328</v>
      </c>
      <c r="CF110" s="45">
        <v>6.9798507549773587</v>
      </c>
      <c r="CG110" s="45">
        <v>0</v>
      </c>
      <c r="CH110" s="45">
        <v>6.9798507549773587</v>
      </c>
      <c r="CI110" s="45">
        <v>0.34899092251290081</v>
      </c>
      <c r="CJ110" s="45">
        <v>0</v>
      </c>
      <c r="CK110" s="45">
        <v>0.34899092251290081</v>
      </c>
      <c r="CL110" s="45"/>
      <c r="CM110" s="45">
        <v>0</v>
      </c>
      <c r="CN110" s="45"/>
      <c r="CO110" s="45">
        <v>0</v>
      </c>
      <c r="CP110" s="45">
        <v>0</v>
      </c>
      <c r="CQ110" s="45">
        <v>0</v>
      </c>
      <c r="CR110" s="45">
        <v>0</v>
      </c>
      <c r="CS110" s="45">
        <v>0</v>
      </c>
      <c r="CT110" s="45">
        <v>0</v>
      </c>
      <c r="CU110" s="45">
        <v>122.83907197464542</v>
      </c>
      <c r="CV110" s="45">
        <v>9999</v>
      </c>
      <c r="CW110" s="200">
        <v>0</v>
      </c>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row>
    <row r="111" spans="1:131">
      <c r="A111" s="24" t="s">
        <v>420</v>
      </c>
      <c r="B111" s="24"/>
      <c r="C111" s="45">
        <v>14.186046511627909</v>
      </c>
      <c r="D111" s="45">
        <v>640.16615646258492</v>
      </c>
      <c r="E111" s="45">
        <v>0</v>
      </c>
      <c r="F111" s="45">
        <v>210.259506250687</v>
      </c>
      <c r="G111" s="45">
        <v>0</v>
      </c>
      <c r="H111" s="45">
        <v>-54.45644007047715</v>
      </c>
      <c r="I111" s="45"/>
      <c r="J111" s="45"/>
      <c r="K111" s="45"/>
      <c r="L111" s="45">
        <v>724.30887875791984</v>
      </c>
      <c r="M111" s="45">
        <v>0.16930209716711028</v>
      </c>
      <c r="N111" s="45">
        <v>0.16062817568037027</v>
      </c>
      <c r="O111" s="45">
        <v>0</v>
      </c>
      <c r="P111" s="45">
        <v>0</v>
      </c>
      <c r="Q111" s="45">
        <v>0</v>
      </c>
      <c r="R111" s="45">
        <v>41.928554298457968</v>
      </c>
      <c r="S111" s="45">
        <v>10.381126252138639</v>
      </c>
      <c r="T111" s="45">
        <v>86.607125161931847</v>
      </c>
      <c r="U111" s="45">
        <v>153.37172819550909</v>
      </c>
      <c r="V111" s="45">
        <v>12.615570375041219</v>
      </c>
      <c r="W111" s="45">
        <v>3.1538925937603044</v>
      </c>
      <c r="X111" s="45">
        <v>26.282438281335875</v>
      </c>
      <c r="Y111" s="45">
        <v>0</v>
      </c>
      <c r="Z111" s="45">
        <v>0</v>
      </c>
      <c r="AA111" s="45">
        <v>0</v>
      </c>
      <c r="AB111" s="45">
        <v>0</v>
      </c>
      <c r="AC111" s="45">
        <v>0</v>
      </c>
      <c r="AD111" s="45">
        <v>0</v>
      </c>
      <c r="AE111" s="45">
        <v>0</v>
      </c>
      <c r="AF111" s="45">
        <v>0</v>
      </c>
      <c r="AG111" s="45">
        <v>-54.45644007047715</v>
      </c>
      <c r="AH111" s="45">
        <v>54.544124673499184</v>
      </c>
      <c r="AI111" s="45">
        <v>13.535018845898943</v>
      </c>
      <c r="AJ111" s="45">
        <v>112.88956344326772</v>
      </c>
      <c r="AK111" s="45">
        <v>98.915288125031935</v>
      </c>
      <c r="AL111" s="45">
        <v>279.88399508769783</v>
      </c>
      <c r="AM111" s="45">
        <v>347.39465018125691</v>
      </c>
      <c r="AN111" s="45">
        <v>59.822639536099899</v>
      </c>
      <c r="AO111" s="45">
        <v>40.721728971735686</v>
      </c>
      <c r="AP111" s="45">
        <v>0</v>
      </c>
      <c r="AQ111" s="45">
        <v>447.93901868909251</v>
      </c>
      <c r="AR111" s="45">
        <v>54.544124673499184</v>
      </c>
      <c r="AS111" s="199">
        <v>8.2124155694211414</v>
      </c>
      <c r="AT111" s="45">
        <v>347.39465018125691</v>
      </c>
      <c r="AU111" s="45">
        <v>67.672669158484041</v>
      </c>
      <c r="AV111" s="45">
        <v>41.506731933974095</v>
      </c>
      <c r="AW111" s="45">
        <v>0</v>
      </c>
      <c r="AX111" s="45">
        <v>456.57405127371504</v>
      </c>
      <c r="AY111" s="45">
        <v>13.535018845898943</v>
      </c>
      <c r="AZ111" s="199">
        <v>33.732797602424853</v>
      </c>
      <c r="BA111" s="45">
        <v>347.39465018125691</v>
      </c>
      <c r="BB111" s="45">
        <v>127.49530869458394</v>
      </c>
      <c r="BC111" s="45">
        <v>47.488995887584089</v>
      </c>
      <c r="BD111" s="45">
        <v>0</v>
      </c>
      <c r="BE111" s="45">
        <v>522.37895476342499</v>
      </c>
      <c r="BF111" s="45">
        <v>68.07914351939813</v>
      </c>
      <c r="BG111" s="45">
        <v>-10.860378908583934</v>
      </c>
      <c r="BH111" s="199">
        <v>7.6731129059310348</v>
      </c>
      <c r="BI111" s="45">
        <v>5.5410782351605077</v>
      </c>
      <c r="BJ111" s="45">
        <v>1.3750078269371653</v>
      </c>
      <c r="BK111" s="45">
        <v>11.468327830296673</v>
      </c>
      <c r="BL111" s="45">
        <v>10.04869641661962</v>
      </c>
      <c r="BM111" s="45">
        <v>28.433110309013969</v>
      </c>
      <c r="BN111" s="45">
        <v>347.39465018125691</v>
      </c>
      <c r="BO111" s="45">
        <v>0</v>
      </c>
      <c r="BP111" s="45">
        <v>127.49530869458394</v>
      </c>
      <c r="BQ111" s="45">
        <v>0</v>
      </c>
      <c r="BR111" s="45">
        <v>0</v>
      </c>
      <c r="BS111" s="45">
        <v>0</v>
      </c>
      <c r="BT111" s="45">
        <v>0</v>
      </c>
      <c r="BU111" s="45">
        <v>0</v>
      </c>
      <c r="BV111" s="45">
        <v>0</v>
      </c>
      <c r="BW111" s="45">
        <v>47.488995887584089</v>
      </c>
      <c r="BX111" s="45">
        <v>292.28853390803755</v>
      </c>
      <c r="BY111" s="45">
        <v>42.051901250137405</v>
      </c>
      <c r="BZ111" s="45">
        <v>0</v>
      </c>
      <c r="CA111" s="45">
        <v>-54.45644007047715</v>
      </c>
      <c r="CB111" s="45">
        <v>522.37895476342499</v>
      </c>
      <c r="CC111" s="45">
        <v>279.88399508769783</v>
      </c>
      <c r="CD111" s="199">
        <v>1.7252935456670202</v>
      </c>
      <c r="CE111" s="45">
        <v>10.656645338332362</v>
      </c>
      <c r="CF111" s="45">
        <v>6.8809661952539356</v>
      </c>
      <c r="CG111" s="45">
        <v>0</v>
      </c>
      <c r="CH111" s="45">
        <v>6.8809661952539356</v>
      </c>
      <c r="CI111" s="45">
        <v>0.34404671741001186</v>
      </c>
      <c r="CJ111" s="45">
        <v>0</v>
      </c>
      <c r="CK111" s="45">
        <v>0.34404671741001186</v>
      </c>
      <c r="CL111" s="45"/>
      <c r="CM111" s="45">
        <v>0</v>
      </c>
      <c r="CN111" s="45"/>
      <c r="CO111" s="45">
        <v>0</v>
      </c>
      <c r="CP111" s="45">
        <v>0</v>
      </c>
      <c r="CQ111" s="45">
        <v>0</v>
      </c>
      <c r="CR111" s="45">
        <v>0</v>
      </c>
      <c r="CS111" s="45">
        <v>0</v>
      </c>
      <c r="CT111" s="45">
        <v>0</v>
      </c>
      <c r="CU111" s="45">
        <v>112.88956344326772</v>
      </c>
      <c r="CV111" s="45">
        <v>9999</v>
      </c>
      <c r="CW111" s="200">
        <v>0</v>
      </c>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row>
    <row r="112" spans="1:131">
      <c r="A112" s="24" t="s">
        <v>437</v>
      </c>
      <c r="B112" s="24"/>
      <c r="C112" s="45">
        <v>6.6762790697674417</v>
      </c>
      <c r="D112" s="45">
        <v>68.226666666666659</v>
      </c>
      <c r="E112" s="45">
        <v>0</v>
      </c>
      <c r="F112" s="45">
        <v>30.451059986919489</v>
      </c>
      <c r="G112" s="45">
        <v>0</v>
      </c>
      <c r="H112" s="45">
        <v>-38.781804660785241</v>
      </c>
      <c r="I112" s="45"/>
      <c r="J112" s="45"/>
      <c r="K112" s="45"/>
      <c r="L112" s="45">
        <v>77.194303284934591</v>
      </c>
      <c r="M112" s="45">
        <v>1.8043624507137073E-2</v>
      </c>
      <c r="N112" s="45">
        <v>1.7119188336942193E-2</v>
      </c>
      <c r="O112" s="45">
        <v>0</v>
      </c>
      <c r="P112" s="45">
        <v>0</v>
      </c>
      <c r="Q112" s="45">
        <v>0</v>
      </c>
      <c r="R112" s="45">
        <v>6.0723481419427285</v>
      </c>
      <c r="S112" s="45">
        <v>1.5034578168311736</v>
      </c>
      <c r="T112" s="45">
        <v>12.54297040180562</v>
      </c>
      <c r="U112" s="45">
        <v>60.867325909236541</v>
      </c>
      <c r="V112" s="45">
        <v>1.8270635992151694</v>
      </c>
      <c r="W112" s="45">
        <v>0.45676589980379229</v>
      </c>
      <c r="X112" s="45">
        <v>3.8063824983649361</v>
      </c>
      <c r="Y112" s="45">
        <v>0</v>
      </c>
      <c r="Z112" s="45">
        <v>0</v>
      </c>
      <c r="AA112" s="45">
        <v>0</v>
      </c>
      <c r="AB112" s="45">
        <v>0</v>
      </c>
      <c r="AC112" s="45">
        <v>0</v>
      </c>
      <c r="AD112" s="45">
        <v>0</v>
      </c>
      <c r="AE112" s="45">
        <v>0</v>
      </c>
      <c r="AF112" s="45">
        <v>0</v>
      </c>
      <c r="AG112" s="45">
        <v>-38.781804660785241</v>
      </c>
      <c r="AH112" s="45">
        <v>7.8994117411578983</v>
      </c>
      <c r="AI112" s="45">
        <v>1.9602237166349659</v>
      </c>
      <c r="AJ112" s="45">
        <v>16.349352900170558</v>
      </c>
      <c r="AK112" s="45">
        <v>22.0855212484513</v>
      </c>
      <c r="AL112" s="45">
        <v>48.294509606414714</v>
      </c>
      <c r="AM112" s="45">
        <v>37.024105008408256</v>
      </c>
      <c r="AN112" s="45">
        <v>6.3756873829492875</v>
      </c>
      <c r="AO112" s="45">
        <v>4.3399792391357543</v>
      </c>
      <c r="AP112" s="45">
        <v>0</v>
      </c>
      <c r="AQ112" s="45">
        <v>47.739771630493294</v>
      </c>
      <c r="AR112" s="45">
        <v>7.8994117411578983</v>
      </c>
      <c r="AS112" s="199">
        <v>6.0434590821183836</v>
      </c>
      <c r="AT112" s="45">
        <v>37.024105008408256</v>
      </c>
      <c r="AU112" s="45">
        <v>7.2123160440602803</v>
      </c>
      <c r="AV112" s="45">
        <v>4.423642105246854</v>
      </c>
      <c r="AW112" s="45">
        <v>0</v>
      </c>
      <c r="AX112" s="45">
        <v>48.660063157715392</v>
      </c>
      <c r="AY112" s="45">
        <v>1.9602237166349659</v>
      </c>
      <c r="AZ112" s="199">
        <v>24.823729426786088</v>
      </c>
      <c r="BA112" s="45">
        <v>37.024105008408256</v>
      </c>
      <c r="BB112" s="45">
        <v>13.588003427009568</v>
      </c>
      <c r="BC112" s="45">
        <v>5.0612108435417831</v>
      </c>
      <c r="BD112" s="45">
        <v>0</v>
      </c>
      <c r="BE112" s="45">
        <v>55.67331927895961</v>
      </c>
      <c r="BF112" s="45">
        <v>9.859635457792864</v>
      </c>
      <c r="BG112" s="45">
        <v>-8.3782425149554136</v>
      </c>
      <c r="BH112" s="199">
        <v>5.6465900303602501</v>
      </c>
      <c r="BI112" s="45">
        <v>7.5297336428497603</v>
      </c>
      <c r="BJ112" s="45">
        <v>1.8684888128764356</v>
      </c>
      <c r="BK112" s="45">
        <v>15.584232928361395</v>
      </c>
      <c r="BL112" s="45">
        <v>21.051959033592667</v>
      </c>
      <c r="BM112" s="45">
        <v>46.034414417680253</v>
      </c>
      <c r="BN112" s="45">
        <v>37.024105008408256</v>
      </c>
      <c r="BO112" s="45">
        <v>0</v>
      </c>
      <c r="BP112" s="45">
        <v>13.588003427009568</v>
      </c>
      <c r="BQ112" s="45">
        <v>0</v>
      </c>
      <c r="BR112" s="45">
        <v>0</v>
      </c>
      <c r="BS112" s="45">
        <v>0</v>
      </c>
      <c r="BT112" s="45">
        <v>0</v>
      </c>
      <c r="BU112" s="45">
        <v>0</v>
      </c>
      <c r="BV112" s="45">
        <v>0</v>
      </c>
      <c r="BW112" s="45">
        <v>5.0612108435417831</v>
      </c>
      <c r="BX112" s="45">
        <v>80.986102269816058</v>
      </c>
      <c r="BY112" s="45">
        <v>6.0902119973838982</v>
      </c>
      <c r="BZ112" s="45">
        <v>0</v>
      </c>
      <c r="CA112" s="45">
        <v>-38.781804660785241</v>
      </c>
      <c r="CB112" s="45">
        <v>55.673319278959603</v>
      </c>
      <c r="CC112" s="45">
        <v>48.294509606414714</v>
      </c>
      <c r="CD112" s="199">
        <v>1.0847395728062452</v>
      </c>
      <c r="CE112" s="45">
        <v>28.257949446998651</v>
      </c>
      <c r="CF112" s="45">
        <v>0.73334927535431171</v>
      </c>
      <c r="CG112" s="45">
        <v>0</v>
      </c>
      <c r="CH112" s="45">
        <v>0.73334927535431171</v>
      </c>
      <c r="CI112" s="45">
        <v>3.666729406034392E-2</v>
      </c>
      <c r="CJ112" s="45">
        <v>0</v>
      </c>
      <c r="CK112" s="45">
        <v>3.666729406034392E-2</v>
      </c>
      <c r="CL112" s="45"/>
      <c r="CM112" s="45">
        <v>0</v>
      </c>
      <c r="CN112" s="45"/>
      <c r="CO112" s="45">
        <v>0</v>
      </c>
      <c r="CP112" s="45">
        <v>0</v>
      </c>
      <c r="CQ112" s="45">
        <v>0</v>
      </c>
      <c r="CR112" s="45">
        <v>0</v>
      </c>
      <c r="CS112" s="45">
        <v>0</v>
      </c>
      <c r="CT112" s="45">
        <v>0</v>
      </c>
      <c r="CU112" s="45">
        <v>16.349352900170558</v>
      </c>
      <c r="CV112" s="45">
        <v>9999</v>
      </c>
      <c r="CW112" s="200">
        <v>0</v>
      </c>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row>
    <row r="113" spans="1:131">
      <c r="A113" s="24"/>
      <c r="B113" s="24"/>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row>
    <row r="114" spans="1:131">
      <c r="A114" s="24"/>
      <c r="B114" s="24"/>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row>
    <row r="115" spans="1:131" ht="13.5" thickBot="1">
      <c r="A115" s="187" t="s">
        <v>634</v>
      </c>
      <c r="B115" s="188"/>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row>
    <row r="116" spans="1:131" ht="13.5" thickBot="1">
      <c r="A116" s="220" t="s">
        <v>635</v>
      </c>
      <c r="B116" s="221"/>
      <c r="C116" s="222"/>
      <c r="D116" s="222"/>
      <c r="E116" s="222"/>
      <c r="F116" s="222"/>
      <c r="G116" s="222"/>
      <c r="H116" s="222"/>
      <c r="I116" s="222"/>
      <c r="J116" s="222"/>
      <c r="K116" s="222"/>
      <c r="L116" s="194"/>
      <c r="M116" s="223"/>
      <c r="N116" s="224" t="s">
        <v>636</v>
      </c>
      <c r="O116" s="222"/>
      <c r="P116" s="222"/>
      <c r="Q116" s="222"/>
      <c r="R116" s="222"/>
      <c r="S116" s="222"/>
      <c r="T116" s="222"/>
      <c r="U116" s="222"/>
      <c r="V116" s="222"/>
      <c r="W116" s="222"/>
      <c r="X116" s="222"/>
      <c r="Y116" s="194"/>
      <c r="Z116" s="223"/>
      <c r="AA116" s="224" t="s">
        <v>637</v>
      </c>
      <c r="AB116" s="222"/>
      <c r="AC116" s="222"/>
      <c r="AD116" s="222"/>
      <c r="AE116" s="222"/>
      <c r="AF116" s="222"/>
      <c r="AG116" s="222"/>
      <c r="AH116" s="222"/>
      <c r="AI116" s="222"/>
      <c r="AJ116" s="222"/>
      <c r="AK116" s="222"/>
      <c r="AL116" s="194"/>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row>
    <row r="117" spans="1:131" ht="102">
      <c r="A117" s="195"/>
      <c r="B117" s="196" t="s">
        <v>638</v>
      </c>
      <c r="C117" s="197" t="s">
        <v>639</v>
      </c>
      <c r="D117" s="197" t="s">
        <v>391</v>
      </c>
      <c r="E117" s="197" t="s">
        <v>392</v>
      </c>
      <c r="F117" s="197" t="s">
        <v>393</v>
      </c>
      <c r="G117" s="197" t="s">
        <v>394</v>
      </c>
      <c r="H117" s="197" t="s">
        <v>395</v>
      </c>
      <c r="I117" s="197" t="s">
        <v>396</v>
      </c>
      <c r="J117" s="197" t="s">
        <v>397</v>
      </c>
      <c r="K117" s="197" t="s">
        <v>398</v>
      </c>
      <c r="L117" s="197" t="s">
        <v>399</v>
      </c>
      <c r="M117" s="197" t="s">
        <v>400</v>
      </c>
      <c r="N117" s="197" t="s">
        <v>402</v>
      </c>
      <c r="O117" s="197" t="s">
        <v>403</v>
      </c>
      <c r="P117" s="197" t="s">
        <v>404</v>
      </c>
      <c r="Q117" s="197" t="s">
        <v>405</v>
      </c>
      <c r="R117" s="197" t="s">
        <v>406</v>
      </c>
      <c r="S117" s="197" t="s">
        <v>407</v>
      </c>
      <c r="T117" s="197" t="s">
        <v>408</v>
      </c>
      <c r="U117" s="197" t="s">
        <v>409</v>
      </c>
      <c r="V117" s="197" t="s">
        <v>410</v>
      </c>
      <c r="W117" s="197" t="s">
        <v>411</v>
      </c>
      <c r="X117" s="197" t="s">
        <v>412</v>
      </c>
      <c r="Y117" s="197" t="s">
        <v>413</v>
      </c>
      <c r="Z117" s="197"/>
      <c r="AA117" s="197" t="s">
        <v>402</v>
      </c>
      <c r="AB117" s="197" t="s">
        <v>403</v>
      </c>
      <c r="AC117" s="197" t="s">
        <v>404</v>
      </c>
      <c r="AD117" s="197" t="s">
        <v>405</v>
      </c>
      <c r="AE117" s="197" t="s">
        <v>406</v>
      </c>
      <c r="AF117" s="197" t="s">
        <v>407</v>
      </c>
      <c r="AG117" s="197" t="s">
        <v>408</v>
      </c>
      <c r="AH117" s="197" t="s">
        <v>409</v>
      </c>
      <c r="AI117" s="197" t="s">
        <v>410</v>
      </c>
      <c r="AJ117" s="197" t="s">
        <v>411</v>
      </c>
      <c r="AK117" s="197" t="s">
        <v>412</v>
      </c>
      <c r="AL117" s="197" t="s">
        <v>413</v>
      </c>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row>
    <row r="118" spans="1:131">
      <c r="A118" s="24"/>
      <c r="B118" s="225" t="s">
        <v>640</v>
      </c>
      <c r="C118" s="226">
        <v>28673.813033340168</v>
      </c>
      <c r="D118" s="226">
        <v>5384.6077643428271</v>
      </c>
      <c r="E118" s="226">
        <v>0</v>
      </c>
      <c r="F118" s="226">
        <v>5384.6077643428271</v>
      </c>
      <c r="G118" s="226">
        <v>4044.9563546800132</v>
      </c>
      <c r="H118" s="226">
        <v>20679.846569220754</v>
      </c>
      <c r="I118" s="226">
        <v>1645.0258624759019</v>
      </c>
      <c r="J118" s="226">
        <v>-14.338787198637055</v>
      </c>
      <c r="K118" s="226">
        <v>-7.3964374440253691</v>
      </c>
      <c r="L118" s="199">
        <v>16.28412434203047</v>
      </c>
      <c r="M118" s="45">
        <v>272.4024845723153</v>
      </c>
      <c r="N118" s="198">
        <v>1191.537498839582</v>
      </c>
      <c r="O118" s="198">
        <v>876.16471621855248</v>
      </c>
      <c r="P118" s="198">
        <v>811.13260504834341</v>
      </c>
      <c r="Q118" s="198">
        <v>463.851270242309</v>
      </c>
      <c r="R118" s="198">
        <v>372.58366071056628</v>
      </c>
      <c r="S118" s="198">
        <v>289.16296663646381</v>
      </c>
      <c r="T118" s="198">
        <v>302.86013807670594</v>
      </c>
      <c r="U118" s="198">
        <v>439.78798795509891</v>
      </c>
      <c r="V118" s="198">
        <v>554.64696769666295</v>
      </c>
      <c r="W118" s="198">
        <v>903.98189022418796</v>
      </c>
      <c r="X118" s="198">
        <v>1053.9113676579091</v>
      </c>
      <c r="Y118" s="198">
        <v>1250.255719493307</v>
      </c>
      <c r="Z118" s="198"/>
      <c r="AA118" s="198">
        <v>1956.4360944679893</v>
      </c>
      <c r="AB118" s="198">
        <v>1692.4642187602053</v>
      </c>
      <c r="AC118" s="198">
        <v>1700.7558747677808</v>
      </c>
      <c r="AD118" s="198">
        <v>1611.5109441514696</v>
      </c>
      <c r="AE118" s="198">
        <v>1484.0480509472886</v>
      </c>
      <c r="AF118" s="198">
        <v>1347.9810105567058</v>
      </c>
      <c r="AG118" s="198">
        <v>1473.6878495581427</v>
      </c>
      <c r="AH118" s="198">
        <v>1592.6896110346781</v>
      </c>
      <c r="AI118" s="198">
        <v>1709.8264199835569</v>
      </c>
      <c r="AJ118" s="198">
        <v>1769.8330606614288</v>
      </c>
      <c r="AK118" s="198">
        <v>1865.8862372517801</v>
      </c>
      <c r="AL118" s="198">
        <v>1958.8168723994604</v>
      </c>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row>
    <row r="119" spans="1:131">
      <c r="A119" s="24"/>
      <c r="B119" s="225" t="s">
        <v>641</v>
      </c>
      <c r="C119" s="226">
        <v>28673.813033340168</v>
      </c>
      <c r="D119" s="226">
        <v>5384.6077643428271</v>
      </c>
      <c r="E119" s="226">
        <v>1076.9215528685656</v>
      </c>
      <c r="F119" s="226">
        <v>6461.5293172113925</v>
      </c>
      <c r="G119" s="226">
        <v>5121.8779075485791</v>
      </c>
      <c r="H119" s="226">
        <v>20679.846569220754</v>
      </c>
      <c r="I119" s="226">
        <v>1974.0310349710821</v>
      </c>
      <c r="J119" s="226">
        <v>-13.302452589931244</v>
      </c>
      <c r="K119" s="226">
        <v>-4.6328784874765301</v>
      </c>
      <c r="L119" s="199">
        <v>14.115021108623608</v>
      </c>
      <c r="M119" s="45">
        <v>272.4024845723153</v>
      </c>
      <c r="N119" s="198">
        <v>74.145550591413581</v>
      </c>
      <c r="O119" s="198">
        <v>54.52091550292058</v>
      </c>
      <c r="P119" s="198">
        <v>50.474176148487281</v>
      </c>
      <c r="Q119" s="198">
        <v>28.863974367686147</v>
      </c>
      <c r="R119" s="198">
        <v>23.184684234993256</v>
      </c>
      <c r="S119" s="198">
        <v>17.993682442044285</v>
      </c>
      <c r="T119" s="198">
        <v>18.846013416915664</v>
      </c>
      <c r="U119" s="198">
        <v>27.366593617219308</v>
      </c>
      <c r="V119" s="198">
        <v>34.513898927878977</v>
      </c>
      <c r="W119" s="198">
        <v>56.251888875184292</v>
      </c>
      <c r="X119" s="198">
        <v>65.58151858892171</v>
      </c>
      <c r="Y119" s="198">
        <v>77.799396823159128</v>
      </c>
      <c r="Z119" s="198"/>
      <c r="AA119" s="198">
        <v>121.74273286616351</v>
      </c>
      <c r="AB119" s="198">
        <v>105.31661108312021</v>
      </c>
      <c r="AC119" s="198">
        <v>105.83257419850267</v>
      </c>
      <c r="AD119" s="198">
        <v>100.27914887661122</v>
      </c>
      <c r="AE119" s="198">
        <v>92.347542522801476</v>
      </c>
      <c r="AF119" s="198">
        <v>83.880527731467467</v>
      </c>
      <c r="AG119" s="198">
        <v>91.702860473781428</v>
      </c>
      <c r="AH119" s="198">
        <v>99.107957782610384</v>
      </c>
      <c r="AI119" s="198">
        <v>106.39700508703363</v>
      </c>
      <c r="AJ119" s="198">
        <v>110.1310255576734</v>
      </c>
      <c r="AK119" s="198">
        <v>116.10810615419828</v>
      </c>
      <c r="AL119" s="198">
        <v>121.89088102829578</v>
      </c>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row>
    <row r="120" spans="1:131">
      <c r="A120" s="24"/>
      <c r="B120" s="225" t="s">
        <v>642</v>
      </c>
      <c r="C120" s="227"/>
      <c r="D120" s="227"/>
      <c r="E120" s="227"/>
      <c r="F120" s="227"/>
      <c r="G120" s="227"/>
      <c r="H120" s="227"/>
      <c r="I120" s="227"/>
      <c r="J120" s="227"/>
      <c r="K120" s="227"/>
      <c r="L120" s="200"/>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c r="AI120" s="228"/>
      <c r="AJ120" s="228"/>
      <c r="AK120" s="228"/>
      <c r="AL120" s="228"/>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row>
    <row r="121" spans="1:131">
      <c r="A121" s="24"/>
      <c r="B121" s="24" t="s">
        <v>643</v>
      </c>
      <c r="C121" s="45">
        <v>13908.386952549685</v>
      </c>
      <c r="D121" s="45">
        <v>1485.7795753102964</v>
      </c>
      <c r="E121" s="45">
        <v>297.15591506205936</v>
      </c>
      <c r="F121" s="45">
        <v>1782.9354903723558</v>
      </c>
      <c r="G121" s="45">
        <v>52.888604714635221</v>
      </c>
      <c r="H121" s="45">
        <v>10030.870602024514</v>
      </c>
      <c r="I121" s="45">
        <v>1122.9565979826764</v>
      </c>
      <c r="J121" s="45">
        <v>-15.231357202153836</v>
      </c>
      <c r="K121" s="45">
        <v>-17.496659978153087</v>
      </c>
      <c r="L121" s="199">
        <v>26.970516065734088</v>
      </c>
      <c r="M121" s="45">
        <v>132.13028758548637</v>
      </c>
      <c r="N121" s="198">
        <v>577.96166080405078</v>
      </c>
      <c r="O121" s="198">
        <v>424.98839945595375</v>
      </c>
      <c r="P121" s="198">
        <v>393.44422479579248</v>
      </c>
      <c r="Q121" s="198">
        <v>224.99354890332859</v>
      </c>
      <c r="R121" s="198">
        <v>180.72370491272562</v>
      </c>
      <c r="S121" s="198">
        <v>140.26004939248426</v>
      </c>
      <c r="T121" s="198">
        <v>146.90393593540028</v>
      </c>
      <c r="U121" s="198">
        <v>213.3215246416861</v>
      </c>
      <c r="V121" s="198">
        <v>269.03448940724616</v>
      </c>
      <c r="W121" s="198">
        <v>438.48126904908872</v>
      </c>
      <c r="X121" s="198">
        <v>511.20536700275528</v>
      </c>
      <c r="Y121" s="198">
        <v>606.4432489718896</v>
      </c>
      <c r="Z121" s="198"/>
      <c r="AA121" s="198">
        <v>948.97983111477674</v>
      </c>
      <c r="AB121" s="198">
        <v>820.93885562033199</v>
      </c>
      <c r="AC121" s="198">
        <v>824.96076788211246</v>
      </c>
      <c r="AD121" s="198">
        <v>781.6720351585692</v>
      </c>
      <c r="AE121" s="198">
        <v>719.84547450149944</v>
      </c>
      <c r="AF121" s="198">
        <v>653.84542605869296</v>
      </c>
      <c r="AG121" s="198">
        <v>714.82020319701564</v>
      </c>
      <c r="AH121" s="198">
        <v>772.54264648442211</v>
      </c>
      <c r="AI121" s="198">
        <v>829.36048453594276</v>
      </c>
      <c r="AJ121" s="198">
        <v>858.46702775361769</v>
      </c>
      <c r="AK121" s="198">
        <v>905.05813673821058</v>
      </c>
      <c r="AL121" s="198">
        <v>950.13464023208769</v>
      </c>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row>
    <row r="122" spans="1:131">
      <c r="A122" s="24"/>
      <c r="B122" s="24" t="s">
        <v>644</v>
      </c>
      <c r="C122" s="45">
        <v>10388.754991614715</v>
      </c>
      <c r="D122" s="45">
        <v>2643.1481595171849</v>
      </c>
      <c r="E122" s="45">
        <v>528.62963190343703</v>
      </c>
      <c r="F122" s="45">
        <v>3171.7777914206217</v>
      </c>
      <c r="G122" s="45">
        <v>3355.1955603529123</v>
      </c>
      <c r="H122" s="45">
        <v>7492.4761147747622</v>
      </c>
      <c r="I122" s="45">
        <v>2674.5046423051781</v>
      </c>
      <c r="J122" s="45">
        <v>-11.714874919630056</v>
      </c>
      <c r="K122" s="45">
        <v>5.9878034353865131</v>
      </c>
      <c r="L122" s="199">
        <v>2.0987998935936658</v>
      </c>
      <c r="M122" s="45">
        <v>98.693629202311769</v>
      </c>
      <c r="N122" s="198">
        <v>431.70369857586587</v>
      </c>
      <c r="O122" s="198">
        <v>317.44158192384867</v>
      </c>
      <c r="P122" s="198">
        <v>293.87992067045337</v>
      </c>
      <c r="Q122" s="198">
        <v>168.05707680012978</v>
      </c>
      <c r="R122" s="198">
        <v>134.99008173417272</v>
      </c>
      <c r="S122" s="198">
        <v>104.76608777290139</v>
      </c>
      <c r="T122" s="198">
        <v>109.72868406260184</v>
      </c>
      <c r="U122" s="198">
        <v>159.33875448683239</v>
      </c>
      <c r="V122" s="198">
        <v>200.95309429348862</v>
      </c>
      <c r="W122" s="198">
        <v>327.51996964883131</v>
      </c>
      <c r="X122" s="198">
        <v>381.84063517276041</v>
      </c>
      <c r="Y122" s="198">
        <v>452.97778609278703</v>
      </c>
      <c r="Z122" s="198"/>
      <c r="AA122" s="198">
        <v>708.83266269982687</v>
      </c>
      <c r="AB122" s="198">
        <v>613.19351145696612</v>
      </c>
      <c r="AC122" s="198">
        <v>616.19764566950664</v>
      </c>
      <c r="AD122" s="198">
        <v>583.86348357747909</v>
      </c>
      <c r="AE122" s="198">
        <v>537.68264371216651</v>
      </c>
      <c r="AF122" s="198">
        <v>488.38445154608456</v>
      </c>
      <c r="AG122" s="198">
        <v>533.9290587330612</v>
      </c>
      <c r="AH122" s="198">
        <v>577.04436195809171</v>
      </c>
      <c r="AI122" s="198">
        <v>619.48397775856256</v>
      </c>
      <c r="AJ122" s="198">
        <v>641.22487029864533</v>
      </c>
      <c r="AK122" s="198">
        <v>676.02571511838369</v>
      </c>
      <c r="AL122" s="198">
        <v>709.69523785126296</v>
      </c>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row>
    <row r="123" spans="1:131">
      <c r="A123" s="24"/>
      <c r="B123" s="24" t="s">
        <v>645</v>
      </c>
      <c r="C123" s="45">
        <v>4299.4767858908508</v>
      </c>
      <c r="D123" s="45">
        <v>1225.2289695284273</v>
      </c>
      <c r="E123" s="45">
        <v>245.04579390568549</v>
      </c>
      <c r="F123" s="45">
        <v>1470.2747634341129</v>
      </c>
      <c r="G123" s="45">
        <v>1665.4992328746166</v>
      </c>
      <c r="H123" s="45">
        <v>3100.8265331425246</v>
      </c>
      <c r="I123" s="45">
        <v>2995.6219254278813</v>
      </c>
      <c r="J123" s="45">
        <v>-10.987083575465627</v>
      </c>
      <c r="K123" s="45">
        <v>10.727084374686132</v>
      </c>
      <c r="L123" s="199">
        <v>1.7972998288894118</v>
      </c>
      <c r="M123" s="45">
        <v>40.845218509162798</v>
      </c>
      <c r="N123" s="198">
        <v>178.66433772943031</v>
      </c>
      <c r="O123" s="198">
        <v>131.37596501791418</v>
      </c>
      <c r="P123" s="198">
        <v>121.62476618054018</v>
      </c>
      <c r="Q123" s="198">
        <v>69.55188576398676</v>
      </c>
      <c r="R123" s="198">
        <v>55.866821694230296</v>
      </c>
      <c r="S123" s="198">
        <v>43.358358406927984</v>
      </c>
      <c r="T123" s="198">
        <v>45.412172127873077</v>
      </c>
      <c r="U123" s="198">
        <v>65.943732098971878</v>
      </c>
      <c r="V123" s="198">
        <v>83.166189275342617</v>
      </c>
      <c r="W123" s="198">
        <v>135.54699360581964</v>
      </c>
      <c r="X123" s="198">
        <v>158.02807440932156</v>
      </c>
      <c r="Y123" s="198">
        <v>187.46880424094601</v>
      </c>
      <c r="Z123" s="198"/>
      <c r="AA123" s="198">
        <v>293.35657456730706</v>
      </c>
      <c r="AB123" s="198">
        <v>253.77547837985412</v>
      </c>
      <c r="AC123" s="198">
        <v>255.01876550318548</v>
      </c>
      <c r="AD123" s="198">
        <v>241.63699074594894</v>
      </c>
      <c r="AE123" s="198">
        <v>222.52464772562391</v>
      </c>
      <c r="AF123" s="198">
        <v>202.12216128951712</v>
      </c>
      <c r="AG123" s="198">
        <v>220.97119387147507</v>
      </c>
      <c r="AH123" s="198">
        <v>238.81483783865772</v>
      </c>
      <c r="AI123" s="198">
        <v>256.37884267692078</v>
      </c>
      <c r="AJ123" s="198">
        <v>265.37650051523548</v>
      </c>
      <c r="AK123" s="198">
        <v>279.77913341519559</v>
      </c>
      <c r="AL123" s="198">
        <v>293.71355881062397</v>
      </c>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row>
    <row r="124" spans="1:131">
      <c r="A124" s="24"/>
      <c r="B124" s="24" t="s">
        <v>646</v>
      </c>
      <c r="C124" s="45">
        <v>77.194303284934591</v>
      </c>
      <c r="D124" s="45">
        <v>30.451059986919489</v>
      </c>
      <c r="E124" s="45">
        <v>6.0902119973838982</v>
      </c>
      <c r="F124" s="45">
        <v>36.541271984303386</v>
      </c>
      <c r="G124" s="45">
        <v>48.294509606414714</v>
      </c>
      <c r="H124" s="45">
        <v>55.673319278959603</v>
      </c>
      <c r="I124" s="45">
        <v>4146.6990303799967</v>
      </c>
      <c r="J124" s="45">
        <v>-8.3782425149554136</v>
      </c>
      <c r="K124" s="45">
        <v>28.257949446998651</v>
      </c>
      <c r="L124" s="199">
        <v>1.0847395728062452</v>
      </c>
      <c r="M124" s="45">
        <v>0.73334927535431171</v>
      </c>
      <c r="N124" s="198">
        <v>3.2078017302354049</v>
      </c>
      <c r="O124" s="198">
        <v>2.3587698208358887</v>
      </c>
      <c r="P124" s="198">
        <v>2.1836934015575871</v>
      </c>
      <c r="Q124" s="198">
        <v>1.2487587748637792</v>
      </c>
      <c r="R124" s="198">
        <v>1.0030523694376006</v>
      </c>
      <c r="S124" s="198">
        <v>0.77847106415014411</v>
      </c>
      <c r="T124" s="198">
        <v>0.81534595083069783</v>
      </c>
      <c r="U124" s="198">
        <v>1.1839767276086746</v>
      </c>
      <c r="V124" s="198">
        <v>1.4931947205857186</v>
      </c>
      <c r="W124" s="198">
        <v>2.433657920448733</v>
      </c>
      <c r="X124" s="198">
        <v>2.8372910730717615</v>
      </c>
      <c r="Y124" s="198">
        <v>3.3658801876845397</v>
      </c>
      <c r="Z124" s="198"/>
      <c r="AA124" s="198">
        <v>5.2670260860790057</v>
      </c>
      <c r="AB124" s="198">
        <v>4.5563733030540767</v>
      </c>
      <c r="AC124" s="198">
        <v>4.5786957129769874</v>
      </c>
      <c r="AD124" s="198">
        <v>4.3384346694726528</v>
      </c>
      <c r="AE124" s="198">
        <v>3.9952850079979769</v>
      </c>
      <c r="AF124" s="198">
        <v>3.6289716624104487</v>
      </c>
      <c r="AG124" s="198">
        <v>3.9673937565904014</v>
      </c>
      <c r="AH124" s="198">
        <v>4.2877647535059449</v>
      </c>
      <c r="AI124" s="198">
        <v>4.6031150121309627</v>
      </c>
      <c r="AJ124" s="198">
        <v>4.7646620939303626</v>
      </c>
      <c r="AK124" s="198">
        <v>5.0232519799903557</v>
      </c>
      <c r="AL124" s="198">
        <v>5.2734355054848692</v>
      </c>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row>
    <row r="125" spans="1:131">
      <c r="A125" s="24"/>
      <c r="B125" s="24" t="s">
        <v>647</v>
      </c>
      <c r="C125" s="228">
        <v>0</v>
      </c>
      <c r="D125" s="228">
        <v>0</v>
      </c>
      <c r="E125" s="228">
        <v>0</v>
      </c>
      <c r="F125" s="228">
        <v>0</v>
      </c>
      <c r="G125" s="228">
        <v>0</v>
      </c>
      <c r="H125" s="228">
        <v>0</v>
      </c>
      <c r="I125" s="228">
        <v>0</v>
      </c>
      <c r="J125" s="228">
        <v>0</v>
      </c>
      <c r="K125" s="228">
        <v>0</v>
      </c>
      <c r="L125" s="229">
        <v>0</v>
      </c>
      <c r="M125" s="228">
        <v>0</v>
      </c>
      <c r="N125" s="228">
        <v>0</v>
      </c>
      <c r="O125" s="228">
        <v>0</v>
      </c>
      <c r="P125" s="228">
        <v>0</v>
      </c>
      <c r="Q125" s="228">
        <v>0</v>
      </c>
      <c r="R125" s="228">
        <v>0</v>
      </c>
      <c r="S125" s="228">
        <v>0</v>
      </c>
      <c r="T125" s="228">
        <v>0</v>
      </c>
      <c r="U125" s="228">
        <v>0</v>
      </c>
      <c r="V125" s="228">
        <v>0</v>
      </c>
      <c r="W125" s="228">
        <v>0</v>
      </c>
      <c r="X125" s="228">
        <v>0</v>
      </c>
      <c r="Y125" s="228">
        <v>0</v>
      </c>
      <c r="Z125" s="228"/>
      <c r="AA125" s="228">
        <v>0</v>
      </c>
      <c r="AB125" s="228">
        <v>0</v>
      </c>
      <c r="AC125" s="228">
        <v>0</v>
      </c>
      <c r="AD125" s="228">
        <v>0</v>
      </c>
      <c r="AE125" s="228">
        <v>0</v>
      </c>
      <c r="AF125" s="228">
        <v>0</v>
      </c>
      <c r="AG125" s="228">
        <v>0</v>
      </c>
      <c r="AH125" s="228">
        <v>0</v>
      </c>
      <c r="AI125" s="228">
        <v>0</v>
      </c>
      <c r="AJ125" s="228">
        <v>0</v>
      </c>
      <c r="AK125" s="228">
        <v>0</v>
      </c>
      <c r="AL125" s="228">
        <v>0</v>
      </c>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row>
    <row r="126" spans="1:131">
      <c r="A126" s="24"/>
      <c r="B126" s="24" t="s">
        <v>648</v>
      </c>
      <c r="C126" s="228">
        <v>0</v>
      </c>
      <c r="D126" s="228">
        <v>0</v>
      </c>
      <c r="E126" s="228">
        <v>0</v>
      </c>
      <c r="F126" s="228">
        <v>0</v>
      </c>
      <c r="G126" s="228">
        <v>0</v>
      </c>
      <c r="H126" s="228">
        <v>0</v>
      </c>
      <c r="I126" s="228">
        <v>0</v>
      </c>
      <c r="J126" s="228">
        <v>0</v>
      </c>
      <c r="K126" s="228">
        <v>0</v>
      </c>
      <c r="L126" s="229">
        <v>0</v>
      </c>
      <c r="M126" s="228">
        <v>0</v>
      </c>
      <c r="N126" s="228">
        <v>0</v>
      </c>
      <c r="O126" s="228">
        <v>0</v>
      </c>
      <c r="P126" s="228">
        <v>0</v>
      </c>
      <c r="Q126" s="228">
        <v>0</v>
      </c>
      <c r="R126" s="228">
        <v>0</v>
      </c>
      <c r="S126" s="228">
        <v>0</v>
      </c>
      <c r="T126" s="228">
        <v>0</v>
      </c>
      <c r="U126" s="228">
        <v>0</v>
      </c>
      <c r="V126" s="228">
        <v>0</v>
      </c>
      <c r="W126" s="228">
        <v>0</v>
      </c>
      <c r="X126" s="228">
        <v>0</v>
      </c>
      <c r="Y126" s="228">
        <v>0</v>
      </c>
      <c r="Z126" s="228"/>
      <c r="AA126" s="228">
        <v>0</v>
      </c>
      <c r="AB126" s="228">
        <v>0</v>
      </c>
      <c r="AC126" s="228">
        <v>0</v>
      </c>
      <c r="AD126" s="228">
        <v>0</v>
      </c>
      <c r="AE126" s="228">
        <v>0</v>
      </c>
      <c r="AF126" s="228">
        <v>0</v>
      </c>
      <c r="AG126" s="228">
        <v>0</v>
      </c>
      <c r="AH126" s="228">
        <v>0</v>
      </c>
      <c r="AI126" s="228">
        <v>0</v>
      </c>
      <c r="AJ126" s="228">
        <v>0</v>
      </c>
      <c r="AK126" s="228">
        <v>0</v>
      </c>
      <c r="AL126" s="228">
        <v>0</v>
      </c>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row>
    <row r="127" spans="1:131">
      <c r="A127" s="24"/>
      <c r="B127" s="24" t="s">
        <v>649</v>
      </c>
      <c r="C127" s="228">
        <v>0</v>
      </c>
      <c r="D127" s="228">
        <v>0</v>
      </c>
      <c r="E127" s="228">
        <v>0</v>
      </c>
      <c r="F127" s="228">
        <v>0</v>
      </c>
      <c r="G127" s="228">
        <v>0</v>
      </c>
      <c r="H127" s="228">
        <v>0</v>
      </c>
      <c r="I127" s="228">
        <v>0</v>
      </c>
      <c r="J127" s="228">
        <v>0</v>
      </c>
      <c r="K127" s="228">
        <v>0</v>
      </c>
      <c r="L127" s="229">
        <v>0</v>
      </c>
      <c r="M127" s="228">
        <v>0</v>
      </c>
      <c r="N127" s="228">
        <v>0</v>
      </c>
      <c r="O127" s="228">
        <v>0</v>
      </c>
      <c r="P127" s="228">
        <v>0</v>
      </c>
      <c r="Q127" s="228">
        <v>0</v>
      </c>
      <c r="R127" s="228">
        <v>0</v>
      </c>
      <c r="S127" s="228">
        <v>0</v>
      </c>
      <c r="T127" s="228">
        <v>0</v>
      </c>
      <c r="U127" s="228">
        <v>0</v>
      </c>
      <c r="V127" s="228">
        <v>0</v>
      </c>
      <c r="W127" s="228">
        <v>0</v>
      </c>
      <c r="X127" s="228">
        <v>0</v>
      </c>
      <c r="Y127" s="228">
        <v>0</v>
      </c>
      <c r="Z127" s="228"/>
      <c r="AA127" s="228">
        <v>0</v>
      </c>
      <c r="AB127" s="228">
        <v>0</v>
      </c>
      <c r="AC127" s="228">
        <v>0</v>
      </c>
      <c r="AD127" s="228">
        <v>0</v>
      </c>
      <c r="AE127" s="228">
        <v>0</v>
      </c>
      <c r="AF127" s="228">
        <v>0</v>
      </c>
      <c r="AG127" s="228">
        <v>0</v>
      </c>
      <c r="AH127" s="228">
        <v>0</v>
      </c>
      <c r="AI127" s="228">
        <v>0</v>
      </c>
      <c r="AJ127" s="228">
        <v>0</v>
      </c>
      <c r="AK127" s="228">
        <v>0</v>
      </c>
      <c r="AL127" s="228">
        <v>0</v>
      </c>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row>
    <row r="128" spans="1:131">
      <c r="A128" s="24"/>
      <c r="B128" s="24" t="s">
        <v>650</v>
      </c>
      <c r="C128" s="228">
        <v>0</v>
      </c>
      <c r="D128" s="228">
        <v>0</v>
      </c>
      <c r="E128" s="228">
        <v>0</v>
      </c>
      <c r="F128" s="228">
        <v>0</v>
      </c>
      <c r="G128" s="228">
        <v>0</v>
      </c>
      <c r="H128" s="228">
        <v>0</v>
      </c>
      <c r="I128" s="228">
        <v>0</v>
      </c>
      <c r="J128" s="228">
        <v>0</v>
      </c>
      <c r="K128" s="228">
        <v>0</v>
      </c>
      <c r="L128" s="229">
        <v>0</v>
      </c>
      <c r="M128" s="228">
        <v>0</v>
      </c>
      <c r="N128" s="228">
        <v>0</v>
      </c>
      <c r="O128" s="228">
        <v>0</v>
      </c>
      <c r="P128" s="228">
        <v>0</v>
      </c>
      <c r="Q128" s="228">
        <v>0</v>
      </c>
      <c r="R128" s="228">
        <v>0</v>
      </c>
      <c r="S128" s="228">
        <v>0</v>
      </c>
      <c r="T128" s="228">
        <v>0</v>
      </c>
      <c r="U128" s="228">
        <v>0</v>
      </c>
      <c r="V128" s="228">
        <v>0</v>
      </c>
      <c r="W128" s="228">
        <v>0</v>
      </c>
      <c r="X128" s="228">
        <v>0</v>
      </c>
      <c r="Y128" s="228">
        <v>0</v>
      </c>
      <c r="Z128" s="228"/>
      <c r="AA128" s="228">
        <v>0</v>
      </c>
      <c r="AB128" s="228">
        <v>0</v>
      </c>
      <c r="AC128" s="228">
        <v>0</v>
      </c>
      <c r="AD128" s="228">
        <v>0</v>
      </c>
      <c r="AE128" s="228">
        <v>0</v>
      </c>
      <c r="AF128" s="228">
        <v>0</v>
      </c>
      <c r="AG128" s="228">
        <v>0</v>
      </c>
      <c r="AH128" s="228">
        <v>0</v>
      </c>
      <c r="AI128" s="228">
        <v>0</v>
      </c>
      <c r="AJ128" s="228">
        <v>0</v>
      </c>
      <c r="AK128" s="228">
        <v>0</v>
      </c>
      <c r="AL128" s="228">
        <v>0</v>
      </c>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row>
    <row r="129" spans="1:131">
      <c r="A129" s="24"/>
      <c r="B129" s="24" t="s">
        <v>651</v>
      </c>
      <c r="C129" s="228">
        <v>0</v>
      </c>
      <c r="D129" s="228">
        <v>0</v>
      </c>
      <c r="E129" s="228">
        <v>0</v>
      </c>
      <c r="F129" s="228">
        <v>0</v>
      </c>
      <c r="G129" s="228">
        <v>0</v>
      </c>
      <c r="H129" s="228">
        <v>0</v>
      </c>
      <c r="I129" s="228">
        <v>0</v>
      </c>
      <c r="J129" s="228">
        <v>0</v>
      </c>
      <c r="K129" s="228">
        <v>0</v>
      </c>
      <c r="L129" s="229">
        <v>0</v>
      </c>
      <c r="M129" s="228">
        <v>0</v>
      </c>
      <c r="N129" s="228">
        <v>0</v>
      </c>
      <c r="O129" s="228">
        <v>0</v>
      </c>
      <c r="P129" s="228">
        <v>0</v>
      </c>
      <c r="Q129" s="228">
        <v>0</v>
      </c>
      <c r="R129" s="228">
        <v>0</v>
      </c>
      <c r="S129" s="228">
        <v>0</v>
      </c>
      <c r="T129" s="228">
        <v>0</v>
      </c>
      <c r="U129" s="228">
        <v>0</v>
      </c>
      <c r="V129" s="228">
        <v>0</v>
      </c>
      <c r="W129" s="228">
        <v>0</v>
      </c>
      <c r="X129" s="228">
        <v>0</v>
      </c>
      <c r="Y129" s="228">
        <v>0</v>
      </c>
      <c r="Z129" s="228"/>
      <c r="AA129" s="228">
        <v>0</v>
      </c>
      <c r="AB129" s="228">
        <v>0</v>
      </c>
      <c r="AC129" s="228">
        <v>0</v>
      </c>
      <c r="AD129" s="228">
        <v>0</v>
      </c>
      <c r="AE129" s="228">
        <v>0</v>
      </c>
      <c r="AF129" s="228">
        <v>0</v>
      </c>
      <c r="AG129" s="228">
        <v>0</v>
      </c>
      <c r="AH129" s="228">
        <v>0</v>
      </c>
      <c r="AI129" s="228">
        <v>0</v>
      </c>
      <c r="AJ129" s="228">
        <v>0</v>
      </c>
      <c r="AK129" s="228">
        <v>0</v>
      </c>
      <c r="AL129" s="228">
        <v>0</v>
      </c>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row>
    <row r="130" spans="1:131">
      <c r="A130" s="24"/>
      <c r="B130" s="24" t="s">
        <v>652</v>
      </c>
      <c r="C130" s="228">
        <v>0</v>
      </c>
      <c r="D130" s="228">
        <v>0</v>
      </c>
      <c r="E130" s="228">
        <v>0</v>
      </c>
      <c r="F130" s="228">
        <v>0</v>
      </c>
      <c r="G130" s="228">
        <v>0</v>
      </c>
      <c r="H130" s="228">
        <v>0</v>
      </c>
      <c r="I130" s="228">
        <v>0</v>
      </c>
      <c r="J130" s="228">
        <v>0</v>
      </c>
      <c r="K130" s="228">
        <v>0</v>
      </c>
      <c r="L130" s="229">
        <v>0</v>
      </c>
      <c r="M130" s="228">
        <v>0</v>
      </c>
      <c r="N130" s="228">
        <v>0</v>
      </c>
      <c r="O130" s="228">
        <v>0</v>
      </c>
      <c r="P130" s="228">
        <v>0</v>
      </c>
      <c r="Q130" s="228">
        <v>0</v>
      </c>
      <c r="R130" s="228">
        <v>0</v>
      </c>
      <c r="S130" s="228">
        <v>0</v>
      </c>
      <c r="T130" s="228">
        <v>0</v>
      </c>
      <c r="U130" s="228">
        <v>0</v>
      </c>
      <c r="V130" s="228">
        <v>0</v>
      </c>
      <c r="W130" s="228">
        <v>0</v>
      </c>
      <c r="X130" s="228">
        <v>0</v>
      </c>
      <c r="Y130" s="228">
        <v>0</v>
      </c>
      <c r="Z130" s="228"/>
      <c r="AA130" s="228">
        <v>0</v>
      </c>
      <c r="AB130" s="228">
        <v>0</v>
      </c>
      <c r="AC130" s="228">
        <v>0</v>
      </c>
      <c r="AD130" s="228">
        <v>0</v>
      </c>
      <c r="AE130" s="228">
        <v>0</v>
      </c>
      <c r="AF130" s="228">
        <v>0</v>
      </c>
      <c r="AG130" s="228">
        <v>0</v>
      </c>
      <c r="AH130" s="228">
        <v>0</v>
      </c>
      <c r="AI130" s="228">
        <v>0</v>
      </c>
      <c r="AJ130" s="228">
        <v>0</v>
      </c>
      <c r="AK130" s="228">
        <v>0</v>
      </c>
      <c r="AL130" s="228">
        <v>0</v>
      </c>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row>
    <row r="131" spans="1:131">
      <c r="A131" s="24"/>
      <c r="B131" s="24" t="s">
        <v>653</v>
      </c>
      <c r="C131" s="228">
        <v>0</v>
      </c>
      <c r="D131" s="228">
        <v>0</v>
      </c>
      <c r="E131" s="228">
        <v>0</v>
      </c>
      <c r="F131" s="228">
        <v>0</v>
      </c>
      <c r="G131" s="228">
        <v>0</v>
      </c>
      <c r="H131" s="228">
        <v>0</v>
      </c>
      <c r="I131" s="228">
        <v>0</v>
      </c>
      <c r="J131" s="228">
        <v>0</v>
      </c>
      <c r="K131" s="228">
        <v>0</v>
      </c>
      <c r="L131" s="229">
        <v>0</v>
      </c>
      <c r="M131" s="228">
        <v>0</v>
      </c>
      <c r="N131" s="228">
        <v>0</v>
      </c>
      <c r="O131" s="228">
        <v>0</v>
      </c>
      <c r="P131" s="228">
        <v>0</v>
      </c>
      <c r="Q131" s="228">
        <v>0</v>
      </c>
      <c r="R131" s="228">
        <v>0</v>
      </c>
      <c r="S131" s="228">
        <v>0</v>
      </c>
      <c r="T131" s="228">
        <v>0</v>
      </c>
      <c r="U131" s="228">
        <v>0</v>
      </c>
      <c r="V131" s="228">
        <v>0</v>
      </c>
      <c r="W131" s="228">
        <v>0</v>
      </c>
      <c r="X131" s="228">
        <v>0</v>
      </c>
      <c r="Y131" s="228">
        <v>0</v>
      </c>
      <c r="Z131" s="228"/>
      <c r="AA131" s="228">
        <v>0</v>
      </c>
      <c r="AB131" s="228">
        <v>0</v>
      </c>
      <c r="AC131" s="228">
        <v>0</v>
      </c>
      <c r="AD131" s="228">
        <v>0</v>
      </c>
      <c r="AE131" s="228">
        <v>0</v>
      </c>
      <c r="AF131" s="228">
        <v>0</v>
      </c>
      <c r="AG131" s="228">
        <v>0</v>
      </c>
      <c r="AH131" s="228">
        <v>0</v>
      </c>
      <c r="AI131" s="228">
        <v>0</v>
      </c>
      <c r="AJ131" s="228">
        <v>0</v>
      </c>
      <c r="AK131" s="228">
        <v>0</v>
      </c>
      <c r="AL131" s="228">
        <v>0</v>
      </c>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row>
    <row r="132" spans="1:131">
      <c r="A132" s="24"/>
      <c r="B132" s="24" t="s">
        <v>654</v>
      </c>
      <c r="C132" s="228">
        <v>0</v>
      </c>
      <c r="D132" s="228">
        <v>0</v>
      </c>
      <c r="E132" s="228">
        <v>0</v>
      </c>
      <c r="F132" s="228">
        <v>0</v>
      </c>
      <c r="G132" s="228">
        <v>0</v>
      </c>
      <c r="H132" s="228">
        <v>0</v>
      </c>
      <c r="I132" s="228">
        <v>0</v>
      </c>
      <c r="J132" s="228">
        <v>0</v>
      </c>
      <c r="K132" s="228">
        <v>0</v>
      </c>
      <c r="L132" s="229">
        <v>0</v>
      </c>
      <c r="M132" s="228">
        <v>0</v>
      </c>
      <c r="N132" s="228">
        <v>0</v>
      </c>
      <c r="O132" s="228">
        <v>0</v>
      </c>
      <c r="P132" s="228">
        <v>0</v>
      </c>
      <c r="Q132" s="228">
        <v>0</v>
      </c>
      <c r="R132" s="228">
        <v>0</v>
      </c>
      <c r="S132" s="228">
        <v>0</v>
      </c>
      <c r="T132" s="228">
        <v>0</v>
      </c>
      <c r="U132" s="228">
        <v>0</v>
      </c>
      <c r="V132" s="228">
        <v>0</v>
      </c>
      <c r="W132" s="228">
        <v>0</v>
      </c>
      <c r="X132" s="228">
        <v>0</v>
      </c>
      <c r="Y132" s="228">
        <v>0</v>
      </c>
      <c r="Z132" s="228"/>
      <c r="AA132" s="228">
        <v>0</v>
      </c>
      <c r="AB132" s="228">
        <v>0</v>
      </c>
      <c r="AC132" s="228">
        <v>0</v>
      </c>
      <c r="AD132" s="228">
        <v>0</v>
      </c>
      <c r="AE132" s="228">
        <v>0</v>
      </c>
      <c r="AF132" s="228">
        <v>0</v>
      </c>
      <c r="AG132" s="228">
        <v>0</v>
      </c>
      <c r="AH132" s="228">
        <v>0</v>
      </c>
      <c r="AI132" s="228">
        <v>0</v>
      </c>
      <c r="AJ132" s="228">
        <v>0</v>
      </c>
      <c r="AK132" s="228">
        <v>0</v>
      </c>
      <c r="AL132" s="228">
        <v>0</v>
      </c>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row>
    <row r="133" spans="1:131">
      <c r="A133" s="24"/>
      <c r="B133" s="24" t="s">
        <v>655</v>
      </c>
      <c r="C133" s="228">
        <v>0</v>
      </c>
      <c r="D133" s="228">
        <v>0</v>
      </c>
      <c r="E133" s="228">
        <v>0</v>
      </c>
      <c r="F133" s="228">
        <v>0</v>
      </c>
      <c r="G133" s="228">
        <v>0</v>
      </c>
      <c r="H133" s="228">
        <v>0</v>
      </c>
      <c r="I133" s="228">
        <v>0</v>
      </c>
      <c r="J133" s="228">
        <v>0</v>
      </c>
      <c r="K133" s="228">
        <v>0</v>
      </c>
      <c r="L133" s="229">
        <v>0</v>
      </c>
      <c r="M133" s="228">
        <v>0</v>
      </c>
      <c r="N133" s="228">
        <v>0</v>
      </c>
      <c r="O133" s="228">
        <v>0</v>
      </c>
      <c r="P133" s="228">
        <v>0</v>
      </c>
      <c r="Q133" s="228">
        <v>0</v>
      </c>
      <c r="R133" s="228">
        <v>0</v>
      </c>
      <c r="S133" s="228">
        <v>0</v>
      </c>
      <c r="T133" s="228">
        <v>0</v>
      </c>
      <c r="U133" s="228">
        <v>0</v>
      </c>
      <c r="V133" s="228">
        <v>0</v>
      </c>
      <c r="W133" s="228">
        <v>0</v>
      </c>
      <c r="X133" s="228">
        <v>0</v>
      </c>
      <c r="Y133" s="228">
        <v>0</v>
      </c>
      <c r="Z133" s="228"/>
      <c r="AA133" s="228">
        <v>0</v>
      </c>
      <c r="AB133" s="228">
        <v>0</v>
      </c>
      <c r="AC133" s="228">
        <v>0</v>
      </c>
      <c r="AD133" s="228">
        <v>0</v>
      </c>
      <c r="AE133" s="228">
        <v>0</v>
      </c>
      <c r="AF133" s="228">
        <v>0</v>
      </c>
      <c r="AG133" s="228">
        <v>0</v>
      </c>
      <c r="AH133" s="228">
        <v>0</v>
      </c>
      <c r="AI133" s="228">
        <v>0</v>
      </c>
      <c r="AJ133" s="228">
        <v>0</v>
      </c>
      <c r="AK133" s="228">
        <v>0</v>
      </c>
      <c r="AL133" s="228">
        <v>0</v>
      </c>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c r="CA133" s="45"/>
      <c r="CB133" s="45"/>
      <c r="CC133" s="45"/>
      <c r="CD133" s="45"/>
      <c r="CE133" s="45"/>
      <c r="CF133" s="45"/>
      <c r="CG133" s="45"/>
      <c r="CH133" s="45"/>
      <c r="CI133" s="45"/>
      <c r="CJ133" s="45"/>
      <c r="CK133" s="45"/>
      <c r="CL133" s="45"/>
      <c r="CM133" s="45"/>
      <c r="CN133" s="45"/>
      <c r="CO133" s="45"/>
      <c r="CP133" s="45"/>
      <c r="CQ133" s="45"/>
      <c r="CR133" s="45"/>
      <c r="CS133" s="45"/>
      <c r="CT133" s="45"/>
      <c r="CU133" s="45"/>
      <c r="CV133" s="45"/>
      <c r="CW133" s="45"/>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row>
    <row r="134" spans="1:131">
      <c r="A134" s="24"/>
      <c r="B134" s="24" t="s">
        <v>656</v>
      </c>
      <c r="C134" s="228">
        <v>0</v>
      </c>
      <c r="D134" s="228">
        <v>0</v>
      </c>
      <c r="E134" s="228">
        <v>0</v>
      </c>
      <c r="F134" s="228">
        <v>0</v>
      </c>
      <c r="G134" s="228">
        <v>0</v>
      </c>
      <c r="H134" s="228">
        <v>0</v>
      </c>
      <c r="I134" s="228">
        <v>0</v>
      </c>
      <c r="J134" s="228">
        <v>0</v>
      </c>
      <c r="K134" s="228">
        <v>0</v>
      </c>
      <c r="L134" s="229">
        <v>0</v>
      </c>
      <c r="M134" s="228">
        <v>0</v>
      </c>
      <c r="N134" s="228">
        <v>0</v>
      </c>
      <c r="O134" s="228">
        <v>0</v>
      </c>
      <c r="P134" s="228">
        <v>0</v>
      </c>
      <c r="Q134" s="228">
        <v>0</v>
      </c>
      <c r="R134" s="228">
        <v>0</v>
      </c>
      <c r="S134" s="228">
        <v>0</v>
      </c>
      <c r="T134" s="228">
        <v>0</v>
      </c>
      <c r="U134" s="228">
        <v>0</v>
      </c>
      <c r="V134" s="228">
        <v>0</v>
      </c>
      <c r="W134" s="228">
        <v>0</v>
      </c>
      <c r="X134" s="228">
        <v>0</v>
      </c>
      <c r="Y134" s="228">
        <v>0</v>
      </c>
      <c r="Z134" s="228"/>
      <c r="AA134" s="228">
        <v>0</v>
      </c>
      <c r="AB134" s="228">
        <v>0</v>
      </c>
      <c r="AC134" s="228">
        <v>0</v>
      </c>
      <c r="AD134" s="228">
        <v>0</v>
      </c>
      <c r="AE134" s="228">
        <v>0</v>
      </c>
      <c r="AF134" s="228">
        <v>0</v>
      </c>
      <c r="AG134" s="228">
        <v>0</v>
      </c>
      <c r="AH134" s="228">
        <v>0</v>
      </c>
      <c r="AI134" s="228">
        <v>0</v>
      </c>
      <c r="AJ134" s="228">
        <v>0</v>
      </c>
      <c r="AK134" s="228">
        <v>0</v>
      </c>
      <c r="AL134" s="228">
        <v>0</v>
      </c>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c r="CA134" s="45"/>
      <c r="CB134" s="45"/>
      <c r="CC134" s="45"/>
      <c r="CD134" s="45"/>
      <c r="CE134" s="45"/>
      <c r="CF134" s="45"/>
      <c r="CG134" s="45"/>
      <c r="CH134" s="45"/>
      <c r="CI134" s="45"/>
      <c r="CJ134" s="45"/>
      <c r="CK134" s="45"/>
      <c r="CL134" s="45"/>
      <c r="CM134" s="45"/>
      <c r="CN134" s="45"/>
      <c r="CO134" s="45"/>
      <c r="CP134" s="45"/>
      <c r="CQ134" s="45"/>
      <c r="CR134" s="45"/>
      <c r="CS134" s="45"/>
      <c r="CT134" s="45"/>
      <c r="CU134" s="45"/>
      <c r="CV134" s="45"/>
      <c r="CW134" s="45"/>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row>
    <row r="135" spans="1:131">
      <c r="A135" s="24"/>
      <c r="B135" s="24" t="s">
        <v>657</v>
      </c>
      <c r="C135" s="228">
        <v>0</v>
      </c>
      <c r="D135" s="228">
        <v>0</v>
      </c>
      <c r="E135" s="228">
        <v>0</v>
      </c>
      <c r="F135" s="228">
        <v>0</v>
      </c>
      <c r="G135" s="228">
        <v>0</v>
      </c>
      <c r="H135" s="228">
        <v>0</v>
      </c>
      <c r="I135" s="228">
        <v>0</v>
      </c>
      <c r="J135" s="228">
        <v>0</v>
      </c>
      <c r="K135" s="228">
        <v>0</v>
      </c>
      <c r="L135" s="229">
        <v>0</v>
      </c>
      <c r="M135" s="228">
        <v>0</v>
      </c>
      <c r="N135" s="228">
        <v>0</v>
      </c>
      <c r="O135" s="228">
        <v>0</v>
      </c>
      <c r="P135" s="228">
        <v>0</v>
      </c>
      <c r="Q135" s="228">
        <v>0</v>
      </c>
      <c r="R135" s="228">
        <v>0</v>
      </c>
      <c r="S135" s="228">
        <v>0</v>
      </c>
      <c r="T135" s="228">
        <v>0</v>
      </c>
      <c r="U135" s="228">
        <v>0</v>
      </c>
      <c r="V135" s="228">
        <v>0</v>
      </c>
      <c r="W135" s="228">
        <v>0</v>
      </c>
      <c r="X135" s="228">
        <v>0</v>
      </c>
      <c r="Y135" s="228">
        <v>0</v>
      </c>
      <c r="Z135" s="228"/>
      <c r="AA135" s="228">
        <v>0</v>
      </c>
      <c r="AB135" s="228">
        <v>0</v>
      </c>
      <c r="AC135" s="228">
        <v>0</v>
      </c>
      <c r="AD135" s="228">
        <v>0</v>
      </c>
      <c r="AE135" s="228">
        <v>0</v>
      </c>
      <c r="AF135" s="228">
        <v>0</v>
      </c>
      <c r="AG135" s="228">
        <v>0</v>
      </c>
      <c r="AH135" s="228">
        <v>0</v>
      </c>
      <c r="AI135" s="228">
        <v>0</v>
      </c>
      <c r="AJ135" s="228">
        <v>0</v>
      </c>
      <c r="AK135" s="228">
        <v>0</v>
      </c>
      <c r="AL135" s="228">
        <v>0</v>
      </c>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row>
    <row r="136" spans="1:131">
      <c r="A136" s="24"/>
      <c r="B136" s="24" t="s">
        <v>658</v>
      </c>
      <c r="C136" s="228">
        <v>0</v>
      </c>
      <c r="D136" s="228">
        <v>0</v>
      </c>
      <c r="E136" s="228">
        <v>0</v>
      </c>
      <c r="F136" s="228">
        <v>0</v>
      </c>
      <c r="G136" s="228">
        <v>0</v>
      </c>
      <c r="H136" s="228">
        <v>0</v>
      </c>
      <c r="I136" s="228">
        <v>0</v>
      </c>
      <c r="J136" s="228">
        <v>0</v>
      </c>
      <c r="K136" s="228">
        <v>0</v>
      </c>
      <c r="L136" s="229">
        <v>0</v>
      </c>
      <c r="M136" s="228">
        <v>0</v>
      </c>
      <c r="N136" s="228">
        <v>0</v>
      </c>
      <c r="O136" s="228">
        <v>0</v>
      </c>
      <c r="P136" s="228">
        <v>0</v>
      </c>
      <c r="Q136" s="228">
        <v>0</v>
      </c>
      <c r="R136" s="228">
        <v>0</v>
      </c>
      <c r="S136" s="228">
        <v>0</v>
      </c>
      <c r="T136" s="228">
        <v>0</v>
      </c>
      <c r="U136" s="228">
        <v>0</v>
      </c>
      <c r="V136" s="228">
        <v>0</v>
      </c>
      <c r="W136" s="228">
        <v>0</v>
      </c>
      <c r="X136" s="228">
        <v>0</v>
      </c>
      <c r="Y136" s="228">
        <v>0</v>
      </c>
      <c r="Z136" s="228"/>
      <c r="AA136" s="228">
        <v>0</v>
      </c>
      <c r="AB136" s="228">
        <v>0</v>
      </c>
      <c r="AC136" s="228">
        <v>0</v>
      </c>
      <c r="AD136" s="228">
        <v>0</v>
      </c>
      <c r="AE136" s="228">
        <v>0</v>
      </c>
      <c r="AF136" s="228">
        <v>0</v>
      </c>
      <c r="AG136" s="228">
        <v>0</v>
      </c>
      <c r="AH136" s="228">
        <v>0</v>
      </c>
      <c r="AI136" s="228">
        <v>0</v>
      </c>
      <c r="AJ136" s="228">
        <v>0</v>
      </c>
      <c r="AK136" s="228">
        <v>0</v>
      </c>
      <c r="AL136" s="228">
        <v>0</v>
      </c>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row>
    <row r="137" spans="1:131">
      <c r="A137" s="24"/>
      <c r="B137" s="24" t="s">
        <v>659</v>
      </c>
      <c r="C137" s="228">
        <v>0</v>
      </c>
      <c r="D137" s="228">
        <v>0</v>
      </c>
      <c r="E137" s="228">
        <v>0</v>
      </c>
      <c r="F137" s="228">
        <v>0</v>
      </c>
      <c r="G137" s="228">
        <v>0</v>
      </c>
      <c r="H137" s="228">
        <v>0</v>
      </c>
      <c r="I137" s="228">
        <v>0</v>
      </c>
      <c r="J137" s="228">
        <v>0</v>
      </c>
      <c r="K137" s="228">
        <v>0</v>
      </c>
      <c r="L137" s="229">
        <v>0</v>
      </c>
      <c r="M137" s="228">
        <v>0</v>
      </c>
      <c r="N137" s="228">
        <v>0</v>
      </c>
      <c r="O137" s="228">
        <v>0</v>
      </c>
      <c r="P137" s="228">
        <v>0</v>
      </c>
      <c r="Q137" s="228">
        <v>0</v>
      </c>
      <c r="R137" s="228">
        <v>0</v>
      </c>
      <c r="S137" s="228">
        <v>0</v>
      </c>
      <c r="T137" s="228">
        <v>0</v>
      </c>
      <c r="U137" s="228">
        <v>0</v>
      </c>
      <c r="V137" s="228">
        <v>0</v>
      </c>
      <c r="W137" s="228">
        <v>0</v>
      </c>
      <c r="X137" s="228">
        <v>0</v>
      </c>
      <c r="Y137" s="228">
        <v>0</v>
      </c>
      <c r="Z137" s="228"/>
      <c r="AA137" s="228">
        <v>0</v>
      </c>
      <c r="AB137" s="228">
        <v>0</v>
      </c>
      <c r="AC137" s="228">
        <v>0</v>
      </c>
      <c r="AD137" s="228">
        <v>0</v>
      </c>
      <c r="AE137" s="228">
        <v>0</v>
      </c>
      <c r="AF137" s="228">
        <v>0</v>
      </c>
      <c r="AG137" s="228">
        <v>0</v>
      </c>
      <c r="AH137" s="228">
        <v>0</v>
      </c>
      <c r="AI137" s="228">
        <v>0</v>
      </c>
      <c r="AJ137" s="228">
        <v>0</v>
      </c>
      <c r="AK137" s="228">
        <v>0</v>
      </c>
      <c r="AL137" s="228">
        <v>0</v>
      </c>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c r="CA137" s="45"/>
      <c r="CB137" s="45"/>
      <c r="CC137" s="45"/>
      <c r="CD137" s="45"/>
      <c r="CE137" s="45"/>
      <c r="CF137" s="45"/>
      <c r="CG137" s="45"/>
      <c r="CH137" s="45"/>
      <c r="CI137" s="45"/>
      <c r="CJ137" s="45"/>
      <c r="CK137" s="45"/>
      <c r="CL137" s="45"/>
      <c r="CM137" s="45"/>
      <c r="CN137" s="45"/>
      <c r="CO137" s="45"/>
      <c r="CP137" s="45"/>
      <c r="CQ137" s="45"/>
      <c r="CR137" s="45"/>
      <c r="CS137" s="45"/>
      <c r="CT137" s="45"/>
      <c r="CU137" s="45"/>
      <c r="CV137" s="45"/>
      <c r="CW137" s="45"/>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row>
    <row r="138" spans="1:131">
      <c r="A138" s="24"/>
      <c r="B138" s="24" t="s">
        <v>660</v>
      </c>
      <c r="C138" s="228">
        <v>0</v>
      </c>
      <c r="D138" s="228">
        <v>0</v>
      </c>
      <c r="E138" s="228">
        <v>0</v>
      </c>
      <c r="F138" s="228">
        <v>0</v>
      </c>
      <c r="G138" s="228">
        <v>0</v>
      </c>
      <c r="H138" s="228">
        <v>0</v>
      </c>
      <c r="I138" s="228">
        <v>0</v>
      </c>
      <c r="J138" s="228">
        <v>0</v>
      </c>
      <c r="K138" s="228">
        <v>0</v>
      </c>
      <c r="L138" s="229">
        <v>0</v>
      </c>
      <c r="M138" s="228">
        <v>0</v>
      </c>
      <c r="N138" s="228">
        <v>0</v>
      </c>
      <c r="O138" s="228">
        <v>0</v>
      </c>
      <c r="P138" s="228">
        <v>0</v>
      </c>
      <c r="Q138" s="228">
        <v>0</v>
      </c>
      <c r="R138" s="228">
        <v>0</v>
      </c>
      <c r="S138" s="228">
        <v>0</v>
      </c>
      <c r="T138" s="228">
        <v>0</v>
      </c>
      <c r="U138" s="228">
        <v>0</v>
      </c>
      <c r="V138" s="228">
        <v>0</v>
      </c>
      <c r="W138" s="228">
        <v>0</v>
      </c>
      <c r="X138" s="228">
        <v>0</v>
      </c>
      <c r="Y138" s="228">
        <v>0</v>
      </c>
      <c r="Z138" s="228"/>
      <c r="AA138" s="228">
        <v>0</v>
      </c>
      <c r="AB138" s="228">
        <v>0</v>
      </c>
      <c r="AC138" s="228">
        <v>0</v>
      </c>
      <c r="AD138" s="228">
        <v>0</v>
      </c>
      <c r="AE138" s="228">
        <v>0</v>
      </c>
      <c r="AF138" s="228">
        <v>0</v>
      </c>
      <c r="AG138" s="228">
        <v>0</v>
      </c>
      <c r="AH138" s="228">
        <v>0</v>
      </c>
      <c r="AI138" s="228">
        <v>0</v>
      </c>
      <c r="AJ138" s="228">
        <v>0</v>
      </c>
      <c r="AK138" s="228">
        <v>0</v>
      </c>
      <c r="AL138" s="228">
        <v>0</v>
      </c>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row>
    <row r="139" spans="1:131">
      <c r="A139" s="24"/>
      <c r="B139" s="24" t="s">
        <v>661</v>
      </c>
      <c r="C139" s="228">
        <v>0</v>
      </c>
      <c r="D139" s="228">
        <v>0</v>
      </c>
      <c r="E139" s="228">
        <v>0</v>
      </c>
      <c r="F139" s="228">
        <v>0</v>
      </c>
      <c r="G139" s="228">
        <v>0</v>
      </c>
      <c r="H139" s="228">
        <v>0</v>
      </c>
      <c r="I139" s="228">
        <v>0</v>
      </c>
      <c r="J139" s="228">
        <v>0</v>
      </c>
      <c r="K139" s="228">
        <v>0</v>
      </c>
      <c r="L139" s="229">
        <v>0</v>
      </c>
      <c r="M139" s="228">
        <v>0</v>
      </c>
      <c r="N139" s="228">
        <v>0</v>
      </c>
      <c r="O139" s="228">
        <v>0</v>
      </c>
      <c r="P139" s="228">
        <v>0</v>
      </c>
      <c r="Q139" s="228">
        <v>0</v>
      </c>
      <c r="R139" s="228">
        <v>0</v>
      </c>
      <c r="S139" s="228">
        <v>0</v>
      </c>
      <c r="T139" s="228">
        <v>0</v>
      </c>
      <c r="U139" s="228">
        <v>0</v>
      </c>
      <c r="V139" s="228">
        <v>0</v>
      </c>
      <c r="W139" s="228">
        <v>0</v>
      </c>
      <c r="X139" s="228">
        <v>0</v>
      </c>
      <c r="Y139" s="228">
        <v>0</v>
      </c>
      <c r="Z139" s="228"/>
      <c r="AA139" s="228">
        <v>0</v>
      </c>
      <c r="AB139" s="228">
        <v>0</v>
      </c>
      <c r="AC139" s="228">
        <v>0</v>
      </c>
      <c r="AD139" s="228">
        <v>0</v>
      </c>
      <c r="AE139" s="228">
        <v>0</v>
      </c>
      <c r="AF139" s="228">
        <v>0</v>
      </c>
      <c r="AG139" s="228">
        <v>0</v>
      </c>
      <c r="AH139" s="228">
        <v>0</v>
      </c>
      <c r="AI139" s="228">
        <v>0</v>
      </c>
      <c r="AJ139" s="228">
        <v>0</v>
      </c>
      <c r="AK139" s="228">
        <v>0</v>
      </c>
      <c r="AL139" s="228">
        <v>0</v>
      </c>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c r="CA139" s="45"/>
      <c r="CB139" s="45"/>
      <c r="CC139" s="45"/>
      <c r="CD139" s="45"/>
      <c r="CE139" s="45"/>
      <c r="CF139" s="45"/>
      <c r="CG139" s="45"/>
      <c r="CH139" s="45"/>
      <c r="CI139" s="45"/>
      <c r="CJ139" s="45"/>
      <c r="CK139" s="45"/>
      <c r="CL139" s="45"/>
      <c r="CM139" s="45"/>
      <c r="CN139" s="45"/>
      <c r="CO139" s="45"/>
      <c r="CP139" s="45"/>
      <c r="CQ139" s="45"/>
      <c r="CR139" s="45"/>
      <c r="CS139" s="45"/>
      <c r="CT139" s="45"/>
      <c r="CU139" s="45"/>
      <c r="CV139" s="45"/>
      <c r="CW139" s="45"/>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row>
    <row r="140" spans="1:131">
      <c r="A140" s="24"/>
      <c r="B140" s="24" t="s">
        <v>662</v>
      </c>
      <c r="C140" s="228">
        <v>0</v>
      </c>
      <c r="D140" s="228">
        <v>0</v>
      </c>
      <c r="E140" s="228">
        <v>0</v>
      </c>
      <c r="F140" s="228">
        <v>0</v>
      </c>
      <c r="G140" s="228">
        <v>0</v>
      </c>
      <c r="H140" s="228">
        <v>0</v>
      </c>
      <c r="I140" s="228">
        <v>0</v>
      </c>
      <c r="J140" s="228">
        <v>0</v>
      </c>
      <c r="K140" s="228">
        <v>0</v>
      </c>
      <c r="L140" s="229">
        <v>0</v>
      </c>
      <c r="M140" s="228">
        <v>0</v>
      </c>
      <c r="N140" s="228">
        <v>0</v>
      </c>
      <c r="O140" s="228">
        <v>0</v>
      </c>
      <c r="P140" s="228">
        <v>0</v>
      </c>
      <c r="Q140" s="228">
        <v>0</v>
      </c>
      <c r="R140" s="228">
        <v>0</v>
      </c>
      <c r="S140" s="228">
        <v>0</v>
      </c>
      <c r="T140" s="228">
        <v>0</v>
      </c>
      <c r="U140" s="228">
        <v>0</v>
      </c>
      <c r="V140" s="228">
        <v>0</v>
      </c>
      <c r="W140" s="228">
        <v>0</v>
      </c>
      <c r="X140" s="228">
        <v>0</v>
      </c>
      <c r="Y140" s="228">
        <v>0</v>
      </c>
      <c r="Z140" s="228"/>
      <c r="AA140" s="228">
        <v>0</v>
      </c>
      <c r="AB140" s="228">
        <v>0</v>
      </c>
      <c r="AC140" s="228">
        <v>0</v>
      </c>
      <c r="AD140" s="228">
        <v>0</v>
      </c>
      <c r="AE140" s="228">
        <v>0</v>
      </c>
      <c r="AF140" s="228">
        <v>0</v>
      </c>
      <c r="AG140" s="228">
        <v>0</v>
      </c>
      <c r="AH140" s="228">
        <v>0</v>
      </c>
      <c r="AI140" s="228">
        <v>0</v>
      </c>
      <c r="AJ140" s="228">
        <v>0</v>
      </c>
      <c r="AK140" s="228">
        <v>0</v>
      </c>
      <c r="AL140" s="228">
        <v>0</v>
      </c>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c r="CA140" s="45"/>
      <c r="CB140" s="45"/>
      <c r="CC140" s="45"/>
      <c r="CD140" s="45"/>
      <c r="CE140" s="45"/>
      <c r="CF140" s="45"/>
      <c r="CG140" s="45"/>
      <c r="CH140" s="45"/>
      <c r="CI140" s="45"/>
      <c r="CJ140" s="45"/>
      <c r="CK140" s="45"/>
      <c r="CL140" s="45"/>
      <c r="CM140" s="45"/>
      <c r="CN140" s="45"/>
      <c r="CO140" s="45"/>
      <c r="CP140" s="45"/>
      <c r="CQ140" s="45"/>
      <c r="CR140" s="45"/>
      <c r="CS140" s="45"/>
      <c r="CT140" s="45"/>
      <c r="CU140" s="45"/>
      <c r="CV140" s="45"/>
      <c r="CW140" s="45"/>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row>
    <row r="141" spans="1:131">
      <c r="A141" s="24"/>
      <c r="B141" s="24" t="s">
        <v>663</v>
      </c>
      <c r="C141" s="228">
        <v>0</v>
      </c>
      <c r="D141" s="228">
        <v>0</v>
      </c>
      <c r="E141" s="228">
        <v>0</v>
      </c>
      <c r="F141" s="228">
        <v>0</v>
      </c>
      <c r="G141" s="228">
        <v>0</v>
      </c>
      <c r="H141" s="228">
        <v>0</v>
      </c>
      <c r="I141" s="228">
        <v>0</v>
      </c>
      <c r="J141" s="228">
        <v>0</v>
      </c>
      <c r="K141" s="228">
        <v>0</v>
      </c>
      <c r="L141" s="229">
        <v>0</v>
      </c>
      <c r="M141" s="228">
        <v>0</v>
      </c>
      <c r="N141" s="228">
        <v>0</v>
      </c>
      <c r="O141" s="228">
        <v>0</v>
      </c>
      <c r="P141" s="228">
        <v>0</v>
      </c>
      <c r="Q141" s="228">
        <v>0</v>
      </c>
      <c r="R141" s="228">
        <v>0</v>
      </c>
      <c r="S141" s="228">
        <v>0</v>
      </c>
      <c r="T141" s="228">
        <v>0</v>
      </c>
      <c r="U141" s="228">
        <v>0</v>
      </c>
      <c r="V141" s="228">
        <v>0</v>
      </c>
      <c r="W141" s="228">
        <v>0</v>
      </c>
      <c r="X141" s="228">
        <v>0</v>
      </c>
      <c r="Y141" s="228">
        <v>0</v>
      </c>
      <c r="Z141" s="228"/>
      <c r="AA141" s="228">
        <v>0</v>
      </c>
      <c r="AB141" s="228">
        <v>0</v>
      </c>
      <c r="AC141" s="228">
        <v>0</v>
      </c>
      <c r="AD141" s="228">
        <v>0</v>
      </c>
      <c r="AE141" s="228">
        <v>0</v>
      </c>
      <c r="AF141" s="228">
        <v>0</v>
      </c>
      <c r="AG141" s="228">
        <v>0</v>
      </c>
      <c r="AH141" s="228">
        <v>0</v>
      </c>
      <c r="AI141" s="228">
        <v>0</v>
      </c>
      <c r="AJ141" s="228">
        <v>0</v>
      </c>
      <c r="AK141" s="228">
        <v>0</v>
      </c>
      <c r="AL141" s="228">
        <v>0</v>
      </c>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c r="CA141" s="45"/>
      <c r="CB141" s="45"/>
      <c r="CC141" s="45"/>
      <c r="CD141" s="45"/>
      <c r="CE141" s="45"/>
      <c r="CF141" s="45"/>
      <c r="CG141" s="45"/>
      <c r="CH141" s="45"/>
      <c r="CI141" s="45"/>
      <c r="CJ141" s="45"/>
      <c r="CK141" s="45"/>
      <c r="CL141" s="45"/>
      <c r="CM141" s="45"/>
      <c r="CN141" s="45"/>
      <c r="CO141" s="45"/>
      <c r="CP141" s="45"/>
      <c r="CQ141" s="45"/>
      <c r="CR141" s="45"/>
      <c r="CS141" s="45"/>
      <c r="CT141" s="45"/>
      <c r="CU141" s="45"/>
      <c r="CV141" s="45"/>
      <c r="CW141" s="45"/>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row>
    <row r="142" spans="1:131">
      <c r="A142" s="24"/>
      <c r="B142" s="24" t="s">
        <v>664</v>
      </c>
      <c r="C142" s="228">
        <v>0</v>
      </c>
      <c r="D142" s="228">
        <v>0</v>
      </c>
      <c r="E142" s="228">
        <v>0</v>
      </c>
      <c r="F142" s="228">
        <v>0</v>
      </c>
      <c r="G142" s="228">
        <v>0</v>
      </c>
      <c r="H142" s="228">
        <v>0</v>
      </c>
      <c r="I142" s="228">
        <v>0</v>
      </c>
      <c r="J142" s="228">
        <v>0</v>
      </c>
      <c r="K142" s="228">
        <v>0</v>
      </c>
      <c r="L142" s="229">
        <v>0</v>
      </c>
      <c r="M142" s="228">
        <v>0</v>
      </c>
      <c r="N142" s="228">
        <v>0</v>
      </c>
      <c r="O142" s="228">
        <v>0</v>
      </c>
      <c r="P142" s="228">
        <v>0</v>
      </c>
      <c r="Q142" s="228">
        <v>0</v>
      </c>
      <c r="R142" s="228">
        <v>0</v>
      </c>
      <c r="S142" s="228">
        <v>0</v>
      </c>
      <c r="T142" s="228">
        <v>0</v>
      </c>
      <c r="U142" s="228">
        <v>0</v>
      </c>
      <c r="V142" s="228">
        <v>0</v>
      </c>
      <c r="W142" s="228">
        <v>0</v>
      </c>
      <c r="X142" s="228">
        <v>0</v>
      </c>
      <c r="Y142" s="228">
        <v>0</v>
      </c>
      <c r="Z142" s="228"/>
      <c r="AA142" s="228">
        <v>0</v>
      </c>
      <c r="AB142" s="228">
        <v>0</v>
      </c>
      <c r="AC142" s="228">
        <v>0</v>
      </c>
      <c r="AD142" s="228">
        <v>0</v>
      </c>
      <c r="AE142" s="228">
        <v>0</v>
      </c>
      <c r="AF142" s="228">
        <v>0</v>
      </c>
      <c r="AG142" s="228">
        <v>0</v>
      </c>
      <c r="AH142" s="228">
        <v>0</v>
      </c>
      <c r="AI142" s="228">
        <v>0</v>
      </c>
      <c r="AJ142" s="228">
        <v>0</v>
      </c>
      <c r="AK142" s="228">
        <v>0</v>
      </c>
      <c r="AL142" s="228">
        <v>0</v>
      </c>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c r="CA142" s="45"/>
      <c r="CB142" s="45"/>
      <c r="CC142" s="45"/>
      <c r="CD142" s="45"/>
      <c r="CE142" s="45"/>
      <c r="CF142" s="45"/>
      <c r="CG142" s="45"/>
      <c r="CH142" s="45"/>
      <c r="CI142" s="45"/>
      <c r="CJ142" s="45"/>
      <c r="CK142" s="45"/>
      <c r="CL142" s="45"/>
      <c r="CM142" s="45"/>
      <c r="CN142" s="45"/>
      <c r="CO142" s="45"/>
      <c r="CP142" s="45"/>
      <c r="CQ142" s="45"/>
      <c r="CR142" s="45"/>
      <c r="CS142" s="45"/>
      <c r="CT142" s="45"/>
      <c r="CU142" s="45"/>
      <c r="CV142" s="45"/>
      <c r="CW142" s="45"/>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row>
    <row r="143" spans="1:131">
      <c r="A143" s="24"/>
      <c r="B143" s="24"/>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row>
    <row r="144" spans="1:131">
      <c r="A144" s="24"/>
      <c r="B144" s="24"/>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c r="CA144" s="45"/>
      <c r="CB144" s="45"/>
      <c r="CC144" s="45"/>
      <c r="CD144" s="45"/>
      <c r="CE144" s="45"/>
      <c r="CF144" s="45"/>
      <c r="CG144" s="45"/>
      <c r="CH144" s="45"/>
      <c r="CI144" s="45"/>
      <c r="CJ144" s="45"/>
      <c r="CK144" s="45"/>
      <c r="CL144" s="45"/>
      <c r="CM144" s="45"/>
      <c r="CN144" s="45"/>
      <c r="CO144" s="45"/>
      <c r="CP144" s="45"/>
      <c r="CQ144" s="45"/>
      <c r="CR144" s="45"/>
      <c r="CS144" s="45"/>
      <c r="CT144" s="45"/>
      <c r="CU144" s="45"/>
      <c r="CV144" s="45"/>
      <c r="CW144" s="45"/>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row>
    <row r="145" spans="1:131" ht="13.5" thickBot="1">
      <c r="A145" s="187" t="s">
        <v>385</v>
      </c>
      <c r="B145" s="188"/>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row>
    <row r="146" spans="1:131" ht="13.5" thickBot="1">
      <c r="A146" s="189"/>
      <c r="B146" s="190"/>
      <c r="C146" s="191"/>
      <c r="D146" s="191"/>
      <c r="E146" s="191"/>
      <c r="F146" s="191"/>
      <c r="G146" s="191"/>
      <c r="H146" s="191"/>
      <c r="I146" s="191"/>
      <c r="J146" s="191"/>
      <c r="K146" s="191"/>
      <c r="L146" s="191"/>
      <c r="M146" s="191"/>
      <c r="N146" s="191"/>
      <c r="O146" s="192" t="s">
        <v>386</v>
      </c>
      <c r="P146" s="193"/>
      <c r="Q146" s="193"/>
      <c r="R146" s="193"/>
      <c r="S146" s="193"/>
      <c r="T146" s="193"/>
      <c r="U146" s="193"/>
      <c r="V146" s="193"/>
      <c r="W146" s="193"/>
      <c r="X146" s="193"/>
      <c r="Y146" s="193"/>
      <c r="Z146" s="194"/>
      <c r="AA146" s="191"/>
      <c r="AB146" s="192" t="s">
        <v>387</v>
      </c>
      <c r="AC146" s="193"/>
      <c r="AD146" s="193"/>
      <c r="AE146" s="193"/>
      <c r="AF146" s="193"/>
      <c r="AG146" s="193"/>
      <c r="AH146" s="193"/>
      <c r="AI146" s="193"/>
      <c r="AJ146" s="193"/>
      <c r="AK146" s="193"/>
      <c r="AL146" s="193"/>
      <c r="AM146" s="194"/>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c r="CA146" s="45"/>
      <c r="CB146" s="45"/>
      <c r="CC146" s="45"/>
      <c r="CD146" s="45"/>
      <c r="CE146" s="45"/>
      <c r="CF146" s="45"/>
      <c r="CG146" s="45"/>
      <c r="CH146" s="45"/>
      <c r="CI146" s="45"/>
      <c r="CJ146" s="45"/>
      <c r="CK146" s="45"/>
      <c r="CL146" s="45"/>
      <c r="CM146" s="45"/>
      <c r="CN146" s="45"/>
      <c r="CO146" s="45"/>
      <c r="CP146" s="45"/>
      <c r="CQ146" s="45"/>
      <c r="CR146" s="45"/>
      <c r="CS146" s="45"/>
      <c r="CT146" s="45"/>
      <c r="CU146" s="45"/>
      <c r="CV146" s="45"/>
      <c r="CW146" s="45"/>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row>
    <row r="147" spans="1:131" ht="102">
      <c r="A147" s="195" t="s">
        <v>388</v>
      </c>
      <c r="B147" s="196" t="s">
        <v>389</v>
      </c>
      <c r="C147" s="197" t="s">
        <v>390</v>
      </c>
      <c r="D147" s="197" t="s">
        <v>391</v>
      </c>
      <c r="E147" s="197" t="s">
        <v>392</v>
      </c>
      <c r="F147" s="197" t="s">
        <v>393</v>
      </c>
      <c r="G147" s="197" t="s">
        <v>394</v>
      </c>
      <c r="H147" s="197" t="s">
        <v>395</v>
      </c>
      <c r="I147" s="197" t="s">
        <v>396</v>
      </c>
      <c r="J147" s="197" t="s">
        <v>397</v>
      </c>
      <c r="K147" s="197" t="s">
        <v>398</v>
      </c>
      <c r="L147" s="197" t="s">
        <v>399</v>
      </c>
      <c r="M147" s="197" t="s">
        <v>400</v>
      </c>
      <c r="N147" s="197" t="s">
        <v>401</v>
      </c>
      <c r="O147" s="197" t="s">
        <v>402</v>
      </c>
      <c r="P147" s="197" t="s">
        <v>403</v>
      </c>
      <c r="Q147" s="197" t="s">
        <v>404</v>
      </c>
      <c r="R147" s="197" t="s">
        <v>405</v>
      </c>
      <c r="S147" s="197" t="s">
        <v>406</v>
      </c>
      <c r="T147" s="197" t="s">
        <v>407</v>
      </c>
      <c r="U147" s="197" t="s">
        <v>408</v>
      </c>
      <c r="V147" s="197" t="s">
        <v>409</v>
      </c>
      <c r="W147" s="197" t="s">
        <v>410</v>
      </c>
      <c r="X147" s="197" t="s">
        <v>411</v>
      </c>
      <c r="Y147" s="197" t="s">
        <v>412</v>
      </c>
      <c r="Z147" s="197" t="s">
        <v>413</v>
      </c>
      <c r="AA147" s="197"/>
      <c r="AB147" s="197" t="s">
        <v>402</v>
      </c>
      <c r="AC147" s="197" t="s">
        <v>403</v>
      </c>
      <c r="AD147" s="197" t="s">
        <v>404</v>
      </c>
      <c r="AE147" s="197" t="s">
        <v>405</v>
      </c>
      <c r="AF147" s="197" t="s">
        <v>406</v>
      </c>
      <c r="AG147" s="197" t="s">
        <v>407</v>
      </c>
      <c r="AH147" s="197" t="s">
        <v>408</v>
      </c>
      <c r="AI147" s="197" t="s">
        <v>409</v>
      </c>
      <c r="AJ147" s="197" t="s">
        <v>410</v>
      </c>
      <c r="AK147" s="197" t="s">
        <v>411</v>
      </c>
      <c r="AL147" s="197" t="s">
        <v>412</v>
      </c>
      <c r="AM147" s="197" t="s">
        <v>413</v>
      </c>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c r="CA147" s="45"/>
      <c r="CB147" s="45"/>
      <c r="CC147" s="45"/>
      <c r="CD147" s="45"/>
      <c r="CE147" s="45"/>
      <c r="CF147" s="45"/>
      <c r="CG147" s="45"/>
      <c r="CH147" s="45"/>
      <c r="CI147" s="45"/>
      <c r="CJ147" s="45"/>
      <c r="CK147" s="45"/>
      <c r="CL147" s="45"/>
      <c r="CM147" s="45"/>
      <c r="CN147" s="45"/>
      <c r="CO147" s="45"/>
      <c r="CP147" s="45"/>
      <c r="CQ147" s="45"/>
      <c r="CR147" s="45"/>
      <c r="CS147" s="45"/>
      <c r="CT147" s="45"/>
      <c r="CU147" s="45"/>
      <c r="CV147" s="45"/>
      <c r="CW147" s="45"/>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row>
    <row r="148" spans="1:131">
      <c r="A148" s="24" t="s">
        <v>414</v>
      </c>
      <c r="B148" s="24"/>
      <c r="C148" s="198">
        <v>841.23057955103127</v>
      </c>
      <c r="D148" s="198">
        <v>2.0115772129567233</v>
      </c>
      <c r="E148" s="198">
        <v>0.40231544259134466</v>
      </c>
      <c r="F148" s="198">
        <v>2.413892655548068</v>
      </c>
      <c r="G148" s="198">
        <v>-32.854796891830127</v>
      </c>
      <c r="H148" s="198">
        <v>606.70407853410973</v>
      </c>
      <c r="I148" s="198">
        <v>25.136627432025396</v>
      </c>
      <c r="J148" s="198">
        <v>-17.719494446739034</v>
      </c>
      <c r="K148" s="198">
        <v>-20.65024716638197</v>
      </c>
      <c r="L148" s="199">
        <v>220.64102437953096</v>
      </c>
      <c r="M148" s="198">
        <v>7.991727493705282</v>
      </c>
      <c r="N148" s="198">
        <v>0.1966317209355842</v>
      </c>
      <c r="O148" s="198">
        <v>34.957254535353464</v>
      </c>
      <c r="P148" s="198">
        <v>25.704867055863577</v>
      </c>
      <c r="Q148" s="198">
        <v>23.796958941043552</v>
      </c>
      <c r="R148" s="198">
        <v>13.608440301877943</v>
      </c>
      <c r="S148" s="198">
        <v>10.930836734771145</v>
      </c>
      <c r="T148" s="198">
        <v>8.4834454952136387</v>
      </c>
      <c r="U148" s="198">
        <v>8.8852922762987756</v>
      </c>
      <c r="V148" s="198">
        <v>12.902473192417036</v>
      </c>
      <c r="W148" s="198">
        <v>16.27219894121399</v>
      </c>
      <c r="X148" s="198">
        <v>26.520965611818589</v>
      </c>
      <c r="Y148" s="198">
        <v>30.919587484908899</v>
      </c>
      <c r="Z148" s="198">
        <v>36.679926114933892</v>
      </c>
      <c r="AA148" s="198"/>
      <c r="AB148" s="198">
        <v>57.397802925275748</v>
      </c>
      <c r="AC148" s="198">
        <v>49.653412120724148</v>
      </c>
      <c r="AD148" s="198">
        <v>49.896672219427458</v>
      </c>
      <c r="AE148" s="198">
        <v>47.27840988309088</v>
      </c>
      <c r="AF148" s="198">
        <v>43.538911289139342</v>
      </c>
      <c r="AG148" s="198">
        <v>39.546984749321552</v>
      </c>
      <c r="AH148" s="198">
        <v>43.234964332077062</v>
      </c>
      <c r="AI148" s="198">
        <v>46.726230758976754</v>
      </c>
      <c r="AJ148" s="198">
        <v>50.162783322259806</v>
      </c>
      <c r="AK148" s="198">
        <v>51.923254489999579</v>
      </c>
      <c r="AL148" s="198">
        <v>54.741256731866265</v>
      </c>
      <c r="AM148" s="45">
        <v>57.467650043157988</v>
      </c>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c r="CA148" s="45"/>
      <c r="CB148" s="45"/>
      <c r="CC148" s="45"/>
      <c r="CD148" s="45"/>
      <c r="CE148" s="45"/>
      <c r="CF148" s="45"/>
      <c r="CG148" s="45"/>
      <c r="CH148" s="45"/>
      <c r="CI148" s="45"/>
      <c r="CJ148" s="45"/>
      <c r="CK148" s="45"/>
      <c r="CL148" s="45"/>
      <c r="CM148" s="45"/>
      <c r="CN148" s="45"/>
      <c r="CO148" s="45"/>
      <c r="CP148" s="45"/>
      <c r="CQ148" s="45"/>
      <c r="CR148" s="45"/>
      <c r="CS148" s="45"/>
      <c r="CT148" s="45"/>
      <c r="CU148" s="45"/>
      <c r="CV148" s="45"/>
      <c r="CW148" s="45"/>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row>
    <row r="149" spans="1:131">
      <c r="A149" s="24" t="s">
        <v>415</v>
      </c>
      <c r="B149" s="24"/>
      <c r="C149" s="198">
        <v>733.02980952261714</v>
      </c>
      <c r="D149" s="198">
        <v>6.6707622506870052</v>
      </c>
      <c r="E149" s="198">
        <v>1.3341524501374011</v>
      </c>
      <c r="F149" s="198">
        <v>8.0049147008244059</v>
      </c>
      <c r="G149" s="198">
        <v>-44.978386370781529</v>
      </c>
      <c r="H149" s="198">
        <v>528.66857902598895</v>
      </c>
      <c r="I149" s="198">
        <v>95.661938802856014</v>
      </c>
      <c r="J149" s="198">
        <v>-17.559653435812884</v>
      </c>
      <c r="K149" s="198">
        <v>-22.291408773955855</v>
      </c>
      <c r="L149" s="199">
        <v>61.5237091466566</v>
      </c>
      <c r="M149" s="198">
        <v>6.9638154209681566</v>
      </c>
      <c r="N149" s="198">
        <v>0.17134055328854339</v>
      </c>
      <c r="O149" s="198">
        <v>30.460982109280696</v>
      </c>
      <c r="P149" s="198">
        <v>22.398655326842935</v>
      </c>
      <c r="Q149" s="198">
        <v>20.736146193212065</v>
      </c>
      <c r="R149" s="198">
        <v>11.858095324719899</v>
      </c>
      <c r="S149" s="198">
        <v>9.5248905168051508</v>
      </c>
      <c r="T149" s="198">
        <v>7.3922876635926205</v>
      </c>
      <c r="U149" s="198">
        <v>7.7424481030209229</v>
      </c>
      <c r="V149" s="198">
        <v>11.242931125561149</v>
      </c>
      <c r="W149" s="198">
        <v>14.179235967335206</v>
      </c>
      <c r="X149" s="198">
        <v>23.109785644219961</v>
      </c>
      <c r="Y149" s="198">
        <v>26.94264792023737</v>
      </c>
      <c r="Z149" s="198">
        <v>31.962080203603197</v>
      </c>
      <c r="AA149" s="198"/>
      <c r="AB149" s="198">
        <v>50.015182006087862</v>
      </c>
      <c r="AC149" s="198">
        <v>43.266890331575816</v>
      </c>
      <c r="AD149" s="198">
        <v>43.478861826848977</v>
      </c>
      <c r="AE149" s="198">
        <v>41.197365661184904</v>
      </c>
      <c r="AF149" s="198">
        <v>37.938848901728342</v>
      </c>
      <c r="AG149" s="198">
        <v>34.460371986787088</v>
      </c>
      <c r="AH149" s="198">
        <v>37.67399621394415</v>
      </c>
      <c r="AI149" s="198">
        <v>40.71620892721576</v>
      </c>
      <c r="AJ149" s="198">
        <v>43.710745184114899</v>
      </c>
      <c r="AK149" s="198">
        <v>45.244781007500059</v>
      </c>
      <c r="AL149" s="198">
        <v>47.700326130089771</v>
      </c>
      <c r="AM149" s="45">
        <v>50.076045247108233</v>
      </c>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row>
    <row r="150" spans="1:131">
      <c r="A150" s="24" t="s">
        <v>416</v>
      </c>
      <c r="B150" s="24"/>
      <c r="C150" s="198">
        <v>734.71773160610712</v>
      </c>
      <c r="D150" s="198">
        <v>7.3019593555087283</v>
      </c>
      <c r="E150" s="198">
        <v>1.4603918711017458</v>
      </c>
      <c r="F150" s="198">
        <v>8.7623512266104733</v>
      </c>
      <c r="G150" s="198">
        <v>-47.542846474130414</v>
      </c>
      <c r="H150" s="198">
        <v>529.88592565745375</v>
      </c>
      <c r="I150" s="198">
        <v>104.47304242584816</v>
      </c>
      <c r="J150" s="198">
        <v>-17.539683645065445</v>
      </c>
      <c r="K150" s="198">
        <v>-22.537866130177889</v>
      </c>
      <c r="L150" s="199">
        <v>56.656424961588399</v>
      </c>
      <c r="M150" s="198">
        <v>6.9798507549773587</v>
      </c>
      <c r="N150" s="198">
        <v>0.17173509318301433</v>
      </c>
      <c r="O150" s="198">
        <v>30.531123546530743</v>
      </c>
      <c r="P150" s="198">
        <v>22.4502319264239</v>
      </c>
      <c r="Q150" s="198">
        <v>20.783894591205311</v>
      </c>
      <c r="R150" s="198">
        <v>11.88540054574462</v>
      </c>
      <c r="S150" s="198">
        <v>9.5468231487899384</v>
      </c>
      <c r="T150" s="198">
        <v>7.4093096256367206</v>
      </c>
      <c r="U150" s="198">
        <v>7.7602763672519153</v>
      </c>
      <c r="V150" s="198">
        <v>11.268819829517609</v>
      </c>
      <c r="W150" s="198">
        <v>14.211885997668714</v>
      </c>
      <c r="X150" s="198">
        <v>23.162999738690417</v>
      </c>
      <c r="Y150" s="198">
        <v>27.004687812505704</v>
      </c>
      <c r="Z150" s="198">
        <v>32.035678166890762</v>
      </c>
      <c r="AA150" s="198"/>
      <c r="AB150" s="198">
        <v>50.130350214967144</v>
      </c>
      <c r="AC150" s="198">
        <v>43.36651948543269</v>
      </c>
      <c r="AD150" s="198">
        <v>43.578979080048185</v>
      </c>
      <c r="AE150" s="198">
        <v>41.292229393024691</v>
      </c>
      <c r="AF150" s="198">
        <v>38.026209361086899</v>
      </c>
      <c r="AG150" s="198">
        <v>34.539722679113851</v>
      </c>
      <c r="AH150" s="198">
        <v>37.760746806289426</v>
      </c>
      <c r="AI150" s="198">
        <v>40.809964716286594</v>
      </c>
      <c r="AJ150" s="198">
        <v>43.811396387004066</v>
      </c>
      <c r="AK150" s="198">
        <v>45.348964580982511</v>
      </c>
      <c r="AL150" s="198">
        <v>47.810164001372364</v>
      </c>
      <c r="AM150" s="45">
        <v>50.19135360364217</v>
      </c>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c r="CA150" s="45"/>
      <c r="CB150" s="45"/>
      <c r="CC150" s="45"/>
      <c r="CD150" s="45"/>
      <c r="CE150" s="45"/>
      <c r="CF150" s="45"/>
      <c r="CG150" s="45"/>
      <c r="CH150" s="45"/>
      <c r="CI150" s="45"/>
      <c r="CJ150" s="45"/>
      <c r="CK150" s="45"/>
      <c r="CL150" s="45"/>
      <c r="CM150" s="45"/>
      <c r="CN150" s="45"/>
      <c r="CO150" s="45"/>
      <c r="CP150" s="45"/>
      <c r="CQ150" s="45"/>
      <c r="CR150" s="45"/>
      <c r="CS150" s="45"/>
      <c r="CT150" s="45"/>
      <c r="CU150" s="45"/>
      <c r="CV150" s="45"/>
      <c r="CW150" s="45"/>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row>
    <row r="151" spans="1:131">
      <c r="A151" s="24" t="s">
        <v>417</v>
      </c>
      <c r="B151" s="24"/>
      <c r="C151" s="198">
        <v>315.58847519429145</v>
      </c>
      <c r="D151" s="198">
        <v>4.7789999869194872</v>
      </c>
      <c r="E151" s="198">
        <v>0.95579999738389754</v>
      </c>
      <c r="F151" s="198">
        <v>5.7347999843033843</v>
      </c>
      <c r="G151" s="198">
        <v>-465.75238074545223</v>
      </c>
      <c r="H151" s="198">
        <v>227.60562881692306</v>
      </c>
      <c r="I151" s="198">
        <v>159.18467184699767</v>
      </c>
      <c r="J151" s="198">
        <v>-17.415683311197924</v>
      </c>
      <c r="K151" s="198">
        <v>-126.37002300184083</v>
      </c>
      <c r="L151" s="199">
        <v>51.736777996568115</v>
      </c>
      <c r="M151" s="198">
        <v>2.9981043904191012</v>
      </c>
      <c r="N151" s="198">
        <v>7.3766582543883921E-2</v>
      </c>
      <c r="O151" s="198">
        <v>13.114248250080038</v>
      </c>
      <c r="P151" s="198">
        <v>9.6432060322408404</v>
      </c>
      <c r="Q151" s="198">
        <v>8.9274524357795482</v>
      </c>
      <c r="R151" s="198">
        <v>5.1052196972372155</v>
      </c>
      <c r="S151" s="198">
        <v>4.1007140985831319</v>
      </c>
      <c r="T151" s="198">
        <v>3.1825728799079429</v>
      </c>
      <c r="U151" s="198">
        <v>3.333326093101971</v>
      </c>
      <c r="V151" s="198">
        <v>4.8403754452237004</v>
      </c>
      <c r="W151" s="198">
        <v>6.1045313576886739</v>
      </c>
      <c r="X151" s="198">
        <v>9.9493662041874682</v>
      </c>
      <c r="Y151" s="198">
        <v>11.59951350461691</v>
      </c>
      <c r="Z151" s="198">
        <v>13.760510179063267</v>
      </c>
      <c r="AA151" s="198"/>
      <c r="AB151" s="198">
        <v>21.532841940146529</v>
      </c>
      <c r="AC151" s="198">
        <v>18.627526150721078</v>
      </c>
      <c r="AD151" s="198">
        <v>18.718785414817688</v>
      </c>
      <c r="AE151" s="198">
        <v>17.73654173696173</v>
      </c>
      <c r="AF151" s="198">
        <v>16.333665179756437</v>
      </c>
      <c r="AG151" s="198">
        <v>14.836090031619189</v>
      </c>
      <c r="AH151" s="198">
        <v>16.219639181354879</v>
      </c>
      <c r="AI151" s="198">
        <v>17.529391198156659</v>
      </c>
      <c r="AJ151" s="198">
        <v>18.818617255476585</v>
      </c>
      <c r="AK151" s="198">
        <v>19.479059736950603</v>
      </c>
      <c r="AL151" s="198">
        <v>20.536236035842926</v>
      </c>
      <c r="AM151" s="45">
        <v>21.559045154776381</v>
      </c>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c r="CA151" s="45"/>
      <c r="CB151" s="45"/>
      <c r="CC151" s="45"/>
      <c r="CD151" s="45"/>
      <c r="CE151" s="45"/>
      <c r="CF151" s="45"/>
      <c r="CG151" s="45"/>
      <c r="CH151" s="45"/>
      <c r="CI151" s="45"/>
      <c r="CJ151" s="45"/>
      <c r="CK151" s="45"/>
      <c r="CL151" s="45"/>
      <c r="CM151" s="45"/>
      <c r="CN151" s="45"/>
      <c r="CO151" s="45"/>
      <c r="CP151" s="45"/>
      <c r="CQ151" s="45"/>
      <c r="CR151" s="45"/>
      <c r="CS151" s="45"/>
      <c r="CT151" s="45"/>
      <c r="CU151" s="45"/>
      <c r="CV151" s="45"/>
      <c r="CW151" s="45"/>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row>
    <row r="152" spans="1:131">
      <c r="A152" s="24" t="s">
        <v>418</v>
      </c>
      <c r="B152" s="24"/>
      <c r="C152" s="198">
        <v>315.58847519429145</v>
      </c>
      <c r="D152" s="198">
        <v>4.7789999869194872</v>
      </c>
      <c r="E152" s="198">
        <v>0.95579999738389754</v>
      </c>
      <c r="F152" s="198">
        <v>5.7347999843033843</v>
      </c>
      <c r="G152" s="198">
        <v>-465.75238074545223</v>
      </c>
      <c r="H152" s="198">
        <v>227.60562881692306</v>
      </c>
      <c r="I152" s="198">
        <v>159.18467184699767</v>
      </c>
      <c r="J152" s="198">
        <v>-17.415683311197924</v>
      </c>
      <c r="K152" s="198">
        <v>-126.37002300184083</v>
      </c>
      <c r="L152" s="199">
        <v>51.736777996568115</v>
      </c>
      <c r="M152" s="198">
        <v>2.9981043904191012</v>
      </c>
      <c r="N152" s="198">
        <v>7.3766582543883921E-2</v>
      </c>
      <c r="O152" s="198">
        <v>13.114248250080038</v>
      </c>
      <c r="P152" s="198">
        <v>9.6432060322408404</v>
      </c>
      <c r="Q152" s="198">
        <v>8.9274524357795482</v>
      </c>
      <c r="R152" s="198">
        <v>5.1052196972372155</v>
      </c>
      <c r="S152" s="198">
        <v>4.1007140985831319</v>
      </c>
      <c r="T152" s="198">
        <v>3.1825728799079429</v>
      </c>
      <c r="U152" s="198">
        <v>3.333326093101971</v>
      </c>
      <c r="V152" s="198">
        <v>4.8403754452237004</v>
      </c>
      <c r="W152" s="198">
        <v>6.1045313576886739</v>
      </c>
      <c r="X152" s="198">
        <v>9.9493662041874682</v>
      </c>
      <c r="Y152" s="198">
        <v>11.59951350461691</v>
      </c>
      <c r="Z152" s="198">
        <v>13.760510179063267</v>
      </c>
      <c r="AA152" s="198"/>
      <c r="AB152" s="198">
        <v>21.532841940146529</v>
      </c>
      <c r="AC152" s="198">
        <v>18.627526150721078</v>
      </c>
      <c r="AD152" s="198">
        <v>18.718785414817688</v>
      </c>
      <c r="AE152" s="198">
        <v>17.73654173696173</v>
      </c>
      <c r="AF152" s="198">
        <v>16.333665179756437</v>
      </c>
      <c r="AG152" s="198">
        <v>14.836090031619189</v>
      </c>
      <c r="AH152" s="198">
        <v>16.219639181354879</v>
      </c>
      <c r="AI152" s="198">
        <v>17.529391198156659</v>
      </c>
      <c r="AJ152" s="198">
        <v>18.818617255476585</v>
      </c>
      <c r="AK152" s="198">
        <v>19.479059736950603</v>
      </c>
      <c r="AL152" s="198">
        <v>20.536236035842926</v>
      </c>
      <c r="AM152" s="45">
        <v>21.559045154776381</v>
      </c>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row>
    <row r="153" spans="1:131">
      <c r="A153" s="24" t="s">
        <v>419</v>
      </c>
      <c r="B153" s="24"/>
      <c r="C153" s="198">
        <v>1818.1320336264869</v>
      </c>
      <c r="D153" s="198">
        <v>51.863052062075326</v>
      </c>
      <c r="E153" s="198">
        <v>10.372610412415066</v>
      </c>
      <c r="F153" s="198">
        <v>62.23566247449039</v>
      </c>
      <c r="G153" s="198">
        <v>-32.761732628424213</v>
      </c>
      <c r="H153" s="198">
        <v>1311.255376264872</v>
      </c>
      <c r="I153" s="198">
        <v>299.85963241024842</v>
      </c>
      <c r="J153" s="198">
        <v>-17.096852703131638</v>
      </c>
      <c r="K153" s="198">
        <v>-19.102367372714326</v>
      </c>
      <c r="L153" s="199">
        <v>19.239084018786379</v>
      </c>
      <c r="M153" s="198">
        <v>17.27233426068965</v>
      </c>
      <c r="N153" s="198">
        <v>0.42497555289881439</v>
      </c>
      <c r="O153" s="198">
        <v>75.552299004966684</v>
      </c>
      <c r="P153" s="198">
        <v>55.555329716281044</v>
      </c>
      <c r="Q153" s="198">
        <v>51.431812401181134</v>
      </c>
      <c r="R153" s="198">
        <v>29.411604668178942</v>
      </c>
      <c r="S153" s="198">
        <v>23.624562521770496</v>
      </c>
      <c r="T153" s="198">
        <v>18.335072910216969</v>
      </c>
      <c r="U153" s="198">
        <v>19.203574986889581</v>
      </c>
      <c r="V153" s="198">
        <v>27.885814418040145</v>
      </c>
      <c r="W153" s="198">
        <v>35.168724095067745</v>
      </c>
      <c r="X153" s="198">
        <v>57.319144493401986</v>
      </c>
      <c r="Y153" s="198">
        <v>66.825783369444537</v>
      </c>
      <c r="Z153" s="198">
        <v>79.275468916270555</v>
      </c>
      <c r="AA153" s="198"/>
      <c r="AB153" s="198">
        <v>124.05253291424525</v>
      </c>
      <c r="AC153" s="198">
        <v>107.3147616717966</v>
      </c>
      <c r="AD153" s="198">
        <v>107.84051405016552</v>
      </c>
      <c r="AE153" s="198">
        <v>102.18172472195081</v>
      </c>
      <c r="AF153" s="198">
        <v>94.099633617995565</v>
      </c>
      <c r="AG153" s="198">
        <v>85.471975881397356</v>
      </c>
      <c r="AH153" s="198">
        <v>93.44272014790613</v>
      </c>
      <c r="AI153" s="198">
        <v>100.98831285812209</v>
      </c>
      <c r="AJ153" s="198">
        <v>108.41565377086063</v>
      </c>
      <c r="AK153" s="198">
        <v>112.22051905054623</v>
      </c>
      <c r="AL153" s="198">
        <v>118.31100157853935</v>
      </c>
      <c r="AM153" s="45">
        <v>124.20349186125115</v>
      </c>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row>
    <row r="154" spans="1:131">
      <c r="A154" s="24" t="s">
        <v>421</v>
      </c>
      <c r="B154" s="24"/>
      <c r="C154" s="198">
        <v>77.194303284934591</v>
      </c>
      <c r="D154" s="198">
        <v>4.0008899869194874</v>
      </c>
      <c r="E154" s="198">
        <v>0.8001779973838975</v>
      </c>
      <c r="F154" s="198">
        <v>4.8010679843033852</v>
      </c>
      <c r="G154" s="198">
        <v>-27.341061579948462</v>
      </c>
      <c r="H154" s="198">
        <v>55.673319278959603</v>
      </c>
      <c r="I154" s="198">
        <v>544.82460172298306</v>
      </c>
      <c r="J154" s="198">
        <v>-16.541655603319395</v>
      </c>
      <c r="K154" s="198">
        <v>-43.838014609514374</v>
      </c>
      <c r="L154" s="199">
        <v>8.2560305106367604</v>
      </c>
      <c r="M154" s="198">
        <v>0.73334927535431171</v>
      </c>
      <c r="N154" s="198">
        <v>1.8043624507137073E-2</v>
      </c>
      <c r="O154" s="198">
        <v>3.2078017302354049</v>
      </c>
      <c r="P154" s="198">
        <v>2.3587698208358887</v>
      </c>
      <c r="Q154" s="198">
        <v>2.1836934015575871</v>
      </c>
      <c r="R154" s="198">
        <v>1.2487587748637792</v>
      </c>
      <c r="S154" s="198">
        <v>1.0030523694376006</v>
      </c>
      <c r="T154" s="198">
        <v>0.77847106415014411</v>
      </c>
      <c r="U154" s="198">
        <v>0.81534595083069783</v>
      </c>
      <c r="V154" s="198">
        <v>1.1839767276086746</v>
      </c>
      <c r="W154" s="198">
        <v>1.4931947205857186</v>
      </c>
      <c r="X154" s="198">
        <v>2.433657920448733</v>
      </c>
      <c r="Y154" s="198">
        <v>2.8372910730717615</v>
      </c>
      <c r="Z154" s="198">
        <v>3.3658801876845397</v>
      </c>
      <c r="AA154" s="198"/>
      <c r="AB154" s="198">
        <v>5.2670260860790057</v>
      </c>
      <c r="AC154" s="198">
        <v>4.5563733030540767</v>
      </c>
      <c r="AD154" s="198">
        <v>4.5786957129769874</v>
      </c>
      <c r="AE154" s="198">
        <v>4.3384346694726528</v>
      </c>
      <c r="AF154" s="198">
        <v>3.9952850079979769</v>
      </c>
      <c r="AG154" s="198">
        <v>3.6289716624104487</v>
      </c>
      <c r="AH154" s="198">
        <v>3.9673937565904014</v>
      </c>
      <c r="AI154" s="198">
        <v>4.2877647535059449</v>
      </c>
      <c r="AJ154" s="198">
        <v>4.6031150121309627</v>
      </c>
      <c r="AK154" s="198">
        <v>4.7646620939303626</v>
      </c>
      <c r="AL154" s="198">
        <v>5.0232519799903557</v>
      </c>
      <c r="AM154" s="45">
        <v>5.2734355054848692</v>
      </c>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c r="CA154" s="45"/>
      <c r="CB154" s="45"/>
      <c r="CC154" s="45"/>
      <c r="CD154" s="45"/>
      <c r="CE154" s="45"/>
      <c r="CF154" s="45"/>
      <c r="CG154" s="45"/>
      <c r="CH154" s="45"/>
      <c r="CI154" s="45"/>
      <c r="CJ154" s="45"/>
      <c r="CK154" s="45"/>
      <c r="CL154" s="45"/>
      <c r="CM154" s="45"/>
      <c r="CN154" s="45"/>
      <c r="CO154" s="45"/>
      <c r="CP154" s="45"/>
      <c r="CQ154" s="45"/>
      <c r="CR154" s="45"/>
      <c r="CS154" s="45"/>
      <c r="CT154" s="45"/>
      <c r="CU154" s="45"/>
      <c r="CV154" s="45"/>
      <c r="CW154" s="45"/>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row>
    <row r="155" spans="1:131">
      <c r="A155" s="24" t="s">
        <v>422</v>
      </c>
      <c r="B155" s="24"/>
      <c r="C155" s="198">
        <v>77.194303284934591</v>
      </c>
      <c r="D155" s="198">
        <v>4.0008899869194874</v>
      </c>
      <c r="E155" s="198">
        <v>0.8001779973838975</v>
      </c>
      <c r="F155" s="198">
        <v>4.8010679843033852</v>
      </c>
      <c r="G155" s="198">
        <v>-27.341061579948462</v>
      </c>
      <c r="H155" s="198">
        <v>55.673319278959603</v>
      </c>
      <c r="I155" s="198">
        <v>544.82460172298306</v>
      </c>
      <c r="J155" s="198">
        <v>-16.541655603319395</v>
      </c>
      <c r="K155" s="198">
        <v>-43.838014609514374</v>
      </c>
      <c r="L155" s="199">
        <v>8.2560305106367604</v>
      </c>
      <c r="M155" s="198">
        <v>0.73334927535431171</v>
      </c>
      <c r="N155" s="198">
        <v>1.8043624507137073E-2</v>
      </c>
      <c r="O155" s="198">
        <v>3.2078017302354049</v>
      </c>
      <c r="P155" s="198">
        <v>2.3587698208358887</v>
      </c>
      <c r="Q155" s="198">
        <v>2.1836934015575871</v>
      </c>
      <c r="R155" s="198">
        <v>1.2487587748637792</v>
      </c>
      <c r="S155" s="198">
        <v>1.0030523694376006</v>
      </c>
      <c r="T155" s="198">
        <v>0.77847106415014411</v>
      </c>
      <c r="U155" s="198">
        <v>0.81534595083069783</v>
      </c>
      <c r="V155" s="198">
        <v>1.1839767276086746</v>
      </c>
      <c r="W155" s="198">
        <v>1.4931947205857186</v>
      </c>
      <c r="X155" s="198">
        <v>2.433657920448733</v>
      </c>
      <c r="Y155" s="198">
        <v>2.8372910730717615</v>
      </c>
      <c r="Z155" s="198">
        <v>3.3658801876845397</v>
      </c>
      <c r="AA155" s="198"/>
      <c r="AB155" s="198">
        <v>5.2670260860790057</v>
      </c>
      <c r="AC155" s="198">
        <v>4.5563733030540767</v>
      </c>
      <c r="AD155" s="198">
        <v>4.5786957129769874</v>
      </c>
      <c r="AE155" s="198">
        <v>4.3384346694726528</v>
      </c>
      <c r="AF155" s="198">
        <v>3.9952850079979769</v>
      </c>
      <c r="AG155" s="198">
        <v>3.6289716624104487</v>
      </c>
      <c r="AH155" s="198">
        <v>3.9673937565904014</v>
      </c>
      <c r="AI155" s="198">
        <v>4.2877647535059449</v>
      </c>
      <c r="AJ155" s="198">
        <v>4.6031150121309627</v>
      </c>
      <c r="AK155" s="198">
        <v>4.7646620939303626</v>
      </c>
      <c r="AL155" s="198">
        <v>5.0232519799903557</v>
      </c>
      <c r="AM155" s="45">
        <v>5.2734355054848692</v>
      </c>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45"/>
      <c r="CB155" s="45"/>
      <c r="CC155" s="45"/>
      <c r="CD155" s="45"/>
      <c r="CE155" s="45"/>
      <c r="CF155" s="45"/>
      <c r="CG155" s="45"/>
      <c r="CH155" s="45"/>
      <c r="CI155" s="45"/>
      <c r="CJ155" s="45"/>
      <c r="CK155" s="45"/>
      <c r="CL155" s="45"/>
      <c r="CM155" s="45"/>
      <c r="CN155" s="45"/>
      <c r="CO155" s="45"/>
      <c r="CP155" s="45"/>
      <c r="CQ155" s="45"/>
      <c r="CR155" s="45"/>
      <c r="CS155" s="45"/>
      <c r="CT155" s="45"/>
      <c r="CU155" s="45"/>
      <c r="CV155" s="45"/>
      <c r="CW155" s="45"/>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row>
    <row r="156" spans="1:131">
      <c r="A156" s="24" t="s">
        <v>423</v>
      </c>
      <c r="B156" s="24"/>
      <c r="C156" s="198">
        <v>315.58847519429145</v>
      </c>
      <c r="D156" s="198">
        <v>30.451059986919489</v>
      </c>
      <c r="E156" s="198">
        <v>6.0902119973838982</v>
      </c>
      <c r="F156" s="198">
        <v>36.541271984303386</v>
      </c>
      <c r="G156" s="198">
        <v>-392.34185364371388</v>
      </c>
      <c r="H156" s="198">
        <v>227.60562881692306</v>
      </c>
      <c r="I156" s="198">
        <v>1014.3004822512221</v>
      </c>
      <c r="J156" s="198">
        <v>-15.477619190144257</v>
      </c>
      <c r="K156" s="198">
        <v>-109.25382421363217</v>
      </c>
      <c r="L156" s="199">
        <v>8.1195880036709323</v>
      </c>
      <c r="M156" s="198">
        <v>2.9981043904191012</v>
      </c>
      <c r="N156" s="198">
        <v>7.3766582543883921E-2</v>
      </c>
      <c r="O156" s="198">
        <v>13.114248250080038</v>
      </c>
      <c r="P156" s="198">
        <v>9.6432060322408404</v>
      </c>
      <c r="Q156" s="198">
        <v>8.9274524357795482</v>
      </c>
      <c r="R156" s="198">
        <v>5.1052196972372155</v>
      </c>
      <c r="S156" s="198">
        <v>4.1007140985831319</v>
      </c>
      <c r="T156" s="198">
        <v>3.1825728799079429</v>
      </c>
      <c r="U156" s="198">
        <v>3.333326093101971</v>
      </c>
      <c r="V156" s="198">
        <v>4.8403754452237004</v>
      </c>
      <c r="W156" s="198">
        <v>6.1045313576886739</v>
      </c>
      <c r="X156" s="198">
        <v>9.9493662041874682</v>
      </c>
      <c r="Y156" s="198">
        <v>11.59951350461691</v>
      </c>
      <c r="Z156" s="198">
        <v>13.760510179063267</v>
      </c>
      <c r="AA156" s="198"/>
      <c r="AB156" s="198">
        <v>21.532841940146529</v>
      </c>
      <c r="AC156" s="198">
        <v>18.627526150721078</v>
      </c>
      <c r="AD156" s="198">
        <v>18.718785414817688</v>
      </c>
      <c r="AE156" s="198">
        <v>17.73654173696173</v>
      </c>
      <c r="AF156" s="198">
        <v>16.333665179756437</v>
      </c>
      <c r="AG156" s="198">
        <v>14.836090031619189</v>
      </c>
      <c r="AH156" s="198">
        <v>16.219639181354879</v>
      </c>
      <c r="AI156" s="198">
        <v>17.529391198156659</v>
      </c>
      <c r="AJ156" s="198">
        <v>18.818617255476585</v>
      </c>
      <c r="AK156" s="198">
        <v>19.479059736950603</v>
      </c>
      <c r="AL156" s="198">
        <v>20.536236035842926</v>
      </c>
      <c r="AM156" s="45">
        <v>21.559045154776381</v>
      </c>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45"/>
      <c r="CB156" s="45"/>
      <c r="CC156" s="45"/>
      <c r="CD156" s="45"/>
      <c r="CE156" s="45"/>
      <c r="CF156" s="45"/>
      <c r="CG156" s="45"/>
      <c r="CH156" s="45"/>
      <c r="CI156" s="45"/>
      <c r="CJ156" s="45"/>
      <c r="CK156" s="45"/>
      <c r="CL156" s="45"/>
      <c r="CM156" s="45"/>
      <c r="CN156" s="45"/>
      <c r="CO156" s="45"/>
      <c r="CP156" s="45"/>
      <c r="CQ156" s="45"/>
      <c r="CR156" s="45"/>
      <c r="CS156" s="45"/>
      <c r="CT156" s="45"/>
      <c r="CU156" s="45"/>
      <c r="CV156" s="45"/>
      <c r="CW156" s="45"/>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row>
    <row r="157" spans="1:131">
      <c r="A157" s="24" t="s">
        <v>424</v>
      </c>
      <c r="B157" s="24"/>
      <c r="C157" s="198">
        <v>1468.6907917047924</v>
      </c>
      <c r="D157" s="198">
        <v>134.02315442591345</v>
      </c>
      <c r="E157" s="198">
        <v>26.804630885182689</v>
      </c>
      <c r="F157" s="198">
        <v>160.82778531109614</v>
      </c>
      <c r="G157" s="198">
        <v>115.83308283319576</v>
      </c>
      <c r="H157" s="198">
        <v>1059.2347866245555</v>
      </c>
      <c r="I157" s="198">
        <v>959.25664359199027</v>
      </c>
      <c r="J157" s="198">
        <v>-15.602372454547242</v>
      </c>
      <c r="K157" s="198">
        <v>-11.973200574277085</v>
      </c>
      <c r="L157" s="199">
        <v>5.8628005645095005</v>
      </c>
      <c r="M157" s="198">
        <v>13.952627097891837</v>
      </c>
      <c r="N157" s="198">
        <v>0.34329612464787984</v>
      </c>
      <c r="O157" s="198">
        <v>61.031302341333543</v>
      </c>
      <c r="P157" s="198">
        <v>44.87770947067974</v>
      </c>
      <c r="Q157" s="198">
        <v>41.546723712707731</v>
      </c>
      <c r="R157" s="198">
        <v>23.75875467044893</v>
      </c>
      <c r="S157" s="198">
        <v>19.083970136410123</v>
      </c>
      <c r="T157" s="198">
        <v>14.811109562136343</v>
      </c>
      <c r="U157" s="198">
        <v>15.512687323813692</v>
      </c>
      <c r="V157" s="198">
        <v>22.526218171995609</v>
      </c>
      <c r="W157" s="198">
        <v>28.409367570190302</v>
      </c>
      <c r="X157" s="198">
        <v>46.302522670996822</v>
      </c>
      <c r="Y157" s="198">
        <v>53.982005084304802</v>
      </c>
      <c r="Z157" s="198">
        <v>64.038886644095854</v>
      </c>
      <c r="AA157" s="198"/>
      <c r="AB157" s="198">
        <v>100.20989092601698</v>
      </c>
      <c r="AC157" s="198">
        <v>86.689084932399126</v>
      </c>
      <c r="AD157" s="198">
        <v>87.113788783684981</v>
      </c>
      <c r="AE157" s="198">
        <v>82.54260713964949</v>
      </c>
      <c r="AF157" s="198">
        <v>76.013877343045039</v>
      </c>
      <c r="AG157" s="198">
        <v>69.044437699848274</v>
      </c>
      <c r="AH157" s="198">
        <v>75.483221292426549</v>
      </c>
      <c r="AI157" s="198">
        <v>81.578566584453725</v>
      </c>
      <c r="AJ157" s="198">
        <v>87.578387831557052</v>
      </c>
      <c r="AK157" s="198">
        <v>90.651965820722793</v>
      </c>
      <c r="AL157" s="198">
        <v>95.571870118355363</v>
      </c>
      <c r="AM157" s="45">
        <v>100.3318358735194</v>
      </c>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row>
    <row r="158" spans="1:131">
      <c r="A158" s="24" t="s">
        <v>425</v>
      </c>
      <c r="B158" s="24"/>
      <c r="C158" s="198">
        <v>3575.1679071329308</v>
      </c>
      <c r="D158" s="198">
        <v>532.0694632777404</v>
      </c>
      <c r="E158" s="198">
        <v>106.41389265554808</v>
      </c>
      <c r="F158" s="198">
        <v>638.48335593328852</v>
      </c>
      <c r="G158" s="198">
        <v>686.59851158483514</v>
      </c>
      <c r="H158" s="198">
        <v>2578.4475783790995</v>
      </c>
      <c r="I158" s="198">
        <v>1564.4339911467116</v>
      </c>
      <c r="J158" s="198">
        <v>-14.230777531497223</v>
      </c>
      <c r="K158" s="198">
        <v>-3.645346777701838</v>
      </c>
      <c r="L158" s="199">
        <v>3.4563360848601774</v>
      </c>
      <c r="M158" s="198">
        <v>33.964252313908865</v>
      </c>
      <c r="N158" s="198">
        <v>0.83567030883305371</v>
      </c>
      <c r="O158" s="198">
        <v>148.56575304594153</v>
      </c>
      <c r="P158" s="198">
        <v>109.2437887889062</v>
      </c>
      <c r="Q158" s="198">
        <v>101.13532004362652</v>
      </c>
      <c r="R158" s="198">
        <v>57.834867414561231</v>
      </c>
      <c r="S158" s="198">
        <v>46.455249776013211</v>
      </c>
      <c r="T158" s="198">
        <v>36.054017547229876</v>
      </c>
      <c r="U158" s="198">
        <v>37.761836723378948</v>
      </c>
      <c r="V158" s="198">
        <v>54.834559277185761</v>
      </c>
      <c r="W158" s="198">
        <v>69.155645131397193</v>
      </c>
      <c r="X158" s="198">
        <v>112.712147449697</v>
      </c>
      <c r="Y158" s="198">
        <v>131.40596593247059</v>
      </c>
      <c r="Z158" s="198">
        <v>155.88698018099521</v>
      </c>
      <c r="AA158" s="198"/>
      <c r="AB158" s="198">
        <v>243.93642830709547</v>
      </c>
      <c r="AC158" s="198">
        <v>211.02333867653877</v>
      </c>
      <c r="AD158" s="198">
        <v>212.05717615119906</v>
      </c>
      <c r="AE158" s="198">
        <v>200.92975436593625</v>
      </c>
      <c r="AF158" s="198">
        <v>185.03716119724811</v>
      </c>
      <c r="AG158" s="198">
        <v>168.07176787975163</v>
      </c>
      <c r="AH158" s="198">
        <v>183.74540905131482</v>
      </c>
      <c r="AI158" s="198">
        <v>198.58303382164124</v>
      </c>
      <c r="AJ158" s="198">
        <v>213.18812870773323</v>
      </c>
      <c r="AK158" s="198">
        <v>220.67000130406134</v>
      </c>
      <c r="AL158" s="198">
        <v>232.64630295339919</v>
      </c>
      <c r="AM158" s="45">
        <v>244.23327340560769</v>
      </c>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c r="CA158" s="45"/>
      <c r="CB158" s="45"/>
      <c r="CC158" s="45"/>
      <c r="CD158" s="45"/>
      <c r="CE158" s="45"/>
      <c r="CF158" s="45"/>
      <c r="CG158" s="45"/>
      <c r="CH158" s="45"/>
      <c r="CI158" s="45"/>
      <c r="CJ158" s="45"/>
      <c r="CK158" s="45"/>
      <c r="CL158" s="45"/>
      <c r="CM158" s="45"/>
      <c r="CN158" s="45"/>
      <c r="CO158" s="45"/>
      <c r="CP158" s="45"/>
      <c r="CQ158" s="45"/>
      <c r="CR158" s="45"/>
      <c r="CS158" s="45"/>
      <c r="CT158" s="45"/>
      <c r="CU158" s="45"/>
      <c r="CV158" s="45"/>
      <c r="CW158" s="45"/>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row>
    <row r="159" spans="1:131">
      <c r="A159" s="24" t="s">
        <v>426</v>
      </c>
      <c r="B159" s="24"/>
      <c r="C159" s="198">
        <v>1818.1320336264869</v>
      </c>
      <c r="D159" s="198">
        <v>332.28218672874203</v>
      </c>
      <c r="E159" s="198">
        <v>66.456437345748412</v>
      </c>
      <c r="F159" s="198">
        <v>398.73862407449042</v>
      </c>
      <c r="G159" s="198">
        <v>365.66763974489379</v>
      </c>
      <c r="H159" s="198">
        <v>1311.255376264872</v>
      </c>
      <c r="I159" s="198">
        <v>1921.1752954626838</v>
      </c>
      <c r="J159" s="198">
        <v>-13.422246670553561</v>
      </c>
      <c r="K159" s="198">
        <v>-2.9775040188196331</v>
      </c>
      <c r="L159" s="199">
        <v>3.0028621934750586</v>
      </c>
      <c r="M159" s="198">
        <v>17.27233426068965</v>
      </c>
      <c r="N159" s="198">
        <v>0.42497555289881439</v>
      </c>
      <c r="O159" s="198">
        <v>75.552299004966684</v>
      </c>
      <c r="P159" s="198">
        <v>55.555329716281044</v>
      </c>
      <c r="Q159" s="198">
        <v>51.431812401181134</v>
      </c>
      <c r="R159" s="198">
        <v>29.411604668178942</v>
      </c>
      <c r="S159" s="198">
        <v>23.624562521770496</v>
      </c>
      <c r="T159" s="198">
        <v>18.335072910216969</v>
      </c>
      <c r="U159" s="198">
        <v>19.203574986889581</v>
      </c>
      <c r="V159" s="198">
        <v>27.885814418040145</v>
      </c>
      <c r="W159" s="198">
        <v>35.168724095067745</v>
      </c>
      <c r="X159" s="198">
        <v>57.319144493401986</v>
      </c>
      <c r="Y159" s="198">
        <v>66.825783369444537</v>
      </c>
      <c r="Z159" s="198">
        <v>79.275468916270555</v>
      </c>
      <c r="AA159" s="198"/>
      <c r="AB159" s="198">
        <v>124.05253291424525</v>
      </c>
      <c r="AC159" s="198">
        <v>107.3147616717966</v>
      </c>
      <c r="AD159" s="198">
        <v>107.84051405016552</v>
      </c>
      <c r="AE159" s="198">
        <v>102.18172472195081</v>
      </c>
      <c r="AF159" s="198">
        <v>94.099633617995565</v>
      </c>
      <c r="AG159" s="198">
        <v>85.471975881397356</v>
      </c>
      <c r="AH159" s="198">
        <v>93.44272014790613</v>
      </c>
      <c r="AI159" s="198">
        <v>100.98831285812209</v>
      </c>
      <c r="AJ159" s="198">
        <v>108.41565377086063</v>
      </c>
      <c r="AK159" s="198">
        <v>112.22051905054623</v>
      </c>
      <c r="AL159" s="198">
        <v>118.31100157853935</v>
      </c>
      <c r="AM159" s="45">
        <v>124.20349186125115</v>
      </c>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c r="CA159" s="45"/>
      <c r="CB159" s="45"/>
      <c r="CC159" s="45"/>
      <c r="CD159" s="45"/>
      <c r="CE159" s="45"/>
      <c r="CF159" s="45"/>
      <c r="CG159" s="45"/>
      <c r="CH159" s="45"/>
      <c r="CI159" s="45"/>
      <c r="CJ159" s="45"/>
      <c r="CK159" s="45"/>
      <c r="CL159" s="45"/>
      <c r="CM159" s="45"/>
      <c r="CN159" s="45"/>
      <c r="CO159" s="45"/>
      <c r="CP159" s="45"/>
      <c r="CQ159" s="45"/>
      <c r="CR159" s="45"/>
      <c r="CS159" s="45"/>
      <c r="CT159" s="45"/>
      <c r="CU159" s="45"/>
      <c r="CV159" s="45"/>
      <c r="CW159" s="45"/>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row>
    <row r="160" spans="1:131">
      <c r="A160" s="24" t="s">
        <v>427</v>
      </c>
      <c r="B160" s="24"/>
      <c r="C160" s="198">
        <v>1818.1320336264869</v>
      </c>
      <c r="D160" s="198">
        <v>371.54658006207535</v>
      </c>
      <c r="E160" s="198">
        <v>74.309316012415067</v>
      </c>
      <c r="F160" s="198">
        <v>445.85589607449043</v>
      </c>
      <c r="G160" s="198">
        <v>421.45587121139187</v>
      </c>
      <c r="H160" s="198">
        <v>1311.255376264872</v>
      </c>
      <c r="I160" s="198">
        <v>2148.1925280322707</v>
      </c>
      <c r="J160" s="198">
        <v>-12.907726943575256</v>
      </c>
      <c r="K160" s="198">
        <v>-0.71969455112343683</v>
      </c>
      <c r="L160" s="199">
        <v>2.6855249641276591</v>
      </c>
      <c r="M160" s="198">
        <v>17.27233426068965</v>
      </c>
      <c r="N160" s="198">
        <v>0.42497555289881439</v>
      </c>
      <c r="O160" s="198">
        <v>75.552299004966684</v>
      </c>
      <c r="P160" s="198">
        <v>55.555329716281044</v>
      </c>
      <c r="Q160" s="198">
        <v>51.431812401181134</v>
      </c>
      <c r="R160" s="198">
        <v>29.411604668178942</v>
      </c>
      <c r="S160" s="198">
        <v>23.624562521770496</v>
      </c>
      <c r="T160" s="198">
        <v>18.335072910216969</v>
      </c>
      <c r="U160" s="198">
        <v>19.203574986889581</v>
      </c>
      <c r="V160" s="198">
        <v>27.885814418040145</v>
      </c>
      <c r="W160" s="198">
        <v>35.168724095067745</v>
      </c>
      <c r="X160" s="198">
        <v>57.319144493401986</v>
      </c>
      <c r="Y160" s="198">
        <v>66.825783369444537</v>
      </c>
      <c r="Z160" s="198">
        <v>79.275468916270555</v>
      </c>
      <c r="AA160" s="198"/>
      <c r="AB160" s="198">
        <v>124.05253291424525</v>
      </c>
      <c r="AC160" s="198">
        <v>107.3147616717966</v>
      </c>
      <c r="AD160" s="198">
        <v>107.84051405016552</v>
      </c>
      <c r="AE160" s="198">
        <v>102.18172472195081</v>
      </c>
      <c r="AF160" s="198">
        <v>94.099633617995565</v>
      </c>
      <c r="AG160" s="198">
        <v>85.471975881397356</v>
      </c>
      <c r="AH160" s="198">
        <v>93.44272014790613</v>
      </c>
      <c r="AI160" s="198">
        <v>100.98831285812209</v>
      </c>
      <c r="AJ160" s="198">
        <v>108.41565377086063</v>
      </c>
      <c r="AK160" s="198">
        <v>112.22051905054623</v>
      </c>
      <c r="AL160" s="198">
        <v>118.31100157853935</v>
      </c>
      <c r="AM160" s="45">
        <v>124.20349186125115</v>
      </c>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c r="CA160" s="45"/>
      <c r="CB160" s="45"/>
      <c r="CC160" s="45"/>
      <c r="CD160" s="45"/>
      <c r="CE160" s="45"/>
      <c r="CF160" s="45"/>
      <c r="CG160" s="45"/>
      <c r="CH160" s="45"/>
      <c r="CI160" s="45"/>
      <c r="CJ160" s="45"/>
      <c r="CK160" s="45"/>
      <c r="CL160" s="45"/>
      <c r="CM160" s="45"/>
      <c r="CN160" s="45"/>
      <c r="CO160" s="45"/>
      <c r="CP160" s="45"/>
      <c r="CQ160" s="45"/>
      <c r="CR160" s="45"/>
      <c r="CS160" s="45"/>
      <c r="CT160" s="45"/>
      <c r="CU160" s="45"/>
      <c r="CV160" s="45"/>
      <c r="CW160" s="45"/>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row>
    <row r="161" spans="1:131">
      <c r="A161" s="24" t="s">
        <v>428</v>
      </c>
      <c r="B161" s="24"/>
      <c r="C161" s="198">
        <v>841.23057955103127</v>
      </c>
      <c r="D161" s="198">
        <v>179.07824387962339</v>
      </c>
      <c r="E161" s="198">
        <v>35.815648775924679</v>
      </c>
      <c r="F161" s="198">
        <v>214.89389265554806</v>
      </c>
      <c r="G161" s="198">
        <v>223.45616117992174</v>
      </c>
      <c r="H161" s="198">
        <v>606.70407853410973</v>
      </c>
      <c r="I161" s="198">
        <v>2237.7580480577449</v>
      </c>
      <c r="J161" s="198">
        <v>-12.70473254359705</v>
      </c>
      <c r="K161" s="198">
        <v>1.7690625707805467</v>
      </c>
      <c r="L161" s="199">
        <v>2.478449906978319</v>
      </c>
      <c r="M161" s="198">
        <v>7.991727493705282</v>
      </c>
      <c r="N161" s="198">
        <v>0.1966317209355842</v>
      </c>
      <c r="O161" s="198">
        <v>34.957254535353464</v>
      </c>
      <c r="P161" s="198">
        <v>25.704867055863577</v>
      </c>
      <c r="Q161" s="198">
        <v>23.796958941043552</v>
      </c>
      <c r="R161" s="198">
        <v>13.608440301877943</v>
      </c>
      <c r="S161" s="198">
        <v>10.930836734771145</v>
      </c>
      <c r="T161" s="198">
        <v>8.4834454952136387</v>
      </c>
      <c r="U161" s="198">
        <v>8.8852922762987756</v>
      </c>
      <c r="V161" s="198">
        <v>12.902473192417036</v>
      </c>
      <c r="W161" s="198">
        <v>16.27219894121399</v>
      </c>
      <c r="X161" s="198">
        <v>26.520965611818589</v>
      </c>
      <c r="Y161" s="198">
        <v>30.919587484908899</v>
      </c>
      <c r="Z161" s="198">
        <v>36.679926114933892</v>
      </c>
      <c r="AA161" s="198"/>
      <c r="AB161" s="198">
        <v>57.397802925275748</v>
      </c>
      <c r="AC161" s="198">
        <v>49.653412120724148</v>
      </c>
      <c r="AD161" s="198">
        <v>49.896672219427458</v>
      </c>
      <c r="AE161" s="198">
        <v>47.27840988309088</v>
      </c>
      <c r="AF161" s="198">
        <v>43.538911289139342</v>
      </c>
      <c r="AG161" s="198">
        <v>39.546984749321552</v>
      </c>
      <c r="AH161" s="198">
        <v>43.234964332077062</v>
      </c>
      <c r="AI161" s="198">
        <v>46.726230758976754</v>
      </c>
      <c r="AJ161" s="198">
        <v>50.162783322259806</v>
      </c>
      <c r="AK161" s="198">
        <v>51.923254489999579</v>
      </c>
      <c r="AL161" s="198">
        <v>54.741256731866265</v>
      </c>
      <c r="AM161" s="45">
        <v>57.467650043157988</v>
      </c>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45"/>
      <c r="CB161" s="45"/>
      <c r="CC161" s="45"/>
      <c r="CD161" s="45"/>
      <c r="CE161" s="45"/>
      <c r="CF161" s="45"/>
      <c r="CG161" s="45"/>
      <c r="CH161" s="45"/>
      <c r="CI161" s="45"/>
      <c r="CJ161" s="45"/>
      <c r="CK161" s="45"/>
      <c r="CL161" s="45"/>
      <c r="CM161" s="45"/>
      <c r="CN161" s="45"/>
      <c r="CO161" s="45"/>
      <c r="CP161" s="45"/>
      <c r="CQ161" s="45"/>
      <c r="CR161" s="45"/>
      <c r="CS161" s="45"/>
      <c r="CT161" s="45"/>
      <c r="CU161" s="45"/>
      <c r="CV161" s="45"/>
      <c r="CW161" s="45"/>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row>
    <row r="162" spans="1:131">
      <c r="A162" s="24" t="s">
        <v>429</v>
      </c>
      <c r="B162" s="24"/>
      <c r="C162" s="198">
        <v>724.30887875791984</v>
      </c>
      <c r="D162" s="198">
        <v>154.26033291735365</v>
      </c>
      <c r="E162" s="198">
        <v>30.85206658347073</v>
      </c>
      <c r="F162" s="198">
        <v>185.11239950082438</v>
      </c>
      <c r="G162" s="198">
        <v>190.83790002818577</v>
      </c>
      <c r="H162" s="198">
        <v>522.37895476342499</v>
      </c>
      <c r="I162" s="198">
        <v>2238.8026257637403</v>
      </c>
      <c r="J162" s="198">
        <v>-12.70236507646686</v>
      </c>
      <c r="K162" s="198">
        <v>1.6105494991589702</v>
      </c>
      <c r="L162" s="199">
        <v>2.3516049926055604</v>
      </c>
      <c r="M162" s="198">
        <v>6.8809661952539356</v>
      </c>
      <c r="N162" s="198">
        <v>0.16930209716711028</v>
      </c>
      <c r="O162" s="198">
        <v>30.098584683488795</v>
      </c>
      <c r="P162" s="198">
        <v>22.132176229007978</v>
      </c>
      <c r="Q162" s="198">
        <v>20.489446136913653</v>
      </c>
      <c r="R162" s="198">
        <v>11.717018349425524</v>
      </c>
      <c r="S162" s="198">
        <v>9.4115719182170849</v>
      </c>
      <c r="T162" s="198">
        <v>7.3043408596981072</v>
      </c>
      <c r="U162" s="198">
        <v>7.6503354044941316</v>
      </c>
      <c r="V162" s="198">
        <v>11.109172821786117</v>
      </c>
      <c r="W162" s="198">
        <v>14.010544143945422</v>
      </c>
      <c r="X162" s="198">
        <v>22.834846156122623</v>
      </c>
      <c r="Y162" s="198">
        <v>26.622108476850983</v>
      </c>
      <c r="Z162" s="198">
        <v>31.581824059950794</v>
      </c>
      <c r="AA162" s="198"/>
      <c r="AB162" s="198">
        <v>49.420146260211595</v>
      </c>
      <c r="AC162" s="198">
        <v>42.752139703315336</v>
      </c>
      <c r="AD162" s="198">
        <v>42.961589351986419</v>
      </c>
      <c r="AE162" s="198">
        <v>40.707236380012702</v>
      </c>
      <c r="AF162" s="198">
        <v>37.487486528375804</v>
      </c>
      <c r="AG162" s="198">
        <v>34.050393409765505</v>
      </c>
      <c r="AH162" s="198">
        <v>37.225784820160257</v>
      </c>
      <c r="AI162" s="198">
        <v>40.231804017016479</v>
      </c>
      <c r="AJ162" s="198">
        <v>43.19071396918757</v>
      </c>
      <c r="AK162" s="198">
        <v>44.706499211174112</v>
      </c>
      <c r="AL162" s="198">
        <v>47.132830461796402</v>
      </c>
      <c r="AM162" s="45">
        <v>49.480285405016289</v>
      </c>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45"/>
      <c r="CB162" s="45"/>
      <c r="CC162" s="45"/>
      <c r="CD162" s="45"/>
      <c r="CE162" s="45"/>
      <c r="CF162" s="45"/>
      <c r="CG162" s="45"/>
      <c r="CH162" s="45"/>
      <c r="CI162" s="45"/>
      <c r="CJ162" s="45"/>
      <c r="CK162" s="45"/>
      <c r="CL162" s="45"/>
      <c r="CM162" s="45"/>
      <c r="CN162" s="45"/>
      <c r="CO162" s="45"/>
      <c r="CP162" s="45"/>
      <c r="CQ162" s="45"/>
      <c r="CR162" s="45"/>
      <c r="CS162" s="45"/>
      <c r="CT162" s="45"/>
      <c r="CU162" s="45"/>
      <c r="CV162" s="45"/>
      <c r="CW162" s="45"/>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row>
    <row r="163" spans="1:131">
      <c r="A163" s="24" t="s">
        <v>430</v>
      </c>
      <c r="B163" s="24"/>
      <c r="C163" s="198">
        <v>1468.6907917047924</v>
      </c>
      <c r="D163" s="198">
        <v>338.08982109258011</v>
      </c>
      <c r="E163" s="198">
        <v>67.617964218516022</v>
      </c>
      <c r="F163" s="198">
        <v>405.70778531109613</v>
      </c>
      <c r="G163" s="198">
        <v>411.22760190609949</v>
      </c>
      <c r="H163" s="198">
        <v>1059.2347866245555</v>
      </c>
      <c r="I163" s="198">
        <v>2419.8423653217524</v>
      </c>
      <c r="J163" s="198">
        <v>-12.292050333769698</v>
      </c>
      <c r="K163" s="198">
        <v>2.8261335494413626</v>
      </c>
      <c r="L163" s="199">
        <v>2.3240895655667346</v>
      </c>
      <c r="M163" s="198">
        <v>13.952627097891837</v>
      </c>
      <c r="N163" s="198">
        <v>0.34329612464787984</v>
      </c>
      <c r="O163" s="198">
        <v>61.031302341333543</v>
      </c>
      <c r="P163" s="198">
        <v>44.87770947067974</v>
      </c>
      <c r="Q163" s="198">
        <v>41.546723712707731</v>
      </c>
      <c r="R163" s="198">
        <v>23.75875467044893</v>
      </c>
      <c r="S163" s="198">
        <v>19.083970136410123</v>
      </c>
      <c r="T163" s="198">
        <v>14.811109562136343</v>
      </c>
      <c r="U163" s="198">
        <v>15.512687323813692</v>
      </c>
      <c r="V163" s="198">
        <v>22.526218171995609</v>
      </c>
      <c r="W163" s="198">
        <v>28.409367570190302</v>
      </c>
      <c r="X163" s="198">
        <v>46.302522670996822</v>
      </c>
      <c r="Y163" s="198">
        <v>53.982005084304802</v>
      </c>
      <c r="Z163" s="198">
        <v>64.038886644095854</v>
      </c>
      <c r="AA163" s="198"/>
      <c r="AB163" s="198">
        <v>100.20989092601698</v>
      </c>
      <c r="AC163" s="198">
        <v>86.689084932399126</v>
      </c>
      <c r="AD163" s="198">
        <v>87.113788783684981</v>
      </c>
      <c r="AE163" s="198">
        <v>82.54260713964949</v>
      </c>
      <c r="AF163" s="198">
        <v>76.013877343045039</v>
      </c>
      <c r="AG163" s="198">
        <v>69.044437699848274</v>
      </c>
      <c r="AH163" s="198">
        <v>75.483221292426549</v>
      </c>
      <c r="AI163" s="198">
        <v>81.578566584453725</v>
      </c>
      <c r="AJ163" s="198">
        <v>87.578387831557052</v>
      </c>
      <c r="AK163" s="198">
        <v>90.651965820722793</v>
      </c>
      <c r="AL163" s="198">
        <v>95.571870118355363</v>
      </c>
      <c r="AM163" s="45">
        <v>100.3318358735194</v>
      </c>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c r="BN163" s="45"/>
      <c r="BO163" s="45"/>
      <c r="BP163" s="45"/>
      <c r="BQ163" s="45"/>
      <c r="BR163" s="45"/>
      <c r="BS163" s="45"/>
      <c r="BT163" s="45"/>
      <c r="BU163" s="45"/>
      <c r="BV163" s="45"/>
      <c r="BW163" s="45"/>
      <c r="BX163" s="45"/>
      <c r="BY163" s="45"/>
      <c r="BZ163" s="45"/>
      <c r="CA163" s="45"/>
      <c r="CB163" s="45"/>
      <c r="CC163" s="45"/>
      <c r="CD163" s="45"/>
      <c r="CE163" s="45"/>
      <c r="CF163" s="45"/>
      <c r="CG163" s="45"/>
      <c r="CH163" s="45"/>
      <c r="CI163" s="45"/>
      <c r="CJ163" s="45"/>
      <c r="CK163" s="45"/>
      <c r="CL163" s="45"/>
      <c r="CM163" s="45"/>
      <c r="CN163" s="45"/>
      <c r="CO163" s="45"/>
      <c r="CP163" s="45"/>
      <c r="CQ163" s="45"/>
      <c r="CR163" s="45"/>
      <c r="CS163" s="45"/>
      <c r="CT163" s="45"/>
      <c r="CU163" s="45"/>
      <c r="CV163" s="45"/>
      <c r="CW163" s="45"/>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row>
    <row r="164" spans="1:131">
      <c r="A164" s="24" t="s">
        <v>431</v>
      </c>
      <c r="B164" s="24"/>
      <c r="C164" s="198">
        <v>734.71773160610712</v>
      </c>
      <c r="D164" s="198">
        <v>186.95819668884204</v>
      </c>
      <c r="E164" s="198">
        <v>37.39163933776841</v>
      </c>
      <c r="F164" s="198">
        <v>224.34983602661043</v>
      </c>
      <c r="G164" s="198">
        <v>207.71905627997069</v>
      </c>
      <c r="H164" s="198">
        <v>529.88592565745375</v>
      </c>
      <c r="I164" s="198">
        <v>2674.9110291607008</v>
      </c>
      <c r="J164" s="198">
        <v>-11.713953870370561</v>
      </c>
      <c r="K164" s="198">
        <v>3.0265333512445065</v>
      </c>
      <c r="L164" s="199">
        <v>2.2128097062600687</v>
      </c>
      <c r="M164" s="198">
        <v>6.9798507549773587</v>
      </c>
      <c r="N164" s="198">
        <v>0.17173509318301433</v>
      </c>
      <c r="O164" s="198">
        <v>30.531123546530743</v>
      </c>
      <c r="P164" s="198">
        <v>22.4502319264239</v>
      </c>
      <c r="Q164" s="198">
        <v>20.783894591205311</v>
      </c>
      <c r="R164" s="198">
        <v>11.88540054574462</v>
      </c>
      <c r="S164" s="198">
        <v>9.5468231487899384</v>
      </c>
      <c r="T164" s="198">
        <v>7.4093096256367206</v>
      </c>
      <c r="U164" s="198">
        <v>7.7602763672519153</v>
      </c>
      <c r="V164" s="198">
        <v>11.268819829517609</v>
      </c>
      <c r="W164" s="198">
        <v>14.211885997668714</v>
      </c>
      <c r="X164" s="198">
        <v>23.162999738690417</v>
      </c>
      <c r="Y164" s="198">
        <v>27.004687812505704</v>
      </c>
      <c r="Z164" s="198">
        <v>32.035678166890762</v>
      </c>
      <c r="AA164" s="198"/>
      <c r="AB164" s="198">
        <v>50.130350214967144</v>
      </c>
      <c r="AC164" s="198">
        <v>43.36651948543269</v>
      </c>
      <c r="AD164" s="198">
        <v>43.578979080048185</v>
      </c>
      <c r="AE164" s="198">
        <v>41.292229393024691</v>
      </c>
      <c r="AF164" s="198">
        <v>38.026209361086899</v>
      </c>
      <c r="AG164" s="198">
        <v>34.539722679113851</v>
      </c>
      <c r="AH164" s="198">
        <v>37.760746806289426</v>
      </c>
      <c r="AI164" s="198">
        <v>40.809964716286594</v>
      </c>
      <c r="AJ164" s="198">
        <v>43.811396387004066</v>
      </c>
      <c r="AK164" s="198">
        <v>45.348964580982511</v>
      </c>
      <c r="AL164" s="198">
        <v>47.810164001372364</v>
      </c>
      <c r="AM164" s="45">
        <v>50.19135360364217</v>
      </c>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c r="BN164" s="45"/>
      <c r="BO164" s="45"/>
      <c r="BP164" s="45"/>
      <c r="BQ164" s="45"/>
      <c r="BR164" s="45"/>
      <c r="BS164" s="45"/>
      <c r="BT164" s="45"/>
      <c r="BU164" s="45"/>
      <c r="BV164" s="45"/>
      <c r="BW164" s="45"/>
      <c r="BX164" s="45"/>
      <c r="BY164" s="45"/>
      <c r="BZ164" s="45"/>
      <c r="CA164" s="45"/>
      <c r="CB164" s="45"/>
      <c r="CC164" s="45"/>
      <c r="CD164" s="45"/>
      <c r="CE164" s="45"/>
      <c r="CF164" s="45"/>
      <c r="CG164" s="45"/>
      <c r="CH164" s="45"/>
      <c r="CI164" s="45"/>
      <c r="CJ164" s="45"/>
      <c r="CK164" s="45"/>
      <c r="CL164" s="45"/>
      <c r="CM164" s="45"/>
      <c r="CN164" s="45"/>
      <c r="CO164" s="45"/>
      <c r="CP164" s="45"/>
      <c r="CQ164" s="45"/>
      <c r="CR164" s="45"/>
      <c r="CS164" s="45"/>
      <c r="CT164" s="45"/>
      <c r="CU164" s="45"/>
      <c r="CV164" s="45"/>
      <c r="CW164" s="45"/>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row>
    <row r="165" spans="1:131">
      <c r="A165" s="24" t="s">
        <v>432</v>
      </c>
      <c r="B165" s="24"/>
      <c r="C165" s="198">
        <v>841.23057955103127</v>
      </c>
      <c r="D165" s="198">
        <v>204.91157721295673</v>
      </c>
      <c r="E165" s="198">
        <v>40.98231544259135</v>
      </c>
      <c r="F165" s="198">
        <v>245.89389265554809</v>
      </c>
      <c r="G165" s="198">
        <v>260.85092633534487</v>
      </c>
      <c r="H165" s="198">
        <v>606.70407853410973</v>
      </c>
      <c r="I165" s="198">
        <v>2560.5708494479804</v>
      </c>
      <c r="J165" s="198">
        <v>-11.973098418044511</v>
      </c>
      <c r="K165" s="198">
        <v>5.0399520749787641</v>
      </c>
      <c r="L165" s="199">
        <v>2.1659901452226444</v>
      </c>
      <c r="M165" s="198">
        <v>7.991727493705282</v>
      </c>
      <c r="N165" s="198">
        <v>0.1966317209355842</v>
      </c>
      <c r="O165" s="198">
        <v>34.957254535353464</v>
      </c>
      <c r="P165" s="198">
        <v>25.704867055863577</v>
      </c>
      <c r="Q165" s="198">
        <v>23.796958941043552</v>
      </c>
      <c r="R165" s="198">
        <v>13.608440301877943</v>
      </c>
      <c r="S165" s="198">
        <v>10.930836734771145</v>
      </c>
      <c r="T165" s="198">
        <v>8.4834454952136387</v>
      </c>
      <c r="U165" s="198">
        <v>8.8852922762987756</v>
      </c>
      <c r="V165" s="198">
        <v>12.902473192417036</v>
      </c>
      <c r="W165" s="198">
        <v>16.27219894121399</v>
      </c>
      <c r="X165" s="198">
        <v>26.520965611818589</v>
      </c>
      <c r="Y165" s="198">
        <v>30.919587484908899</v>
      </c>
      <c r="Z165" s="198">
        <v>36.679926114933892</v>
      </c>
      <c r="AA165" s="198"/>
      <c r="AB165" s="198">
        <v>57.397802925275748</v>
      </c>
      <c r="AC165" s="198">
        <v>49.653412120724148</v>
      </c>
      <c r="AD165" s="198">
        <v>49.896672219427458</v>
      </c>
      <c r="AE165" s="198">
        <v>47.27840988309088</v>
      </c>
      <c r="AF165" s="198">
        <v>43.538911289139342</v>
      </c>
      <c r="AG165" s="198">
        <v>39.546984749321552</v>
      </c>
      <c r="AH165" s="198">
        <v>43.234964332077062</v>
      </c>
      <c r="AI165" s="198">
        <v>46.726230758976754</v>
      </c>
      <c r="AJ165" s="198">
        <v>50.162783322259806</v>
      </c>
      <c r="AK165" s="198">
        <v>51.923254489999579</v>
      </c>
      <c r="AL165" s="198">
        <v>54.741256731866265</v>
      </c>
      <c r="AM165" s="45">
        <v>57.467650043157988</v>
      </c>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c r="BN165" s="45"/>
      <c r="BO165" s="45"/>
      <c r="BP165" s="45"/>
      <c r="BQ165" s="45"/>
      <c r="BR165" s="45"/>
      <c r="BS165" s="45"/>
      <c r="BT165" s="45"/>
      <c r="BU165" s="45"/>
      <c r="BV165" s="45"/>
      <c r="BW165" s="45"/>
      <c r="BX165" s="45"/>
      <c r="BY165" s="45"/>
      <c r="BZ165" s="45"/>
      <c r="CA165" s="45"/>
      <c r="CB165" s="45"/>
      <c r="CC165" s="45"/>
      <c r="CD165" s="45"/>
      <c r="CE165" s="45"/>
      <c r="CF165" s="45"/>
      <c r="CG165" s="45"/>
      <c r="CH165" s="45"/>
      <c r="CI165" s="45"/>
      <c r="CJ165" s="45"/>
      <c r="CK165" s="45"/>
      <c r="CL165" s="45"/>
      <c r="CM165" s="45"/>
      <c r="CN165" s="45"/>
      <c r="CO165" s="45"/>
      <c r="CP165" s="45"/>
      <c r="CQ165" s="45"/>
      <c r="CR165" s="45"/>
      <c r="CS165" s="45"/>
      <c r="CT165" s="45"/>
      <c r="CU165" s="45"/>
      <c r="CV165" s="45"/>
      <c r="CW165" s="45"/>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row>
    <row r="166" spans="1:131">
      <c r="A166" s="24" t="s">
        <v>433</v>
      </c>
      <c r="B166" s="24"/>
      <c r="C166" s="198">
        <v>1468.6907917047924</v>
      </c>
      <c r="D166" s="198">
        <v>366.92315442591342</v>
      </c>
      <c r="E166" s="198">
        <v>73.384630885182688</v>
      </c>
      <c r="F166" s="198">
        <v>440.3077853110961</v>
      </c>
      <c r="G166" s="198">
        <v>452.96498495053947</v>
      </c>
      <c r="H166" s="198">
        <v>1059.2347866245555</v>
      </c>
      <c r="I166" s="198">
        <v>2626.2139186207141</v>
      </c>
      <c r="J166" s="198">
        <v>-11.824322690111977</v>
      </c>
      <c r="K166" s="198">
        <v>4.9171861494113802</v>
      </c>
      <c r="L166" s="199">
        <v>2.1414593653948404</v>
      </c>
      <c r="M166" s="198">
        <v>13.952627097891837</v>
      </c>
      <c r="N166" s="198">
        <v>0.34329612464787984</v>
      </c>
      <c r="O166" s="198">
        <v>61.031302341333543</v>
      </c>
      <c r="P166" s="198">
        <v>44.87770947067974</v>
      </c>
      <c r="Q166" s="198">
        <v>41.546723712707731</v>
      </c>
      <c r="R166" s="198">
        <v>23.75875467044893</v>
      </c>
      <c r="S166" s="198">
        <v>19.083970136410123</v>
      </c>
      <c r="T166" s="198">
        <v>14.811109562136343</v>
      </c>
      <c r="U166" s="198">
        <v>15.512687323813692</v>
      </c>
      <c r="V166" s="198">
        <v>22.526218171995609</v>
      </c>
      <c r="W166" s="198">
        <v>28.409367570190302</v>
      </c>
      <c r="X166" s="198">
        <v>46.302522670996822</v>
      </c>
      <c r="Y166" s="198">
        <v>53.982005084304802</v>
      </c>
      <c r="Z166" s="198">
        <v>64.038886644095854</v>
      </c>
      <c r="AA166" s="198"/>
      <c r="AB166" s="198">
        <v>100.20989092601698</v>
      </c>
      <c r="AC166" s="198">
        <v>86.689084932399126</v>
      </c>
      <c r="AD166" s="198">
        <v>87.113788783684981</v>
      </c>
      <c r="AE166" s="198">
        <v>82.54260713964949</v>
      </c>
      <c r="AF166" s="198">
        <v>76.013877343045039</v>
      </c>
      <c r="AG166" s="198">
        <v>69.044437699848274</v>
      </c>
      <c r="AH166" s="198">
        <v>75.483221292426549</v>
      </c>
      <c r="AI166" s="198">
        <v>81.578566584453725</v>
      </c>
      <c r="AJ166" s="198">
        <v>87.578387831557052</v>
      </c>
      <c r="AK166" s="198">
        <v>90.651965820722793</v>
      </c>
      <c r="AL166" s="198">
        <v>95.571870118355363</v>
      </c>
      <c r="AM166" s="45">
        <v>100.3318358735194</v>
      </c>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c r="BP166" s="45"/>
      <c r="BQ166" s="45"/>
      <c r="BR166" s="45"/>
      <c r="BS166" s="45"/>
      <c r="BT166" s="45"/>
      <c r="BU166" s="45"/>
      <c r="BV166" s="45"/>
      <c r="BW166" s="45"/>
      <c r="BX166" s="45"/>
      <c r="BY166" s="45"/>
      <c r="BZ166" s="45"/>
      <c r="CA166" s="45"/>
      <c r="CB166" s="45"/>
      <c r="CC166" s="45"/>
      <c r="CD166" s="45"/>
      <c r="CE166" s="45"/>
      <c r="CF166" s="45"/>
      <c r="CG166" s="45"/>
      <c r="CH166" s="45"/>
      <c r="CI166" s="45"/>
      <c r="CJ166" s="45"/>
      <c r="CK166" s="45"/>
      <c r="CL166" s="45"/>
      <c r="CM166" s="45"/>
      <c r="CN166" s="45"/>
      <c r="CO166" s="45"/>
      <c r="CP166" s="45"/>
      <c r="CQ166" s="45"/>
      <c r="CR166" s="45"/>
      <c r="CS166" s="45"/>
      <c r="CT166" s="45"/>
      <c r="CU166" s="45"/>
      <c r="CV166" s="45"/>
      <c r="CW166" s="45"/>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row>
    <row r="167" spans="1:131">
      <c r="A167" s="24" t="s">
        <v>434</v>
      </c>
      <c r="B167" s="24"/>
      <c r="C167" s="198">
        <v>3575.1679071329308</v>
      </c>
      <c r="D167" s="198">
        <v>984.136129944407</v>
      </c>
      <c r="E167" s="198">
        <v>196.82722598888142</v>
      </c>
      <c r="F167" s="198">
        <v>1180.9633559332883</v>
      </c>
      <c r="G167" s="198">
        <v>1340.9827761498009</v>
      </c>
      <c r="H167" s="198">
        <v>2578.4475783790995</v>
      </c>
      <c r="I167" s="198">
        <v>2893.6372407392369</v>
      </c>
      <c r="J167" s="198">
        <v>-11.218225200830501</v>
      </c>
      <c r="K167" s="198">
        <v>9.8227590078014497</v>
      </c>
      <c r="L167" s="199">
        <v>1.8686549854469063</v>
      </c>
      <c r="M167" s="198">
        <v>33.964252313908865</v>
      </c>
      <c r="N167" s="198">
        <v>0.83567030883305371</v>
      </c>
      <c r="O167" s="198">
        <v>148.56575304594153</v>
      </c>
      <c r="P167" s="198">
        <v>109.2437887889062</v>
      </c>
      <c r="Q167" s="198">
        <v>101.13532004362652</v>
      </c>
      <c r="R167" s="198">
        <v>57.834867414561231</v>
      </c>
      <c r="S167" s="198">
        <v>46.455249776013211</v>
      </c>
      <c r="T167" s="198">
        <v>36.054017547229876</v>
      </c>
      <c r="U167" s="198">
        <v>37.761836723378948</v>
      </c>
      <c r="V167" s="198">
        <v>54.834559277185761</v>
      </c>
      <c r="W167" s="198">
        <v>69.155645131397193</v>
      </c>
      <c r="X167" s="198">
        <v>112.712147449697</v>
      </c>
      <c r="Y167" s="198">
        <v>131.40596593247059</v>
      </c>
      <c r="Z167" s="198">
        <v>155.88698018099521</v>
      </c>
      <c r="AA167" s="198"/>
      <c r="AB167" s="198">
        <v>243.93642830709547</v>
      </c>
      <c r="AC167" s="198">
        <v>211.02333867653877</v>
      </c>
      <c r="AD167" s="198">
        <v>212.05717615119906</v>
      </c>
      <c r="AE167" s="198">
        <v>200.92975436593625</v>
      </c>
      <c r="AF167" s="198">
        <v>185.03716119724811</v>
      </c>
      <c r="AG167" s="198">
        <v>168.07176787975163</v>
      </c>
      <c r="AH167" s="198">
        <v>183.74540905131482</v>
      </c>
      <c r="AI167" s="198">
        <v>198.58303382164124</v>
      </c>
      <c r="AJ167" s="198">
        <v>213.18812870773323</v>
      </c>
      <c r="AK167" s="198">
        <v>220.67000130406134</v>
      </c>
      <c r="AL167" s="198">
        <v>232.64630295339919</v>
      </c>
      <c r="AM167" s="45">
        <v>244.23327340560769</v>
      </c>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c r="BN167" s="45"/>
      <c r="BO167" s="45"/>
      <c r="BP167" s="45"/>
      <c r="BQ167" s="45"/>
      <c r="BR167" s="45"/>
      <c r="BS167" s="45"/>
      <c r="BT167" s="45"/>
      <c r="BU167" s="45"/>
      <c r="BV167" s="45"/>
      <c r="BW167" s="45"/>
      <c r="BX167" s="45"/>
      <c r="BY167" s="45"/>
      <c r="BZ167" s="45"/>
      <c r="CA167" s="45"/>
      <c r="CB167" s="45"/>
      <c r="CC167" s="45"/>
      <c r="CD167" s="45"/>
      <c r="CE167" s="45"/>
      <c r="CF167" s="45"/>
      <c r="CG167" s="45"/>
      <c r="CH167" s="45"/>
      <c r="CI167" s="45"/>
      <c r="CJ167" s="45"/>
      <c r="CK167" s="45"/>
      <c r="CL167" s="45"/>
      <c r="CM167" s="45"/>
      <c r="CN167" s="45"/>
      <c r="CO167" s="45"/>
      <c r="CP167" s="45"/>
      <c r="CQ167" s="45"/>
      <c r="CR167" s="45"/>
      <c r="CS167" s="45"/>
      <c r="CT167" s="45"/>
      <c r="CU167" s="45"/>
      <c r="CV167" s="45"/>
      <c r="CW167" s="45"/>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row>
    <row r="168" spans="1:131">
      <c r="A168" s="24" t="s">
        <v>435</v>
      </c>
      <c r="B168" s="24"/>
      <c r="C168" s="198">
        <v>3575.1679071329308</v>
      </c>
      <c r="D168" s="198">
        <v>1014.9694632777404</v>
      </c>
      <c r="E168" s="198">
        <v>202.99389265554808</v>
      </c>
      <c r="F168" s="198">
        <v>1217.9633559332885</v>
      </c>
      <c r="G168" s="198">
        <v>1385.6152377869189</v>
      </c>
      <c r="H168" s="198">
        <v>2578.4475783790995</v>
      </c>
      <c r="I168" s="198">
        <v>2984.295919833256</v>
      </c>
      <c r="J168" s="198">
        <v>-11.01275322723761</v>
      </c>
      <c r="K168" s="198">
        <v>10.741354926662279</v>
      </c>
      <c r="L168" s="199">
        <v>1.8118878962527039</v>
      </c>
      <c r="M168" s="198">
        <v>33.964252313908865</v>
      </c>
      <c r="N168" s="198">
        <v>0.83567030883305371</v>
      </c>
      <c r="O168" s="198">
        <v>148.56575304594153</v>
      </c>
      <c r="P168" s="198">
        <v>109.2437887889062</v>
      </c>
      <c r="Q168" s="198">
        <v>101.13532004362652</v>
      </c>
      <c r="R168" s="198">
        <v>57.834867414561231</v>
      </c>
      <c r="S168" s="198">
        <v>46.455249776013211</v>
      </c>
      <c r="T168" s="198">
        <v>36.054017547229876</v>
      </c>
      <c r="U168" s="198">
        <v>37.761836723378948</v>
      </c>
      <c r="V168" s="198">
        <v>54.834559277185761</v>
      </c>
      <c r="W168" s="198">
        <v>69.155645131397193</v>
      </c>
      <c r="X168" s="198">
        <v>112.712147449697</v>
      </c>
      <c r="Y168" s="198">
        <v>131.40596593247059</v>
      </c>
      <c r="Z168" s="198">
        <v>155.88698018099521</v>
      </c>
      <c r="AA168" s="198"/>
      <c r="AB168" s="198">
        <v>243.93642830709547</v>
      </c>
      <c r="AC168" s="198">
        <v>211.02333867653877</v>
      </c>
      <c r="AD168" s="198">
        <v>212.05717615119906</v>
      </c>
      <c r="AE168" s="198">
        <v>200.92975436593625</v>
      </c>
      <c r="AF168" s="198">
        <v>185.03716119724811</v>
      </c>
      <c r="AG168" s="198">
        <v>168.07176787975163</v>
      </c>
      <c r="AH168" s="198">
        <v>183.74540905131482</v>
      </c>
      <c r="AI168" s="198">
        <v>198.58303382164124</v>
      </c>
      <c r="AJ168" s="198">
        <v>213.18812870773323</v>
      </c>
      <c r="AK168" s="198">
        <v>220.67000130406134</v>
      </c>
      <c r="AL168" s="198">
        <v>232.64630295339919</v>
      </c>
      <c r="AM168" s="45">
        <v>244.23327340560769</v>
      </c>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c r="BN168" s="45"/>
      <c r="BO168" s="45"/>
      <c r="BP168" s="45"/>
      <c r="BQ168" s="45"/>
      <c r="BR168" s="45"/>
      <c r="BS168" s="45"/>
      <c r="BT168" s="45"/>
      <c r="BU168" s="45"/>
      <c r="BV168" s="45"/>
      <c r="BW168" s="45"/>
      <c r="BX168" s="45"/>
      <c r="BY168" s="45"/>
      <c r="BZ168" s="45"/>
      <c r="CA168" s="45"/>
      <c r="CB168" s="45"/>
      <c r="CC168" s="45"/>
      <c r="CD168" s="45"/>
      <c r="CE168" s="45"/>
      <c r="CF168" s="45"/>
      <c r="CG168" s="45"/>
      <c r="CH168" s="45"/>
      <c r="CI168" s="45"/>
      <c r="CJ168" s="45"/>
      <c r="CK168" s="45"/>
      <c r="CL168" s="45"/>
      <c r="CM168" s="45"/>
      <c r="CN168" s="45"/>
      <c r="CO168" s="45"/>
      <c r="CP168" s="45"/>
      <c r="CQ168" s="45"/>
      <c r="CR168" s="45"/>
      <c r="CS168" s="45"/>
      <c r="CT168" s="45"/>
      <c r="CU168" s="45"/>
      <c r="CV168" s="45"/>
      <c r="CW168" s="45"/>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row>
    <row r="169" spans="1:131">
      <c r="A169" s="24" t="s">
        <v>436</v>
      </c>
      <c r="B169" s="24"/>
      <c r="C169" s="198">
        <v>734.71773160610712</v>
      </c>
      <c r="D169" s="198">
        <v>228.79070335550873</v>
      </c>
      <c r="E169" s="198">
        <v>45.758140671101749</v>
      </c>
      <c r="F169" s="198">
        <v>274.54884402661048</v>
      </c>
      <c r="G169" s="198">
        <v>267.1561535230494</v>
      </c>
      <c r="H169" s="198">
        <v>529.88592565745375</v>
      </c>
      <c r="I169" s="198">
        <v>3273.4311017860246</v>
      </c>
      <c r="J169" s="198">
        <v>-10.357447226039852</v>
      </c>
      <c r="K169" s="198">
        <v>8.9791399938501328</v>
      </c>
      <c r="L169" s="199">
        <v>1.8082155709583718</v>
      </c>
      <c r="M169" s="198">
        <v>6.9798507549773587</v>
      </c>
      <c r="N169" s="198">
        <v>0.17173509318301433</v>
      </c>
      <c r="O169" s="198">
        <v>30.531123546530743</v>
      </c>
      <c r="P169" s="198">
        <v>22.4502319264239</v>
      </c>
      <c r="Q169" s="198">
        <v>20.783894591205311</v>
      </c>
      <c r="R169" s="198">
        <v>11.88540054574462</v>
      </c>
      <c r="S169" s="198">
        <v>9.5468231487899384</v>
      </c>
      <c r="T169" s="198">
        <v>7.4093096256367206</v>
      </c>
      <c r="U169" s="198">
        <v>7.7602763672519153</v>
      </c>
      <c r="V169" s="198">
        <v>11.268819829517609</v>
      </c>
      <c r="W169" s="198">
        <v>14.211885997668714</v>
      </c>
      <c r="X169" s="198">
        <v>23.162999738690417</v>
      </c>
      <c r="Y169" s="198">
        <v>27.004687812505704</v>
      </c>
      <c r="Z169" s="198">
        <v>32.035678166890762</v>
      </c>
      <c r="AA169" s="198"/>
      <c r="AB169" s="198">
        <v>50.130350214967144</v>
      </c>
      <c r="AC169" s="198">
        <v>43.36651948543269</v>
      </c>
      <c r="AD169" s="198">
        <v>43.578979080048185</v>
      </c>
      <c r="AE169" s="198">
        <v>41.292229393024691</v>
      </c>
      <c r="AF169" s="198">
        <v>38.026209361086899</v>
      </c>
      <c r="AG169" s="198">
        <v>34.539722679113851</v>
      </c>
      <c r="AH169" s="198">
        <v>37.760746806289426</v>
      </c>
      <c r="AI169" s="198">
        <v>40.809964716286594</v>
      </c>
      <c r="AJ169" s="198">
        <v>43.811396387004066</v>
      </c>
      <c r="AK169" s="198">
        <v>45.348964580982511</v>
      </c>
      <c r="AL169" s="198">
        <v>47.810164001372364</v>
      </c>
      <c r="AM169" s="45">
        <v>50.19135360364217</v>
      </c>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c r="BN169" s="45"/>
      <c r="BO169" s="45"/>
      <c r="BP169" s="45"/>
      <c r="BQ169" s="45"/>
      <c r="BR169" s="45"/>
      <c r="BS169" s="45"/>
      <c r="BT169" s="45"/>
      <c r="BU169" s="45"/>
      <c r="BV169" s="45"/>
      <c r="BW169" s="45"/>
      <c r="BX169" s="45"/>
      <c r="BY169" s="45"/>
      <c r="BZ169" s="45"/>
      <c r="CA169" s="45"/>
      <c r="CB169" s="45"/>
      <c r="CC169" s="45"/>
      <c r="CD169" s="45"/>
      <c r="CE169" s="45"/>
      <c r="CF169" s="45"/>
      <c r="CG169" s="45"/>
      <c r="CH169" s="45"/>
      <c r="CI169" s="45"/>
      <c r="CJ169" s="45"/>
      <c r="CK169" s="45"/>
      <c r="CL169" s="45"/>
      <c r="CM169" s="45"/>
      <c r="CN169" s="45"/>
      <c r="CO169" s="45"/>
      <c r="CP169" s="45"/>
      <c r="CQ169" s="45"/>
      <c r="CR169" s="45"/>
      <c r="CS169" s="45"/>
      <c r="CT169" s="45"/>
      <c r="CU169" s="45"/>
      <c r="CV169" s="45"/>
      <c r="CW169" s="45"/>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row>
    <row r="170" spans="1:131">
      <c r="A170" s="24" t="s">
        <v>420</v>
      </c>
      <c r="B170" s="24"/>
      <c r="C170" s="198">
        <v>724.30887875791984</v>
      </c>
      <c r="D170" s="198">
        <v>210.259506250687</v>
      </c>
      <c r="E170" s="198">
        <v>42.051901250137405</v>
      </c>
      <c r="F170" s="198">
        <v>252.3114075008244</v>
      </c>
      <c r="G170" s="198">
        <v>279.88399508769783</v>
      </c>
      <c r="H170" s="198">
        <v>522.37895476342499</v>
      </c>
      <c r="I170" s="198">
        <v>3051.5267650694309</v>
      </c>
      <c r="J170" s="198">
        <v>-10.860378908583934</v>
      </c>
      <c r="K170" s="198">
        <v>10.656645338332362</v>
      </c>
      <c r="L170" s="199">
        <v>1.7252935456670202</v>
      </c>
      <c r="M170" s="198">
        <v>6.8809661952539356</v>
      </c>
      <c r="N170" s="198">
        <v>0.16930209716711028</v>
      </c>
      <c r="O170" s="198">
        <v>30.098584683488795</v>
      </c>
      <c r="P170" s="198">
        <v>22.132176229007978</v>
      </c>
      <c r="Q170" s="198">
        <v>20.489446136913653</v>
      </c>
      <c r="R170" s="198">
        <v>11.717018349425524</v>
      </c>
      <c r="S170" s="198">
        <v>9.4115719182170849</v>
      </c>
      <c r="T170" s="198">
        <v>7.3043408596981072</v>
      </c>
      <c r="U170" s="198">
        <v>7.6503354044941316</v>
      </c>
      <c r="V170" s="198">
        <v>11.109172821786117</v>
      </c>
      <c r="W170" s="198">
        <v>14.010544143945422</v>
      </c>
      <c r="X170" s="198">
        <v>22.834846156122623</v>
      </c>
      <c r="Y170" s="198">
        <v>26.622108476850983</v>
      </c>
      <c r="Z170" s="198">
        <v>31.581824059950794</v>
      </c>
      <c r="AA170" s="198"/>
      <c r="AB170" s="198">
        <v>49.420146260211595</v>
      </c>
      <c r="AC170" s="198">
        <v>42.752139703315336</v>
      </c>
      <c r="AD170" s="198">
        <v>42.961589351986419</v>
      </c>
      <c r="AE170" s="198">
        <v>40.707236380012702</v>
      </c>
      <c r="AF170" s="198">
        <v>37.487486528375804</v>
      </c>
      <c r="AG170" s="198">
        <v>34.050393409765505</v>
      </c>
      <c r="AH170" s="198">
        <v>37.225784820160257</v>
      </c>
      <c r="AI170" s="198">
        <v>40.231804017016479</v>
      </c>
      <c r="AJ170" s="198">
        <v>43.19071396918757</v>
      </c>
      <c r="AK170" s="198">
        <v>44.706499211174112</v>
      </c>
      <c r="AL170" s="198">
        <v>47.132830461796402</v>
      </c>
      <c r="AM170" s="45">
        <v>49.480285405016289</v>
      </c>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row>
    <row r="171" spans="1:131">
      <c r="A171" s="24" t="s">
        <v>437</v>
      </c>
      <c r="B171" s="24"/>
      <c r="C171" s="198">
        <v>77.194303284934591</v>
      </c>
      <c r="D171" s="198">
        <v>30.451059986919489</v>
      </c>
      <c r="E171" s="198">
        <v>6.0902119973838982</v>
      </c>
      <c r="F171" s="198">
        <v>36.541271984303386</v>
      </c>
      <c r="G171" s="198">
        <v>48.294509606414714</v>
      </c>
      <c r="H171" s="198">
        <v>55.673319278959603</v>
      </c>
      <c r="I171" s="198">
        <v>4146.6990303799967</v>
      </c>
      <c r="J171" s="198">
        <v>-8.3782425149554136</v>
      </c>
      <c r="K171" s="198">
        <v>28.257949446998651</v>
      </c>
      <c r="L171" s="199">
        <v>1.0847395728062452</v>
      </c>
      <c r="M171" s="198">
        <v>0.73334927535431171</v>
      </c>
      <c r="N171" s="198">
        <v>1.8043624507137073E-2</v>
      </c>
      <c r="O171" s="198">
        <v>3.2078017302354049</v>
      </c>
      <c r="P171" s="198">
        <v>2.3587698208358887</v>
      </c>
      <c r="Q171" s="198">
        <v>2.1836934015575871</v>
      </c>
      <c r="R171" s="198">
        <v>1.2487587748637792</v>
      </c>
      <c r="S171" s="198">
        <v>1.0030523694376006</v>
      </c>
      <c r="T171" s="198">
        <v>0.77847106415014411</v>
      </c>
      <c r="U171" s="198">
        <v>0.81534595083069783</v>
      </c>
      <c r="V171" s="198">
        <v>1.1839767276086746</v>
      </c>
      <c r="W171" s="198">
        <v>1.4931947205857186</v>
      </c>
      <c r="X171" s="198">
        <v>2.433657920448733</v>
      </c>
      <c r="Y171" s="198">
        <v>2.8372910730717615</v>
      </c>
      <c r="Z171" s="198">
        <v>3.3658801876845397</v>
      </c>
      <c r="AA171" s="198"/>
      <c r="AB171" s="198">
        <v>5.2670260860790057</v>
      </c>
      <c r="AC171" s="198">
        <v>4.5563733030540767</v>
      </c>
      <c r="AD171" s="198">
        <v>4.5786957129769874</v>
      </c>
      <c r="AE171" s="198">
        <v>4.3384346694726528</v>
      </c>
      <c r="AF171" s="198">
        <v>3.9952850079979769</v>
      </c>
      <c r="AG171" s="198">
        <v>3.6289716624104487</v>
      </c>
      <c r="AH171" s="198">
        <v>3.9673937565904014</v>
      </c>
      <c r="AI171" s="198">
        <v>4.2877647535059449</v>
      </c>
      <c r="AJ171" s="198">
        <v>4.6031150121309627</v>
      </c>
      <c r="AK171" s="198">
        <v>4.7646620939303626</v>
      </c>
      <c r="AL171" s="198">
        <v>5.0232519799903557</v>
      </c>
      <c r="AM171" s="45">
        <v>5.2734355054848692</v>
      </c>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c r="BN171" s="45"/>
      <c r="BO171" s="45"/>
      <c r="BP171" s="45"/>
      <c r="BQ171" s="45"/>
      <c r="BR171" s="45"/>
      <c r="BS171" s="45"/>
      <c r="BT171" s="45"/>
      <c r="BU171" s="45"/>
      <c r="BV171" s="45"/>
      <c r="BW171" s="45"/>
      <c r="BX171" s="45"/>
      <c r="BY171" s="45"/>
      <c r="BZ171" s="45"/>
      <c r="CA171" s="45"/>
      <c r="CB171" s="45"/>
      <c r="CC171" s="45"/>
      <c r="CD171" s="45"/>
      <c r="CE171" s="45"/>
      <c r="CF171" s="45"/>
      <c r="CG171" s="45"/>
      <c r="CH171" s="45"/>
      <c r="CI171" s="45"/>
      <c r="CJ171" s="45"/>
      <c r="CK171" s="45"/>
      <c r="CL171" s="45"/>
      <c r="CM171" s="45"/>
      <c r="CN171" s="45"/>
      <c r="CO171" s="45"/>
      <c r="CP171" s="45"/>
      <c r="CQ171" s="45"/>
      <c r="CR171" s="45"/>
      <c r="CS171" s="45"/>
      <c r="CT171" s="45"/>
      <c r="CU171" s="45"/>
      <c r="CV171" s="45"/>
      <c r="CW171" s="45"/>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row>
    <row r="172" spans="1:131">
      <c r="A172" s="24"/>
      <c r="B172" s="24"/>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row>
  </sheetData>
  <mergeCells count="3">
    <mergeCell ref="I6:N6"/>
    <mergeCell ref="O6:P6"/>
    <mergeCell ref="R6:T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vt:i4>
      </vt:variant>
    </vt:vector>
  </HeadingPairs>
  <TitlesOfParts>
    <vt:vector size="26" baseType="lpstr">
      <vt:lpstr>7PSourceSummary</vt:lpstr>
      <vt:lpstr>forRPM</vt:lpstr>
      <vt:lpstr>SC-New</vt:lpstr>
      <vt:lpstr>SC-NR</vt:lpstr>
      <vt:lpstr>SC-Retro</vt:lpstr>
      <vt:lpstr>M_Input_Out</vt:lpstr>
      <vt:lpstr>M_Input</vt:lpstr>
      <vt:lpstr>M_Input(Fixture)_Out</vt:lpstr>
      <vt:lpstr>M_Input(Fixture)</vt:lpstr>
      <vt:lpstr>M_Input(Fixt wo OM)_Out</vt:lpstr>
      <vt:lpstr>M_Input(Fixt wo OM)</vt:lpstr>
      <vt:lpstr>M_Weight</vt:lpstr>
      <vt:lpstr>Watt Allocation</vt:lpstr>
      <vt:lpstr>Savings and Cost Analysis</vt:lpstr>
      <vt:lpstr>Reference Fixtures</vt:lpstr>
      <vt:lpstr>DOE2014 Sales Pen</vt:lpstr>
      <vt:lpstr>CBSA Data</vt:lpstr>
      <vt:lpstr>Approach</vt:lpstr>
      <vt:lpstr>ETO Cost Data</vt:lpstr>
      <vt:lpstr>Sheet1</vt:lpstr>
      <vt:lpstr>References</vt:lpstr>
      <vt:lpstr>ToDo7P</vt:lpstr>
      <vt:lpstr>CostMatrix</vt:lpstr>
      <vt:lpstr>Resid_Carryover</vt:lpstr>
      <vt:lpstr>Watt_Allocation</vt:lpstr>
      <vt:lpstr>Watt_Class_Ext</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Charlie Grist</dc:creator>
  <cp:lastModifiedBy>Charlie Grist</cp:lastModifiedBy>
  <dcterms:created xsi:type="dcterms:W3CDTF">2014-11-01T20:14:00Z</dcterms:created>
  <dcterms:modified xsi:type="dcterms:W3CDTF">2015-01-25T21:51:33Z</dcterms:modified>
</cp:coreProperties>
</file>